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ml.chartshapes+xml"/>
  <Override PartName="/xl/charts/chart4.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11.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2.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3D1A710C-6663-3D7B-7F91-EC182F24A4BC}"/>
  <workbookPr showInkAnnotation="0" codeName="ThisWorkbook"/>
  <mc:AlternateContent xmlns:mc="http://schemas.openxmlformats.org/markup-compatibility/2006">
    <mc:Choice Requires="x15">
      <x15ac:absPath xmlns:x15ac="http://schemas.microsoft.com/office/spreadsheetml/2010/11/ac" url="F:\usbc_car_module\hardware\excel\"/>
    </mc:Choice>
  </mc:AlternateContent>
  <xr:revisionPtr revIDLastSave="0" documentId="13_ncr:1_{9DFBE8BC-2672-4E34-959C-F5EC42848E20}" xr6:coauthVersionLast="47" xr6:coauthVersionMax="47" xr10:uidLastSave="{00000000-0000-0000-0000-000000000000}"/>
  <workbookProtection workbookAlgorithmName="SHA-512" workbookHashValue="rgW94RiNbkS/CglMRKH0pPTCTWpXwHmsascdn1s2O/XjEbpk0t6DEWnI0iRXL4SaZLBjqB6Df2o6MFXJ5SJrRw==" workbookSaltValue="ZlGysuczbzkbdXe1t49uWA==" workbookSpinCount="100000" lockStructure="1"/>
  <bookViews>
    <workbookView xWindow="-120" yWindow="-120" windowWidth="29040" windowHeight="15840" tabRatio="393" xr2:uid="{00000000-000D-0000-FFFF-FFFF00000000}"/>
  </bookViews>
  <sheets>
    <sheet name="Design Regulator" sheetId="1" r:id="rId1"/>
    <sheet name="BOM &amp; Schematic" sheetId="16" r:id="rId2"/>
    <sheet name="EVM" sheetId="14" r:id="rId3"/>
    <sheet name="Variable Management" sheetId="2" state="hidden" r:id="rId4"/>
    <sheet name="Stability Calculations" sheetId="17" state="hidden" r:id="rId5"/>
    <sheet name="Ch2 Stability Calculations" sheetId="25" state="hidden" r:id="rId6"/>
    <sheet name="Bode Plot Management" sheetId="24" state="hidden" r:id="rId7"/>
    <sheet name="Efficiency Calculations" sheetId="21" state="hidden" r:id="rId8"/>
    <sheet name="Ch2 Efficiency Calculations" sheetId="23" state="hidden" r:id="rId9"/>
    <sheet name="Efficiency Plot Management" sheetId="19" state="hidden" r:id="rId10"/>
    <sheet name="Schematic Management" sheetId="22" state="hidden" r:id="rId11"/>
    <sheet name="Standard Value Calculator" sheetId="8" state="hidden" r:id="rId12"/>
    <sheet name="Snubber" sheetId="11" state="hidden" r:id="rId13"/>
    <sheet name="Parallel Output Caps" sheetId="6" state="hidden" r:id="rId14"/>
  </sheets>
  <definedNames>
    <definedName name="_Don1">'Variable Management'!$B$34</definedName>
    <definedName name="_Don2">'Variable Management'!$B$49</definedName>
    <definedName name="Acs">'Variable Management'!$B$207</definedName>
    <definedName name="Acs_Ch2">'Variable Management'!$D$207</definedName>
    <definedName name="Adc" localSheetId="5">'Ch2 Stability Calculations'!$Q$3</definedName>
    <definedName name="Adc">'Stability Calculations'!$Q$3</definedName>
    <definedName name="AEA">'Variable Management'!$B$205</definedName>
    <definedName name="Afb">'Variable Management'!$B$206</definedName>
    <definedName name="Afb_Ch2">'Variable Management'!$D$206</definedName>
    <definedName name="Am">'Variable Management'!$B$209</definedName>
    <definedName name="Am_buck">'Variable Management'!$B$208</definedName>
    <definedName name="Am_buck_Ch2">'Variable Management'!$D$208</definedName>
    <definedName name="Am_Ch2">'Variable Management'!$D$209</definedName>
    <definedName name="BODE_PLOT_Ch1">'Bode Plot Management'!$B$5</definedName>
    <definedName name="BODE_PLOT_Ch2">'Bode Plot Management'!$B$8</definedName>
    <definedName name="BODE_PLOT_TYPE">'Variable Management'!$AA$10</definedName>
    <definedName name="Buck_CS_threshold">'Variable Management'!$B$85</definedName>
    <definedName name="Buck_CS_threshold_max">'Variable Management'!$B$86</definedName>
    <definedName name="Buck_CS_threshold_min">'Variable Management'!$B$84</definedName>
    <definedName name="Cb">'Variable Management'!$B$178</definedName>
    <definedName name="Cbw">'Variable Management'!$B$203</definedName>
    <definedName name="Cby">'Variable Management'!$B$177</definedName>
    <definedName name="Cc1ea">'Variable Management'!$B$226</definedName>
    <definedName name="Cc1ea_u">'Variable Management'!$B$231</definedName>
    <definedName name="Cc2ea">'Variable Management'!$B$227</definedName>
    <definedName name="Cc2ea_u">'Variable Management'!$B$232</definedName>
    <definedName name="Cc3ea">'Variable Management'!$D$226</definedName>
    <definedName name="Cc3ea_u">'Variable Management'!$D$231</definedName>
    <definedName name="Cc4ea">'Variable Management'!$D$227</definedName>
    <definedName name="Cc4ea_u">'Variable Management'!$D$232</definedName>
    <definedName name="Cdither">'Variable Management'!$B$177</definedName>
    <definedName name="Cdither_init">'Variable Management'!$B$176</definedName>
    <definedName name="Ch1_VOUT">'Variable Management'!$L$16</definedName>
    <definedName name="Ch2_VOUT">'Variable Management'!$O$16</definedName>
    <definedName name="Cin">'Variable Management'!$B$146</definedName>
    <definedName name="CinEsrMax">'Variable Management'!$B$149</definedName>
    <definedName name="Cinmin">'Variable Management'!$B$144</definedName>
    <definedName name="Core_Loss_Ch1">'Design Regulator'!$O$75</definedName>
    <definedName name="Coss_Q1">'Variable Management'!$B$279</definedName>
    <definedName name="Coss_Q2">'Variable Management'!$D$279</definedName>
    <definedName name="Coss_Q3">'Variable Management'!$B$298</definedName>
    <definedName name="Coss_Q4">'Variable Management'!$D$298</definedName>
    <definedName name="Cout">'Variable Management'!$B$122</definedName>
    <definedName name="Cout_ESR">'Variable Management'!$B$126</definedName>
    <definedName name="Cout_min">'Variable Management'!$B$120</definedName>
    <definedName name="Cout2">'Variable Management'!$D$122</definedName>
    <definedName name="Cout2_ESR">'Variable Management'!$D$126</definedName>
    <definedName name="Cout2_min">'Variable Management'!$D$120</definedName>
    <definedName name="Cout2EsrMax">'Variable Management'!$D$123</definedName>
    <definedName name="CoutEsrMax">'Variable Management'!$B$123</definedName>
    <definedName name="Cres">'Variable Management'!$B$167</definedName>
    <definedName name="Cres_u">'Variable Management'!$B$168</definedName>
    <definedName name="CSAmp_gain">'Variable Management'!$B$182</definedName>
    <definedName name="Csb">'Variable Management'!$B$175</definedName>
    <definedName name="Css">'Variable Management'!$B$162</definedName>
    <definedName name="Css_u">'Variable Management'!$B$163</definedName>
    <definedName name="D1_Vinmax">'Variable Management'!$B$39</definedName>
    <definedName name="D1_Vinmax_2">'Variable Management'!$B$54</definedName>
    <definedName name="D1_Vinmin">'Variable Management'!$B$37</definedName>
    <definedName name="D1_Vinmin_2">'Variable Management'!$B$52</definedName>
    <definedName name="D1_Vinnom">'Variable Management'!$B$38</definedName>
    <definedName name="D1_Vinnom_2">'Variable Management'!$B$53</definedName>
    <definedName name="D2_Vinmax">'Variable Management'!$D$39</definedName>
    <definedName name="D2_Vinmax_2">'Variable Management'!$D$54</definedName>
    <definedName name="D2_Vinmin">'Variable Management'!$D$37</definedName>
    <definedName name="D2_Vinmin_2">'Variable Management'!$D$52</definedName>
    <definedName name="D2_Vinnom">'Variable Management'!$D$38</definedName>
    <definedName name="D2_Vinnom_2">'Variable Management'!$D$53</definedName>
    <definedName name="Deadtime">'Variable Management'!$B$268</definedName>
    <definedName name="DEMB">'Variable Management'!$X$10</definedName>
    <definedName name="DITHER">'Variable Management'!$O$10</definedName>
    <definedName name="Doff1">'Variable Management'!$B$35</definedName>
    <definedName name="Doff2">'Variable Management'!$B$50</definedName>
    <definedName name="Don_buckboost">'Variable Management'!$B$40</definedName>
    <definedName name="EFF_Ch1">'Efficiency Plot Management'!$B$5</definedName>
    <definedName name="EFF_Ch2">'Efficiency Plot Management'!$B$7</definedName>
    <definedName name="Efficiency">'Variable Management'!$B$20</definedName>
    <definedName name="Ext_VCC">'Variable Management'!$X$15</definedName>
    <definedName name="Fcross">'Variable Management'!$B$224</definedName>
    <definedName name="Fcross_Ch2">'Variable Management'!$D$224</definedName>
    <definedName name="Fdither">'Variable Management'!$B$175</definedName>
    <definedName name="Fesr">'Variable Management'!$B$221</definedName>
    <definedName name="Fesr_Ch2">'Variable Management'!$D$221</definedName>
    <definedName name="Fload_u">'Variable Management'!$B$216</definedName>
    <definedName name="Fload_u_Ch2">'Variable Management'!$D$216</definedName>
    <definedName name="Fp_dominant">'Variable Management'!$B$217</definedName>
    <definedName name="Fp_dominant_Ch2">'Variable Management'!$D$217</definedName>
    <definedName name="Fp1_u">'Variable Management'!$B$219</definedName>
    <definedName name="Fp1_u_Ch2">'Variable Management'!$D$219</definedName>
    <definedName name="Fp2_u">'Variable Management'!$B$220</definedName>
    <definedName name="Fp2_u_Ch2">'Variable Management'!$D$220</definedName>
    <definedName name="Frhp" localSheetId="6">'Variable Management'!#REF!</definedName>
    <definedName name="Frhp" localSheetId="8">'Variable Management'!#REF!</definedName>
    <definedName name="Frhp" localSheetId="5">'Variable Management'!#REF!</definedName>
    <definedName name="Frhp">'Variable Management'!#REF!</definedName>
    <definedName name="Fsw">'Variable Management'!$B$27</definedName>
    <definedName name="Fz1_u">'Variable Management'!$B$235</definedName>
    <definedName name="Fz1_u_Ch2">'Variable Management'!$D$235</definedName>
    <definedName name="GBW">'Variable Management'!$B$202</definedName>
    <definedName name="Gfs_Q1">'Variable Management'!$B$281</definedName>
    <definedName name="Gfs_Q2">'Variable Management'!$D$281</definedName>
    <definedName name="Gfs_Q3">'Variable Management'!$B$300</definedName>
    <definedName name="Gfs_Q4">'Variable Management'!$D$300</definedName>
    <definedName name="gm">'Variable Management'!$B$184</definedName>
    <definedName name="Icoutrms">'Variable Management'!$B$111</definedName>
    <definedName name="Iin_Vinmax">'Variable Management'!$B$25</definedName>
    <definedName name="Iin_Vinmin">'Variable Management'!$B$23</definedName>
    <definedName name="Iin_Vinnom">'Variable Management'!$B$24</definedName>
    <definedName name="IL_peak_OCP" localSheetId="8">'Variable Management'!#REF!</definedName>
    <definedName name="IL1_peak_buckboost" localSheetId="8">'Variable Management'!#REF!</definedName>
    <definedName name="Ilimit_DC">'Variable Management'!$B$77</definedName>
    <definedName name="Ilimit2_DC">'Variable Management'!$D$77</definedName>
    <definedName name="Iout">'Variable Management'!$B$12</definedName>
    <definedName name="Iout_OCP_Vinmax">'Variable Management'!$B$99</definedName>
    <definedName name="Iout_OCP_Vinmin">'Variable Management'!$B$97</definedName>
    <definedName name="Iout_OCP_Vinnom">'Variable Management'!$B$98</definedName>
    <definedName name="Iout_threshold" localSheetId="6">'Variable Management'!#REF!</definedName>
    <definedName name="Iout_threshold" localSheetId="8">'Variable Management'!#REF!</definedName>
    <definedName name="Iout_threshold" localSheetId="5">'Variable Management'!#REF!</definedName>
    <definedName name="Iout_threshold">'Variable Management'!#REF!</definedName>
    <definedName name="Iout2">'Variable Management'!$B$14</definedName>
    <definedName name="Iout2_OCP_Vinmax">'Variable Management'!$D$99</definedName>
    <definedName name="Iout2_OCP_Vinmin">'Variable Management'!$D$97</definedName>
    <definedName name="Iout2_OCP_Vinnom">'Variable Management'!$D$98</definedName>
    <definedName name="Iq">'Variable Management'!$B$270</definedName>
    <definedName name="Ireverse">'Variable Management'!$B$312</definedName>
    <definedName name="Iripple_Vinmax">'Variable Management'!$B$58</definedName>
    <definedName name="Iripple_Vinmin">'Variable Management'!$B$56</definedName>
    <definedName name="Iripple_Vinnom">'Variable Management'!$B$57</definedName>
    <definedName name="Iripple2_Vinmax">'Variable Management'!$D$58</definedName>
    <definedName name="Iripple2_Vinmin">'Variable Management'!$D$56</definedName>
    <definedName name="Iripple2_Vinnom">'Variable Management'!$D$57</definedName>
    <definedName name="Iss">'Variable Management'!$B$161</definedName>
    <definedName name="k">'Variable Management'!$B$198</definedName>
    <definedName name="k_buck">'Variable Management'!$B$195</definedName>
    <definedName name="k_Ch2">'Variable Management'!$D$198</definedName>
    <definedName name="Lf">'Variable Management'!$B$46</definedName>
    <definedName name="Lo_2">'Variable Management'!$D$46</definedName>
    <definedName name="Lopt">'Variable Management'!$B$44</definedName>
    <definedName name="Lopt2">'Variable Management'!$D$44</definedName>
    <definedName name="Ltc">'Variable Management'!$B$255</definedName>
    <definedName name="mc">'Variable Management'!$B$197</definedName>
    <definedName name="mc_buck">'Variable Management'!$B$194</definedName>
    <definedName name="mc_buck_Ch2">'Variable Management'!$D$194</definedName>
    <definedName name="mc_Ch2">'Variable Management'!$D$197</definedName>
    <definedName name="MODE">'Variable Management'!$U$13</definedName>
    <definedName name="Number_of_Phases">'Variable Management'!$U$15</definedName>
    <definedName name="Pi">'Variable Management'!$B$181</definedName>
    <definedName name="PICTURE">INDIRECT('Efficiency Plot Management'!$A$2)</definedName>
    <definedName name="PICTURE2" localSheetId="1">INDIRECT('Schematic Management'!$A$2)</definedName>
    <definedName name="PICTURE2" localSheetId="0">INDIRECT('Schematic Management'!$A$2)</definedName>
    <definedName name="PICTURE3">INDIRECT('Bode Plot Management'!$A$2)</definedName>
    <definedName name="Pin">'Variable Management'!$B$21</definedName>
    <definedName name="PLOT_TYPE">'Variable Management'!$L$10</definedName>
    <definedName name="pole1" localSheetId="5">'Ch2 Stability Calculations'!$K$4</definedName>
    <definedName name="pole1">'Stability Calculations'!$K$4</definedName>
    <definedName name="Pole2" localSheetId="5">'Ch2 Stability Calculations'!$C$5</definedName>
    <definedName name="Pole2">'Stability Calculations'!$C$5</definedName>
    <definedName name="pole3" localSheetId="5">'Ch2 Stability Calculations'!$N$3</definedName>
    <definedName name="pole3">'Stability Calculations'!$N$3</definedName>
    <definedName name="pole4" localSheetId="5">'Ch2 Stability Calculations'!$C$7</definedName>
    <definedName name="pole4">'Stability Calculations'!$C$7</definedName>
    <definedName name="Pout">'Variable Management'!$B$18</definedName>
    <definedName name="_xlnm.Print_Area" localSheetId="1">'BOM &amp; Schematic'!$A$1:$J$81</definedName>
    <definedName name="_xlnm.Print_Area" localSheetId="0">'Design Regulator'!$A$1:$Q$109</definedName>
    <definedName name="pterm1" localSheetId="5">'Ch2 Stability Calculations'!$N$4</definedName>
    <definedName name="pterm1">'Stability Calculations'!$N$4</definedName>
    <definedName name="pterm2" localSheetId="5">'Ch2 Stability Calculations'!$N$5</definedName>
    <definedName name="pterm2">'Stability Calculations'!$N$5</definedName>
    <definedName name="Q">'Variable Management'!$B$199</definedName>
    <definedName name="Q_Ch2">'Variable Management'!$D$199</definedName>
    <definedName name="Qg_Q1">'Variable Management'!$B$275</definedName>
    <definedName name="Qg_Q2">'Variable Management'!$D$275</definedName>
    <definedName name="Qg_Q3">'Variable Management'!$B$294</definedName>
    <definedName name="Qg_Q4">'Variable Management'!$D$294</definedName>
    <definedName name="Qgd_Q1">'Variable Management'!$B$276</definedName>
    <definedName name="Qgd_Q2">'Variable Management'!$D$276</definedName>
    <definedName name="Qgd_Q3">'Variable Management'!$B$295</definedName>
    <definedName name="Qgd_Q4">'Variable Management'!$D$295</definedName>
    <definedName name="Qgs_Q1">'Variable Management'!$B$277</definedName>
    <definedName name="Qgs_Q2">'Variable Management'!$D$277</definedName>
    <definedName name="Qgs_Q3">'Variable Management'!$B$296</definedName>
    <definedName name="Qgs_Q4">'Variable Management'!$D$296</definedName>
    <definedName name="Qoss_Q1">'Variable Management'!$B$278</definedName>
    <definedName name="Qoss_Q2">'Variable Management'!$D$278</definedName>
    <definedName name="Qoss_Q3">'Variable Management'!$B$297</definedName>
    <definedName name="Qoss_Q4">'Variable Management'!$D$297</definedName>
    <definedName name="Qrr_Q2">'Variable Management'!$D$286</definedName>
    <definedName name="Qrr_Q4">'Variable Management'!$D$305</definedName>
    <definedName name="QrrSky_Q2">'Variable Management'!$B$311</definedName>
    <definedName name="QrrSky_Q4">'Variable Management'!$D$311</definedName>
    <definedName name="radconv" localSheetId="5">'Ch2 Stability Calculations'!$Q$6</definedName>
    <definedName name="radconv">'Stability Calculations'!$Q$6</definedName>
    <definedName name="Rcea1">'Variable Management'!$B$225</definedName>
    <definedName name="Rcea1_u">'Variable Management'!$B$230</definedName>
    <definedName name="Rcea2">'Variable Management'!$D$225</definedName>
    <definedName name="Rcea2_u">'Variable Management'!$D$230</definedName>
    <definedName name="RCinEsr">'Variable Management'!$B$151</definedName>
    <definedName name="RCoutEsr">'Variable Management'!$B$126</definedName>
    <definedName name="Rdcr">'Variable Management'!$B$47</definedName>
    <definedName name="Rdcr2">'Variable Management'!$D$47</definedName>
    <definedName name="Rdson1">'Variable Management'!$B$273</definedName>
    <definedName name="Rdson2">'Variable Management'!$D$273</definedName>
    <definedName name="Rdson3">'Variable Management'!$B$292</definedName>
    <definedName name="Rdson4">'Variable Management'!$D$292</definedName>
    <definedName name="RdsonBotTc">'Variable Management'!$B$293</definedName>
    <definedName name="RdsonDRB">'Variable Management'!$B$265</definedName>
    <definedName name="RdsonDRB2">'Variable Management'!$B$266</definedName>
    <definedName name="RdsonDRT">'Variable Management'!$B$262</definedName>
    <definedName name="RdsonDRT2">'Variable Management'!$B$263</definedName>
    <definedName name="RdsonTopTc">'Variable Management'!$B$274</definedName>
    <definedName name="Rfadj">'Variable Management'!$B$30</definedName>
    <definedName name="Rfb1_">'Variable Management'!$B$238</definedName>
    <definedName name="Rfb2_">'Variable Management'!$B$239</definedName>
    <definedName name="Rfb2_u">'Variable Management'!$B$240</definedName>
    <definedName name="Rfb3_">'Variable Management'!$D$238</definedName>
    <definedName name="Rfb4_">'Variable Management'!$D$239</definedName>
    <definedName name="Rfb4_u">'Variable Management'!$D$240</definedName>
    <definedName name="Rfets">'Variable Management'!$B$244</definedName>
    <definedName name="Rgate1">'Variable Management'!$B$280</definedName>
    <definedName name="Rgate2">'Variable Management'!$D$280</definedName>
    <definedName name="Rgate3">'Variable Management'!$B$299</definedName>
    <definedName name="Rgate4">'Variable Management'!$D$299</definedName>
    <definedName name="Ri">'Variable Management'!$B$183</definedName>
    <definedName name="Ri_Ch2">'Variable Management'!$D$183</definedName>
    <definedName name="Ro">'Variable Management'!$B$214</definedName>
    <definedName name="Ro_Ch2">'Variable Management'!$D$214</definedName>
    <definedName name="RoEA">'Variable Management'!$B$204</definedName>
    <definedName name="Rout">'Variable Management'!$B$16</definedName>
    <definedName name="Rout2">'Variable Management'!$B$17</definedName>
    <definedName name="Rpg">'Variable Management'!$B$170</definedName>
    <definedName name="Rs">'Variable Management'!$B$93</definedName>
    <definedName name="Rs_Ch2">'Variable Management'!$D$93</definedName>
    <definedName name="Rs_ideal">'Variable Management'!$B$92</definedName>
    <definedName name="Rs2_ideal">'Variable Management'!$D$92</definedName>
    <definedName name="SCH_DUAL">'Schematic Management'!$B$5</definedName>
    <definedName name="SCH_MODE">'Variable Management'!$U$12</definedName>
    <definedName name="SCH_MULTIPHASE">'Schematic Management'!$B$10</definedName>
    <definedName name="SCH_SINGLE">'Schematic Management'!$B$8</definedName>
    <definedName name="Se_ext">'Variable Management'!$B$186</definedName>
    <definedName name="Se_ext_Ch2">'Variable Management'!$D$186</definedName>
    <definedName name="SENSING_TYPE">'Variable Management'!$AA$17</definedName>
    <definedName name="Sf">'Variable Management'!$B$188</definedName>
    <definedName name="Sf_Ch2">'Variable Management'!$D$188</definedName>
    <definedName name="SINGLE_OUTPUT">'Variable Management'!$U$14</definedName>
    <definedName name="Sn">'Variable Management'!$B$187</definedName>
    <definedName name="Sn_Ch2">'Variable Management'!$D$187</definedName>
    <definedName name="Ta">'Variable Management'!$B$253</definedName>
    <definedName name="Tf_buck">'Variable Management'!$B$319</definedName>
    <definedName name="Tf_Ch2">'Variable Management'!$D$319</definedName>
    <definedName name="ThetaCa">'Variable Management'!$B$256</definedName>
    <definedName name="ThetaJA_Q1">'Variable Management'!$B$288</definedName>
    <definedName name="ThetaJA_Q2">'Variable Management'!$D$288</definedName>
    <definedName name="ThetaJA_Q3">'Variable Management'!$B$307</definedName>
    <definedName name="ThetaJA_Q4">'Variable Management'!$D$307</definedName>
    <definedName name="ThetaJaCtrl">'Variable Management'!$B$315</definedName>
    <definedName name="TL">'Variable Management'!$B$73</definedName>
    <definedName name="Tr_buck">'Variable Management'!$B$318</definedName>
    <definedName name="Tr_Ch2">'Variable Management'!$D$318</definedName>
    <definedName name="Tres">'Variable Management'!$B$166</definedName>
    <definedName name="Trr_Q1">'Variable Management'!$B$287</definedName>
    <definedName name="Trr_Q2">'Variable Management'!$D$287</definedName>
    <definedName name="Trr_Q3">'Variable Management'!$B$306</definedName>
    <definedName name="Trr_Q4">'Variable Management'!$D$306</definedName>
    <definedName name="Ts">'Variable Management'!$B$28</definedName>
    <definedName name="Tss">'Variable Management'!$B$160</definedName>
    <definedName name="VARIANT">'Variable Management'!$Y$25</definedName>
    <definedName name="VCC">'Variable Management'!$B$260</definedName>
    <definedName name="VfdSky_Q2">'Variable Management'!$B$310</definedName>
    <definedName name="VfdSky_Q4">'Variable Management'!$D$310</definedName>
    <definedName name="Vin">'Variable Management'!$B$8</definedName>
    <definedName name="VIN_max">'Variable Management'!$B$9</definedName>
    <definedName name="VIN_MAX_RATING">'Variable Management'!$X$26</definedName>
    <definedName name="VIN_min">'Variable Management'!$B$7</definedName>
    <definedName name="VIN_nom">'Variable Management'!$B$8</definedName>
    <definedName name="Vinripple1">'Variable Management'!$B$140</definedName>
    <definedName name="Vinripple2">'Variable Management'!$B$140+'Variable Management'!$D$140</definedName>
    <definedName name="Vo1_ripple">'Variable Management'!$B$116</definedName>
    <definedName name="Vo2_ripple">'Variable Management'!$D$116</definedName>
    <definedName name="Vout">'Variable Management'!$B$11</definedName>
    <definedName name="VOUT_MAX_RATING">'Variable Management'!$X$27</definedName>
    <definedName name="Vout2">'Variable Management'!$B$13</definedName>
    <definedName name="Vref">'Variable Management'!$B$29</definedName>
    <definedName name="Vsd_Q1">'Variable Management'!$B$285</definedName>
    <definedName name="Vsd_Q2">'Variable Management'!$D$285</definedName>
    <definedName name="Vsd_Q3">'Variable Management'!$B$304</definedName>
    <definedName name="Vsd_Q4">'Variable Management'!$D$304</definedName>
    <definedName name="Vsp_Q1">'Variable Management'!$B$283</definedName>
    <definedName name="Vsp_Q2">'Variable Management'!$D$283</definedName>
    <definedName name="Vsp_Q3">'Variable Management'!$B$302</definedName>
    <definedName name="Vsp_Q4">'Variable Management'!$D$302</definedName>
    <definedName name="Vth_Q1">'Variable Management'!$B$282</definedName>
    <definedName name="Vth_Q2">'Variable Management'!$D$282</definedName>
    <definedName name="Vth_Q3">'Variable Management'!$B$301</definedName>
    <definedName name="Vth_Q4">'Variable Management'!$D$301</definedName>
    <definedName name="z_RHP" localSheetId="5">'Ch2 Stability Calculations'!$K$5</definedName>
    <definedName name="z_RHP">'Stability Calculations'!$K$5</definedName>
    <definedName name="Zero1" localSheetId="5">'Ch2 Stability Calculations'!$K$3</definedName>
    <definedName name="Zero1">'Stability Calculations'!$K$3</definedName>
    <definedName name="Zero2" localSheetId="5">'Ch2 Stability Calculations'!$C$4</definedName>
    <definedName name="Zero2">'Stability Calculations'!$C$4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25" i="2" l="1"/>
  <c r="D75" i="16" l="1"/>
  <c r="C75" i="16"/>
  <c r="I75" i="16"/>
  <c r="X27" i="2"/>
  <c r="X26" i="2"/>
  <c r="D93" i="2" l="1"/>
  <c r="AN111" i="23" s="1"/>
  <c r="F87" i="2" l="1"/>
  <c r="AA19" i="2"/>
  <c r="B298" i="2" l="1"/>
  <c r="D298" i="2"/>
  <c r="D297" i="2"/>
  <c r="B297" i="2"/>
  <c r="D279" i="2"/>
  <c r="D278" i="2"/>
  <c r="B279" i="2"/>
  <c r="B278" i="2"/>
  <c r="L37" i="1" l="1"/>
  <c r="Q37" i="1"/>
  <c r="L35" i="1"/>
  <c r="L38" i="1"/>
  <c r="D69" i="1" l="1"/>
  <c r="AE687" i="25"/>
  <c r="V613" i="25"/>
  <c r="B613" i="25"/>
  <c r="V612" i="25"/>
  <c r="B612" i="25"/>
  <c r="V611" i="25"/>
  <c r="B611" i="25"/>
  <c r="V610" i="25"/>
  <c r="B610" i="25"/>
  <c r="V609" i="25"/>
  <c r="B609" i="25"/>
  <c r="V608" i="25"/>
  <c r="B608" i="25"/>
  <c r="V607" i="25"/>
  <c r="B607" i="25"/>
  <c r="V606" i="25"/>
  <c r="B606" i="25"/>
  <c r="V605" i="25"/>
  <c r="B605" i="25"/>
  <c r="V604" i="25"/>
  <c r="B604" i="25"/>
  <c r="V603" i="25"/>
  <c r="B603" i="25"/>
  <c r="V602" i="25"/>
  <c r="B602" i="25"/>
  <c r="V601" i="25"/>
  <c r="B601" i="25"/>
  <c r="V600" i="25"/>
  <c r="B600" i="25"/>
  <c r="V599" i="25"/>
  <c r="B599" i="25"/>
  <c r="V598" i="25"/>
  <c r="B598" i="25"/>
  <c r="V597" i="25"/>
  <c r="B597" i="25"/>
  <c r="V596" i="25"/>
  <c r="B596" i="25"/>
  <c r="V595" i="25"/>
  <c r="B595" i="25"/>
  <c r="V594" i="25"/>
  <c r="B594" i="25"/>
  <c r="V593" i="25"/>
  <c r="B593" i="25"/>
  <c r="V592" i="25"/>
  <c r="B592" i="25"/>
  <c r="V591" i="25"/>
  <c r="B591" i="25"/>
  <c r="V590" i="25"/>
  <c r="B590" i="25"/>
  <c r="V589" i="25"/>
  <c r="B589" i="25"/>
  <c r="V588" i="25"/>
  <c r="B588" i="25"/>
  <c r="V587" i="25"/>
  <c r="B587" i="25"/>
  <c r="V586" i="25"/>
  <c r="B586" i="25"/>
  <c r="V585" i="25"/>
  <c r="B585" i="25"/>
  <c r="V584" i="25"/>
  <c r="B584" i="25"/>
  <c r="V583" i="25"/>
  <c r="B583" i="25"/>
  <c r="V582" i="25"/>
  <c r="B582" i="25"/>
  <c r="V581" i="25"/>
  <c r="B581" i="25"/>
  <c r="V580" i="25"/>
  <c r="B580" i="25"/>
  <c r="V579" i="25"/>
  <c r="B579" i="25"/>
  <c r="V578" i="25"/>
  <c r="B578" i="25"/>
  <c r="V577" i="25"/>
  <c r="B577" i="25"/>
  <c r="V576" i="25"/>
  <c r="B576" i="25"/>
  <c r="V575" i="25"/>
  <c r="B575" i="25"/>
  <c r="V574" i="25"/>
  <c r="B574" i="25"/>
  <c r="V573" i="25"/>
  <c r="B573" i="25"/>
  <c r="V572" i="25"/>
  <c r="B572" i="25"/>
  <c r="V571" i="25"/>
  <c r="B571" i="25"/>
  <c r="V570" i="25"/>
  <c r="B570" i="25"/>
  <c r="V569" i="25"/>
  <c r="B569" i="25"/>
  <c r="V568" i="25"/>
  <c r="B568" i="25"/>
  <c r="V567" i="25"/>
  <c r="B567" i="25"/>
  <c r="V566" i="25"/>
  <c r="B566" i="25"/>
  <c r="V565" i="25"/>
  <c r="B565" i="25"/>
  <c r="V564" i="25"/>
  <c r="B564" i="25"/>
  <c r="V563" i="25"/>
  <c r="B563" i="25"/>
  <c r="V562" i="25"/>
  <c r="B562" i="25"/>
  <c r="V561" i="25"/>
  <c r="B561" i="25"/>
  <c r="V560" i="25"/>
  <c r="B560" i="25"/>
  <c r="V559" i="25"/>
  <c r="B559" i="25"/>
  <c r="V558" i="25"/>
  <c r="B558" i="25"/>
  <c r="V557" i="25"/>
  <c r="B557" i="25"/>
  <c r="V556" i="25"/>
  <c r="B556" i="25"/>
  <c r="V555" i="25"/>
  <c r="B555" i="25"/>
  <c r="V554" i="25"/>
  <c r="B554" i="25"/>
  <c r="V553" i="25"/>
  <c r="B553" i="25"/>
  <c r="V552" i="25"/>
  <c r="B552" i="25"/>
  <c r="V551" i="25"/>
  <c r="B551" i="25"/>
  <c r="V550" i="25"/>
  <c r="B550" i="25"/>
  <c r="V549" i="25"/>
  <c r="B549" i="25"/>
  <c r="V548" i="25"/>
  <c r="B548" i="25"/>
  <c r="V547" i="25"/>
  <c r="B547" i="25"/>
  <c r="V546" i="25"/>
  <c r="B546" i="25"/>
  <c r="V545" i="25"/>
  <c r="B545" i="25"/>
  <c r="V544" i="25"/>
  <c r="B544" i="25"/>
  <c r="V543" i="25"/>
  <c r="B543" i="25"/>
  <c r="V542" i="25"/>
  <c r="B542" i="25"/>
  <c r="V541" i="25"/>
  <c r="B541" i="25"/>
  <c r="V540" i="25"/>
  <c r="B540" i="25"/>
  <c r="V539" i="25"/>
  <c r="B539" i="25"/>
  <c r="V538" i="25"/>
  <c r="B538" i="25"/>
  <c r="V537" i="25"/>
  <c r="B537" i="25"/>
  <c r="V536" i="25"/>
  <c r="B536" i="25"/>
  <c r="V535" i="25"/>
  <c r="B535" i="25"/>
  <c r="V534" i="25"/>
  <c r="B534" i="25"/>
  <c r="V533" i="25"/>
  <c r="B533" i="25"/>
  <c r="V532" i="25"/>
  <c r="B532" i="25"/>
  <c r="V531" i="25"/>
  <c r="B531" i="25"/>
  <c r="V530" i="25"/>
  <c r="B530" i="25"/>
  <c r="V529" i="25"/>
  <c r="B529" i="25"/>
  <c r="V528" i="25"/>
  <c r="B528" i="25"/>
  <c r="V527" i="25"/>
  <c r="B527" i="25"/>
  <c r="V526" i="25"/>
  <c r="B526" i="25"/>
  <c r="V525" i="25"/>
  <c r="B525" i="25"/>
  <c r="V524" i="25"/>
  <c r="B524" i="25"/>
  <c r="V523" i="25"/>
  <c r="B523" i="25"/>
  <c r="V522" i="25"/>
  <c r="B522" i="25"/>
  <c r="V521" i="25"/>
  <c r="B521" i="25"/>
  <c r="V520" i="25"/>
  <c r="B520" i="25"/>
  <c r="V519" i="25"/>
  <c r="B519" i="25"/>
  <c r="V518" i="25"/>
  <c r="B518" i="25"/>
  <c r="V517" i="25"/>
  <c r="B517" i="25"/>
  <c r="V516" i="25"/>
  <c r="B516" i="25"/>
  <c r="V515" i="25"/>
  <c r="B515" i="25"/>
  <c r="V514" i="25"/>
  <c r="B514" i="25"/>
  <c r="V513" i="25"/>
  <c r="B513" i="25"/>
  <c r="V512" i="25"/>
  <c r="B512" i="25"/>
  <c r="V511" i="25"/>
  <c r="B511" i="25"/>
  <c r="V510" i="25"/>
  <c r="B510" i="25"/>
  <c r="V509" i="25"/>
  <c r="B509" i="25"/>
  <c r="V508" i="25"/>
  <c r="B508" i="25"/>
  <c r="V507" i="25"/>
  <c r="B507" i="25"/>
  <c r="V506" i="25"/>
  <c r="B506" i="25"/>
  <c r="V505" i="25"/>
  <c r="B505" i="25"/>
  <c r="V504" i="25"/>
  <c r="B504" i="25"/>
  <c r="V503" i="25"/>
  <c r="B503" i="25"/>
  <c r="V502" i="25"/>
  <c r="B502" i="25"/>
  <c r="V501" i="25"/>
  <c r="B501" i="25"/>
  <c r="V500" i="25"/>
  <c r="B500" i="25"/>
  <c r="V499" i="25"/>
  <c r="B499" i="25"/>
  <c r="V498" i="25"/>
  <c r="B498" i="25"/>
  <c r="V497" i="25"/>
  <c r="B497" i="25"/>
  <c r="V496" i="25"/>
  <c r="B496" i="25"/>
  <c r="V495" i="25"/>
  <c r="B495" i="25"/>
  <c r="V494" i="25"/>
  <c r="B494" i="25"/>
  <c r="V493" i="25"/>
  <c r="B493" i="25"/>
  <c r="V492" i="25"/>
  <c r="B492" i="25"/>
  <c r="V491" i="25"/>
  <c r="B491" i="25"/>
  <c r="V490" i="25"/>
  <c r="B490" i="25"/>
  <c r="V489" i="25"/>
  <c r="B489" i="25"/>
  <c r="V488" i="25"/>
  <c r="B488" i="25"/>
  <c r="V487" i="25"/>
  <c r="B487" i="25"/>
  <c r="V486" i="25"/>
  <c r="B486" i="25"/>
  <c r="V485" i="25"/>
  <c r="B485" i="25"/>
  <c r="V484" i="25"/>
  <c r="B484" i="25"/>
  <c r="V483" i="25"/>
  <c r="B483" i="25"/>
  <c r="V482" i="25"/>
  <c r="B482" i="25"/>
  <c r="V481" i="25"/>
  <c r="B481" i="25"/>
  <c r="V480" i="25"/>
  <c r="B480" i="25"/>
  <c r="V479" i="25"/>
  <c r="B479" i="25"/>
  <c r="V478" i="25"/>
  <c r="B478" i="25"/>
  <c r="V477" i="25"/>
  <c r="B477" i="25"/>
  <c r="V476" i="25"/>
  <c r="B476" i="25"/>
  <c r="V475" i="25"/>
  <c r="B475" i="25"/>
  <c r="V474" i="25"/>
  <c r="B474" i="25"/>
  <c r="V473" i="25"/>
  <c r="B473" i="25"/>
  <c r="V472" i="25"/>
  <c r="B472" i="25"/>
  <c r="V471" i="25"/>
  <c r="B471" i="25"/>
  <c r="V470" i="25"/>
  <c r="B470" i="25"/>
  <c r="V469" i="25"/>
  <c r="B469" i="25"/>
  <c r="V468" i="25"/>
  <c r="B468" i="25"/>
  <c r="V467" i="25"/>
  <c r="B467" i="25"/>
  <c r="V466" i="25"/>
  <c r="B466" i="25"/>
  <c r="V465" i="25"/>
  <c r="B465" i="25"/>
  <c r="V464" i="25"/>
  <c r="B464" i="25"/>
  <c r="V463" i="25"/>
  <c r="B463" i="25"/>
  <c r="V462" i="25"/>
  <c r="B462" i="25"/>
  <c r="V461" i="25"/>
  <c r="B461" i="25"/>
  <c r="V460" i="25"/>
  <c r="B460" i="25"/>
  <c r="V459" i="25"/>
  <c r="B459" i="25"/>
  <c r="V458" i="25"/>
  <c r="B458" i="25"/>
  <c r="V457" i="25"/>
  <c r="B457" i="25"/>
  <c r="V456" i="25"/>
  <c r="B456" i="25"/>
  <c r="V455" i="25"/>
  <c r="B455" i="25"/>
  <c r="V454" i="25"/>
  <c r="B454" i="25"/>
  <c r="V453" i="25"/>
  <c r="B453" i="25"/>
  <c r="V452" i="25"/>
  <c r="B452" i="25"/>
  <c r="V451" i="25"/>
  <c r="B451" i="25"/>
  <c r="V450" i="25"/>
  <c r="B450" i="25"/>
  <c r="V449" i="25"/>
  <c r="B449" i="25"/>
  <c r="V448" i="25"/>
  <c r="B448" i="25"/>
  <c r="V447" i="25"/>
  <c r="B447" i="25"/>
  <c r="V446" i="25"/>
  <c r="B446" i="25"/>
  <c r="V445" i="25"/>
  <c r="B445" i="25"/>
  <c r="V444" i="25"/>
  <c r="B444" i="25"/>
  <c r="V443" i="25"/>
  <c r="B443" i="25"/>
  <c r="V442" i="25"/>
  <c r="B442" i="25"/>
  <c r="V441" i="25"/>
  <c r="B441" i="25"/>
  <c r="V440" i="25"/>
  <c r="B440" i="25"/>
  <c r="V439" i="25"/>
  <c r="B439" i="25"/>
  <c r="V438" i="25"/>
  <c r="B438" i="25"/>
  <c r="V437" i="25"/>
  <c r="B437" i="25"/>
  <c r="V436" i="25"/>
  <c r="B436" i="25"/>
  <c r="V435" i="25"/>
  <c r="B435" i="25"/>
  <c r="V434" i="25"/>
  <c r="B434" i="25"/>
  <c r="V433" i="25"/>
  <c r="B433" i="25"/>
  <c r="V432" i="25"/>
  <c r="B432" i="25"/>
  <c r="V431" i="25"/>
  <c r="B431" i="25"/>
  <c r="V430" i="25"/>
  <c r="B430" i="25"/>
  <c r="V429" i="25"/>
  <c r="B429" i="25"/>
  <c r="V428" i="25"/>
  <c r="B428" i="25"/>
  <c r="V427" i="25"/>
  <c r="B427" i="25"/>
  <c r="V426" i="25"/>
  <c r="B426" i="25"/>
  <c r="V425" i="25"/>
  <c r="B425" i="25"/>
  <c r="V424" i="25"/>
  <c r="B424" i="25"/>
  <c r="V423" i="25"/>
  <c r="B423" i="25"/>
  <c r="V422" i="25"/>
  <c r="B422" i="25"/>
  <c r="V421" i="25"/>
  <c r="B421" i="25"/>
  <c r="V420" i="25"/>
  <c r="B420" i="25"/>
  <c r="V419" i="25"/>
  <c r="B419" i="25"/>
  <c r="V418" i="25"/>
  <c r="B418" i="25"/>
  <c r="V417" i="25"/>
  <c r="B417" i="25"/>
  <c r="V416" i="25"/>
  <c r="B416" i="25"/>
  <c r="V415" i="25"/>
  <c r="B415" i="25"/>
  <c r="V414" i="25"/>
  <c r="B414" i="25"/>
  <c r="V413" i="25"/>
  <c r="B413" i="25"/>
  <c r="V412" i="25"/>
  <c r="B412" i="25"/>
  <c r="V411" i="25"/>
  <c r="B411" i="25"/>
  <c r="V410" i="25"/>
  <c r="B410" i="25"/>
  <c r="V409" i="25"/>
  <c r="B409" i="25"/>
  <c r="V408" i="25"/>
  <c r="B408" i="25"/>
  <c r="V407" i="25"/>
  <c r="B407" i="25"/>
  <c r="V406" i="25"/>
  <c r="B406" i="25"/>
  <c r="V405" i="25"/>
  <c r="B405" i="25"/>
  <c r="V404" i="25"/>
  <c r="B404" i="25"/>
  <c r="V403" i="25"/>
  <c r="B403" i="25"/>
  <c r="V402" i="25"/>
  <c r="B402" i="25"/>
  <c r="V401" i="25"/>
  <c r="B401" i="25"/>
  <c r="V400" i="25"/>
  <c r="B400" i="25"/>
  <c r="V399" i="25"/>
  <c r="B399" i="25"/>
  <c r="V398" i="25"/>
  <c r="B398" i="25"/>
  <c r="V397" i="25"/>
  <c r="B397" i="25"/>
  <c r="V396" i="25"/>
  <c r="B396" i="25"/>
  <c r="V395" i="25"/>
  <c r="B395" i="25"/>
  <c r="V394" i="25"/>
  <c r="B394" i="25"/>
  <c r="V393" i="25"/>
  <c r="B393" i="25"/>
  <c r="V392" i="25"/>
  <c r="B392" i="25"/>
  <c r="V391" i="25"/>
  <c r="B391" i="25"/>
  <c r="V390" i="25"/>
  <c r="B390" i="25"/>
  <c r="V389" i="25"/>
  <c r="B389" i="25"/>
  <c r="V388" i="25"/>
  <c r="B388" i="25"/>
  <c r="V387" i="25"/>
  <c r="B387" i="25"/>
  <c r="V386" i="25"/>
  <c r="B386" i="25"/>
  <c r="V385" i="25"/>
  <c r="B385" i="25"/>
  <c r="V384" i="25"/>
  <c r="B384" i="25"/>
  <c r="V383" i="25"/>
  <c r="B383" i="25"/>
  <c r="V382" i="25"/>
  <c r="B382" i="25"/>
  <c r="V381" i="25"/>
  <c r="B381" i="25"/>
  <c r="V380" i="25"/>
  <c r="B380" i="25"/>
  <c r="V379" i="25"/>
  <c r="B379" i="25"/>
  <c r="V378" i="25"/>
  <c r="B378" i="25"/>
  <c r="V377" i="25"/>
  <c r="B377" i="25"/>
  <c r="V376" i="25"/>
  <c r="B376" i="25"/>
  <c r="V375" i="25"/>
  <c r="B375" i="25"/>
  <c r="V374" i="25"/>
  <c r="B374" i="25"/>
  <c r="V373" i="25"/>
  <c r="B373" i="25"/>
  <c r="V372" i="25"/>
  <c r="B372" i="25"/>
  <c r="V371" i="25"/>
  <c r="B371" i="25"/>
  <c r="V370" i="25"/>
  <c r="B370" i="25"/>
  <c r="V369" i="25"/>
  <c r="B369" i="25"/>
  <c r="V368" i="25"/>
  <c r="B368" i="25"/>
  <c r="V367" i="25"/>
  <c r="B367" i="25"/>
  <c r="V366" i="25"/>
  <c r="B366" i="25"/>
  <c r="V365" i="25"/>
  <c r="B365" i="25"/>
  <c r="V364" i="25"/>
  <c r="B364" i="25"/>
  <c r="V363" i="25"/>
  <c r="B363" i="25"/>
  <c r="V362" i="25"/>
  <c r="B362" i="25"/>
  <c r="V361" i="25"/>
  <c r="B361" i="25"/>
  <c r="V360" i="25"/>
  <c r="B360" i="25"/>
  <c r="V359" i="25"/>
  <c r="B359" i="25"/>
  <c r="V358" i="25"/>
  <c r="B358" i="25"/>
  <c r="V357" i="25"/>
  <c r="B357" i="25"/>
  <c r="V356" i="25"/>
  <c r="B356" i="25"/>
  <c r="V355" i="25"/>
  <c r="B355" i="25"/>
  <c r="V354" i="25"/>
  <c r="B354" i="25"/>
  <c r="V353" i="25"/>
  <c r="B353" i="25"/>
  <c r="V352" i="25"/>
  <c r="B352" i="25"/>
  <c r="V351" i="25"/>
  <c r="B351" i="25"/>
  <c r="V350" i="25"/>
  <c r="B350" i="25"/>
  <c r="V349" i="25"/>
  <c r="B349" i="25"/>
  <c r="V348" i="25"/>
  <c r="B348" i="25"/>
  <c r="V347" i="25"/>
  <c r="B347" i="25"/>
  <c r="V346" i="25"/>
  <c r="B346" i="25"/>
  <c r="V345" i="25"/>
  <c r="B345" i="25"/>
  <c r="V344" i="25"/>
  <c r="B344" i="25"/>
  <c r="V343" i="25"/>
  <c r="B343" i="25"/>
  <c r="V342" i="25"/>
  <c r="B342" i="25"/>
  <c r="V341" i="25"/>
  <c r="B341" i="25"/>
  <c r="V340" i="25"/>
  <c r="B340" i="25"/>
  <c r="V339" i="25"/>
  <c r="B339" i="25"/>
  <c r="V338" i="25"/>
  <c r="B338" i="25"/>
  <c r="V337" i="25"/>
  <c r="B337" i="25"/>
  <c r="V336" i="25"/>
  <c r="B336" i="25"/>
  <c r="V335" i="25"/>
  <c r="B335" i="25"/>
  <c r="V334" i="25"/>
  <c r="B334" i="25"/>
  <c r="V333" i="25"/>
  <c r="B333" i="25"/>
  <c r="V332" i="25"/>
  <c r="B332" i="25"/>
  <c r="V331" i="25"/>
  <c r="B331" i="25"/>
  <c r="V330" i="25"/>
  <c r="B330" i="25"/>
  <c r="V329" i="25"/>
  <c r="B329" i="25"/>
  <c r="V328" i="25"/>
  <c r="B328" i="25"/>
  <c r="V327" i="25"/>
  <c r="B327" i="25"/>
  <c r="V326" i="25"/>
  <c r="B326" i="25"/>
  <c r="V325" i="25"/>
  <c r="B325" i="25"/>
  <c r="V324" i="25"/>
  <c r="B324" i="25"/>
  <c r="V323" i="25"/>
  <c r="B323" i="25"/>
  <c r="V322" i="25"/>
  <c r="B322" i="25"/>
  <c r="V321" i="25"/>
  <c r="B321" i="25"/>
  <c r="V320" i="25"/>
  <c r="B320" i="25"/>
  <c r="V319" i="25"/>
  <c r="B319" i="25"/>
  <c r="V318" i="25"/>
  <c r="B318" i="25"/>
  <c r="V317" i="25"/>
  <c r="B317" i="25"/>
  <c r="V316" i="25"/>
  <c r="B316" i="25"/>
  <c r="V315" i="25"/>
  <c r="B315" i="25"/>
  <c r="V314" i="25"/>
  <c r="B314" i="25"/>
  <c r="V313" i="25"/>
  <c r="B313" i="25"/>
  <c r="V312" i="25"/>
  <c r="B312" i="25"/>
  <c r="V311" i="25"/>
  <c r="B311" i="25"/>
  <c r="V310" i="25"/>
  <c r="B310" i="25"/>
  <c r="V309" i="25"/>
  <c r="B309" i="25"/>
  <c r="V308" i="25"/>
  <c r="B308" i="25"/>
  <c r="V307" i="25"/>
  <c r="B307" i="25"/>
  <c r="V306" i="25"/>
  <c r="B306" i="25"/>
  <c r="V305" i="25"/>
  <c r="B305" i="25"/>
  <c r="V304" i="25"/>
  <c r="B304" i="25"/>
  <c r="V303" i="25"/>
  <c r="B303" i="25"/>
  <c r="V302" i="25"/>
  <c r="B302" i="25"/>
  <c r="V301" i="25"/>
  <c r="B301" i="25"/>
  <c r="V300" i="25"/>
  <c r="B300" i="25"/>
  <c r="V299" i="25"/>
  <c r="B299" i="25"/>
  <c r="V298" i="25"/>
  <c r="B298" i="25"/>
  <c r="V297" i="25"/>
  <c r="B297" i="25"/>
  <c r="V296" i="25"/>
  <c r="B296" i="25"/>
  <c r="V295" i="25"/>
  <c r="B295" i="25"/>
  <c r="V294" i="25"/>
  <c r="B294" i="25"/>
  <c r="V293" i="25"/>
  <c r="B293" i="25"/>
  <c r="V292" i="25"/>
  <c r="B292" i="25"/>
  <c r="V291" i="25"/>
  <c r="B291" i="25"/>
  <c r="V290" i="25"/>
  <c r="B290" i="25"/>
  <c r="V289" i="25"/>
  <c r="B289" i="25"/>
  <c r="V288" i="25"/>
  <c r="B288" i="25"/>
  <c r="V287" i="25"/>
  <c r="B287" i="25"/>
  <c r="V286" i="25"/>
  <c r="B286" i="25"/>
  <c r="V285" i="25"/>
  <c r="B285" i="25"/>
  <c r="V284" i="25"/>
  <c r="B284" i="25"/>
  <c r="V283" i="25"/>
  <c r="B283" i="25"/>
  <c r="V282" i="25"/>
  <c r="B282" i="25"/>
  <c r="V281" i="25"/>
  <c r="B281" i="25"/>
  <c r="V280" i="25"/>
  <c r="B280" i="25"/>
  <c r="V279" i="25"/>
  <c r="B279" i="25"/>
  <c r="V278" i="25"/>
  <c r="B278" i="25"/>
  <c r="V277" i="25"/>
  <c r="B277" i="25"/>
  <c r="V276" i="25"/>
  <c r="B276" i="25"/>
  <c r="V275" i="25"/>
  <c r="B275" i="25"/>
  <c r="V274" i="25"/>
  <c r="B274" i="25"/>
  <c r="V273" i="25"/>
  <c r="B273" i="25"/>
  <c r="V272" i="25"/>
  <c r="B272" i="25"/>
  <c r="V271" i="25"/>
  <c r="B271" i="25"/>
  <c r="V270" i="25"/>
  <c r="B270" i="25"/>
  <c r="V269" i="25"/>
  <c r="B269" i="25"/>
  <c r="V268" i="25"/>
  <c r="B268" i="25"/>
  <c r="V267" i="25"/>
  <c r="B267" i="25"/>
  <c r="V266" i="25"/>
  <c r="B266" i="25"/>
  <c r="V265" i="25"/>
  <c r="B265" i="25"/>
  <c r="V264" i="25"/>
  <c r="B264" i="25"/>
  <c r="V263" i="25"/>
  <c r="B263" i="25"/>
  <c r="V262" i="25"/>
  <c r="B262" i="25"/>
  <c r="V261" i="25"/>
  <c r="B261" i="25"/>
  <c r="V260" i="25"/>
  <c r="B260" i="25"/>
  <c r="V259" i="25"/>
  <c r="B259" i="25"/>
  <c r="V258" i="25"/>
  <c r="B258" i="25"/>
  <c r="V257" i="25"/>
  <c r="B257" i="25"/>
  <c r="V256" i="25"/>
  <c r="B256" i="25"/>
  <c r="V255" i="25"/>
  <c r="B255" i="25"/>
  <c r="V254" i="25"/>
  <c r="B254" i="25"/>
  <c r="V253" i="25"/>
  <c r="B253" i="25"/>
  <c r="V252" i="25"/>
  <c r="B252" i="25"/>
  <c r="V251" i="25"/>
  <c r="B251" i="25"/>
  <c r="V250" i="25"/>
  <c r="B250" i="25"/>
  <c r="V249" i="25"/>
  <c r="B249" i="25"/>
  <c r="V248" i="25"/>
  <c r="B248" i="25"/>
  <c r="V247" i="25"/>
  <c r="B247" i="25"/>
  <c r="V246" i="25"/>
  <c r="B246" i="25"/>
  <c r="V245" i="25"/>
  <c r="B245" i="25"/>
  <c r="V244" i="25"/>
  <c r="B244" i="25"/>
  <c r="V243" i="25"/>
  <c r="B243" i="25"/>
  <c r="V242" i="25"/>
  <c r="B242" i="25"/>
  <c r="V241" i="25"/>
  <c r="B241" i="25"/>
  <c r="V240" i="25"/>
  <c r="B240" i="25"/>
  <c r="V239" i="25"/>
  <c r="B239" i="25"/>
  <c r="V238" i="25"/>
  <c r="B238" i="25"/>
  <c r="V237" i="25"/>
  <c r="B237" i="25"/>
  <c r="V236" i="25"/>
  <c r="B236" i="25"/>
  <c r="V235" i="25"/>
  <c r="B235" i="25"/>
  <c r="V234" i="25"/>
  <c r="B234" i="25"/>
  <c r="V233" i="25"/>
  <c r="B233" i="25"/>
  <c r="V232" i="25"/>
  <c r="B232" i="25"/>
  <c r="V231" i="25"/>
  <c r="B231" i="25"/>
  <c r="V230" i="25"/>
  <c r="B230" i="25"/>
  <c r="V229" i="25"/>
  <c r="B229" i="25"/>
  <c r="V228" i="25"/>
  <c r="B228" i="25"/>
  <c r="V227" i="25"/>
  <c r="B227" i="25"/>
  <c r="V226" i="25"/>
  <c r="B226" i="25"/>
  <c r="V225" i="25"/>
  <c r="B225" i="25"/>
  <c r="V224" i="25"/>
  <c r="B224" i="25"/>
  <c r="V223" i="25"/>
  <c r="B223" i="25"/>
  <c r="V222" i="25"/>
  <c r="B222" i="25"/>
  <c r="V221" i="25"/>
  <c r="B221" i="25"/>
  <c r="V220" i="25"/>
  <c r="B220" i="25"/>
  <c r="V219" i="25"/>
  <c r="B219" i="25"/>
  <c r="V218" i="25"/>
  <c r="B218" i="25"/>
  <c r="V217" i="25"/>
  <c r="B217" i="25"/>
  <c r="V216" i="25"/>
  <c r="B216" i="25"/>
  <c r="V215" i="25"/>
  <c r="B215" i="25"/>
  <c r="V214" i="25"/>
  <c r="B214" i="25"/>
  <c r="V213" i="25"/>
  <c r="B213" i="25"/>
  <c r="V212" i="25"/>
  <c r="B212" i="25"/>
  <c r="V211" i="25"/>
  <c r="B211" i="25"/>
  <c r="V210" i="25"/>
  <c r="B210" i="25"/>
  <c r="V209" i="25"/>
  <c r="B209" i="25"/>
  <c r="V208" i="25"/>
  <c r="B208" i="25"/>
  <c r="V207" i="25"/>
  <c r="B207" i="25"/>
  <c r="V206" i="25"/>
  <c r="B206" i="25"/>
  <c r="V205" i="25"/>
  <c r="B205" i="25"/>
  <c r="V204" i="25"/>
  <c r="B204" i="25"/>
  <c r="V203" i="25"/>
  <c r="B203" i="25"/>
  <c r="V202" i="25"/>
  <c r="B202" i="25"/>
  <c r="V201" i="25"/>
  <c r="B201" i="25"/>
  <c r="V200" i="25"/>
  <c r="B200" i="25"/>
  <c r="V199" i="25"/>
  <c r="B199" i="25"/>
  <c r="V198" i="25"/>
  <c r="B198" i="25"/>
  <c r="V197" i="25"/>
  <c r="B197" i="25"/>
  <c r="V196" i="25"/>
  <c r="B196" i="25"/>
  <c r="V195" i="25"/>
  <c r="B195" i="25"/>
  <c r="V194" i="25"/>
  <c r="B194" i="25"/>
  <c r="V193" i="25"/>
  <c r="B193" i="25"/>
  <c r="V192" i="25"/>
  <c r="B192" i="25"/>
  <c r="V191" i="25"/>
  <c r="B191" i="25"/>
  <c r="V190" i="25"/>
  <c r="B190" i="25"/>
  <c r="V189" i="25"/>
  <c r="B189" i="25"/>
  <c r="V188" i="25"/>
  <c r="B188" i="25"/>
  <c r="V187" i="25"/>
  <c r="B187" i="25"/>
  <c r="V186" i="25"/>
  <c r="B186" i="25"/>
  <c r="V185" i="25"/>
  <c r="B185" i="25"/>
  <c r="V184" i="25"/>
  <c r="B184" i="25"/>
  <c r="V183" i="25"/>
  <c r="B183" i="25"/>
  <c r="V182" i="25"/>
  <c r="B182" i="25"/>
  <c r="V181" i="25"/>
  <c r="B181" i="25"/>
  <c r="V180" i="25"/>
  <c r="B180" i="25"/>
  <c r="V179" i="25"/>
  <c r="B179" i="25"/>
  <c r="V178" i="25"/>
  <c r="B178" i="25"/>
  <c r="V177" i="25"/>
  <c r="B177" i="25"/>
  <c r="V176" i="25"/>
  <c r="B176" i="25"/>
  <c r="V175" i="25"/>
  <c r="B175" i="25"/>
  <c r="V174" i="25"/>
  <c r="B174" i="25"/>
  <c r="V173" i="25"/>
  <c r="B173" i="25"/>
  <c r="V172" i="25"/>
  <c r="B172" i="25"/>
  <c r="V171" i="25"/>
  <c r="B171" i="25"/>
  <c r="V170" i="25"/>
  <c r="B170" i="25"/>
  <c r="V169" i="25"/>
  <c r="B169" i="25"/>
  <c r="V168" i="25"/>
  <c r="B168" i="25"/>
  <c r="V167" i="25"/>
  <c r="B167" i="25"/>
  <c r="V166" i="25"/>
  <c r="B166" i="25"/>
  <c r="V165" i="25"/>
  <c r="B165" i="25"/>
  <c r="V164" i="25"/>
  <c r="B164" i="25"/>
  <c r="V163" i="25"/>
  <c r="B163" i="25"/>
  <c r="V162" i="25"/>
  <c r="B162" i="25"/>
  <c r="V161" i="25"/>
  <c r="B161" i="25"/>
  <c r="V160" i="25"/>
  <c r="B160" i="25"/>
  <c r="V159" i="25"/>
  <c r="B159" i="25"/>
  <c r="V158" i="25"/>
  <c r="B158" i="25"/>
  <c r="V157" i="25"/>
  <c r="B157" i="25"/>
  <c r="V156" i="25"/>
  <c r="B156" i="25"/>
  <c r="V155" i="25"/>
  <c r="B155" i="25"/>
  <c r="V154" i="25"/>
  <c r="B154" i="25"/>
  <c r="V153" i="25"/>
  <c r="B153" i="25"/>
  <c r="V152" i="25"/>
  <c r="B152" i="25"/>
  <c r="V151" i="25"/>
  <c r="B151" i="25"/>
  <c r="V150" i="25"/>
  <c r="B150" i="25"/>
  <c r="V149" i="25"/>
  <c r="B149" i="25"/>
  <c r="V148" i="25"/>
  <c r="B148" i="25"/>
  <c r="V147" i="25"/>
  <c r="B147" i="25"/>
  <c r="V146" i="25"/>
  <c r="B146" i="25"/>
  <c r="V145" i="25"/>
  <c r="B145" i="25"/>
  <c r="V144" i="25"/>
  <c r="B144" i="25"/>
  <c r="V143" i="25"/>
  <c r="B143" i="25"/>
  <c r="V142" i="25"/>
  <c r="B142" i="25"/>
  <c r="V141" i="25"/>
  <c r="B141" i="25"/>
  <c r="V140" i="25"/>
  <c r="B140" i="25"/>
  <c r="V139" i="25"/>
  <c r="B139" i="25"/>
  <c r="V138" i="25"/>
  <c r="B138" i="25"/>
  <c r="V137" i="25"/>
  <c r="B137" i="25"/>
  <c r="V136" i="25"/>
  <c r="B136" i="25"/>
  <c r="V135" i="25"/>
  <c r="B135" i="25"/>
  <c r="V134" i="25"/>
  <c r="B134" i="25"/>
  <c r="V133" i="25"/>
  <c r="B133" i="25"/>
  <c r="V132" i="25"/>
  <c r="B132" i="25"/>
  <c r="V131" i="25"/>
  <c r="B131" i="25"/>
  <c r="V130" i="25"/>
  <c r="B130" i="25"/>
  <c r="V129" i="25"/>
  <c r="B129" i="25"/>
  <c r="V128" i="25"/>
  <c r="B128" i="25"/>
  <c r="V127" i="25"/>
  <c r="B127" i="25"/>
  <c r="V126" i="25"/>
  <c r="B126" i="25"/>
  <c r="V125" i="25"/>
  <c r="B125" i="25"/>
  <c r="V124" i="25"/>
  <c r="B124" i="25"/>
  <c r="V123" i="25"/>
  <c r="B123" i="25"/>
  <c r="V122" i="25"/>
  <c r="B122" i="25"/>
  <c r="V121" i="25"/>
  <c r="B121" i="25"/>
  <c r="V120" i="25"/>
  <c r="B120" i="25"/>
  <c r="V119" i="25"/>
  <c r="B119" i="25"/>
  <c r="V118" i="25"/>
  <c r="B118" i="25"/>
  <c r="V117" i="25"/>
  <c r="B117" i="25"/>
  <c r="V116" i="25"/>
  <c r="B116" i="25"/>
  <c r="V115" i="25"/>
  <c r="B115" i="25"/>
  <c r="V114" i="25"/>
  <c r="B114" i="25"/>
  <c r="V113" i="25"/>
  <c r="B113" i="25"/>
  <c r="V112" i="25"/>
  <c r="B112" i="25"/>
  <c r="V111" i="25"/>
  <c r="B111" i="25"/>
  <c r="V110" i="25"/>
  <c r="B110" i="25"/>
  <c r="V109" i="25"/>
  <c r="B109" i="25"/>
  <c r="V108" i="25"/>
  <c r="B108" i="25"/>
  <c r="V107" i="25"/>
  <c r="B107" i="25"/>
  <c r="V106" i="25"/>
  <c r="B106" i="25"/>
  <c r="V105" i="25"/>
  <c r="B105" i="25"/>
  <c r="V104" i="25"/>
  <c r="B104" i="25"/>
  <c r="V103" i="25"/>
  <c r="B103" i="25"/>
  <c r="V102" i="25"/>
  <c r="B102" i="25"/>
  <c r="V101" i="25"/>
  <c r="B101" i="25"/>
  <c r="V100" i="25"/>
  <c r="B100" i="25"/>
  <c r="V99" i="25"/>
  <c r="B99" i="25"/>
  <c r="V98" i="25"/>
  <c r="B98" i="25"/>
  <c r="V97" i="25"/>
  <c r="B97" i="25"/>
  <c r="V96" i="25"/>
  <c r="B96" i="25"/>
  <c r="V95" i="25"/>
  <c r="B95" i="25"/>
  <c r="V94" i="25"/>
  <c r="B94" i="25"/>
  <c r="V93" i="25"/>
  <c r="B93" i="25"/>
  <c r="V92" i="25"/>
  <c r="B92" i="25"/>
  <c r="V91" i="25"/>
  <c r="B91" i="25"/>
  <c r="V90" i="25"/>
  <c r="B90" i="25"/>
  <c r="V89" i="25"/>
  <c r="B89" i="25"/>
  <c r="V88" i="25"/>
  <c r="B88" i="25"/>
  <c r="V87" i="25"/>
  <c r="B87" i="25"/>
  <c r="V86" i="25"/>
  <c r="B86" i="25"/>
  <c r="V85" i="25"/>
  <c r="B85" i="25"/>
  <c r="V84" i="25"/>
  <c r="B84" i="25"/>
  <c r="V83" i="25"/>
  <c r="B83" i="25"/>
  <c r="V82" i="25"/>
  <c r="B82" i="25"/>
  <c r="V81" i="25"/>
  <c r="B81" i="25"/>
  <c r="V80" i="25"/>
  <c r="B80" i="25"/>
  <c r="V79" i="25"/>
  <c r="B79" i="25"/>
  <c r="V78" i="25"/>
  <c r="B78" i="25"/>
  <c r="V77" i="25"/>
  <c r="B77" i="25"/>
  <c r="V76" i="25"/>
  <c r="B76" i="25"/>
  <c r="V75" i="25"/>
  <c r="B75" i="25"/>
  <c r="V74" i="25"/>
  <c r="B74" i="25"/>
  <c r="V73" i="25"/>
  <c r="B73" i="25"/>
  <c r="V72" i="25"/>
  <c r="B72" i="25"/>
  <c r="V71" i="25"/>
  <c r="B71" i="25"/>
  <c r="V70" i="25"/>
  <c r="B70" i="25"/>
  <c r="V69" i="25"/>
  <c r="B69" i="25"/>
  <c r="V68" i="25"/>
  <c r="B68" i="25"/>
  <c r="V67" i="25"/>
  <c r="B67" i="25"/>
  <c r="V66" i="25"/>
  <c r="B66" i="25"/>
  <c r="V65" i="25"/>
  <c r="B65" i="25"/>
  <c r="V64" i="25"/>
  <c r="B64" i="25"/>
  <c r="V63" i="25"/>
  <c r="B63" i="25"/>
  <c r="V62" i="25"/>
  <c r="B62" i="25"/>
  <c r="V61" i="25"/>
  <c r="B61" i="25"/>
  <c r="V60" i="25"/>
  <c r="B60" i="25"/>
  <c r="V59" i="25"/>
  <c r="B59" i="25"/>
  <c r="V58" i="25"/>
  <c r="B58" i="25"/>
  <c r="V57" i="25"/>
  <c r="B57" i="25"/>
  <c r="V56" i="25"/>
  <c r="B56" i="25"/>
  <c r="V55" i="25"/>
  <c r="B55" i="25"/>
  <c r="V54" i="25"/>
  <c r="B54" i="25"/>
  <c r="V53" i="25"/>
  <c r="B53" i="25"/>
  <c r="V52" i="25"/>
  <c r="B52" i="25"/>
  <c r="V51" i="25"/>
  <c r="B51" i="25"/>
  <c r="V50" i="25"/>
  <c r="B50" i="25"/>
  <c r="V49" i="25"/>
  <c r="B49" i="25"/>
  <c r="V48" i="25"/>
  <c r="B48" i="25"/>
  <c r="V47" i="25"/>
  <c r="B47" i="25"/>
  <c r="V46" i="25"/>
  <c r="B46" i="25"/>
  <c r="V45" i="25"/>
  <c r="B45" i="25"/>
  <c r="V44" i="25"/>
  <c r="B44" i="25"/>
  <c r="V43" i="25"/>
  <c r="B43" i="25"/>
  <c r="V42" i="25"/>
  <c r="B42" i="25"/>
  <c r="V41" i="25"/>
  <c r="B41" i="25"/>
  <c r="V40" i="25"/>
  <c r="B40" i="25"/>
  <c r="V39" i="25"/>
  <c r="B39" i="25"/>
  <c r="V38" i="25"/>
  <c r="B38" i="25"/>
  <c r="V37" i="25"/>
  <c r="B37" i="25"/>
  <c r="V36" i="25"/>
  <c r="B36" i="25"/>
  <c r="V35" i="25"/>
  <c r="B35" i="25"/>
  <c r="V34" i="25"/>
  <c r="B34" i="25"/>
  <c r="V33" i="25"/>
  <c r="B33" i="25"/>
  <c r="V32" i="25"/>
  <c r="B32" i="25"/>
  <c r="V31" i="25"/>
  <c r="B31" i="25"/>
  <c r="V30" i="25"/>
  <c r="B30" i="25"/>
  <c r="V29" i="25"/>
  <c r="B29" i="25"/>
  <c r="V28" i="25"/>
  <c r="B28" i="25"/>
  <c r="V27" i="25"/>
  <c r="B27" i="25"/>
  <c r="V26" i="25"/>
  <c r="B26" i="25"/>
  <c r="V25" i="25"/>
  <c r="B25" i="25"/>
  <c r="V24" i="25"/>
  <c r="B24" i="25"/>
  <c r="V23" i="25"/>
  <c r="B23" i="25"/>
  <c r="V22" i="25"/>
  <c r="B22" i="25"/>
  <c r="V21" i="25"/>
  <c r="B21" i="25"/>
  <c r="V20" i="25"/>
  <c r="B20" i="25"/>
  <c r="V19" i="25"/>
  <c r="B19" i="25"/>
  <c r="V18" i="25"/>
  <c r="B18" i="25"/>
  <c r="V17" i="25"/>
  <c r="B17" i="25"/>
  <c r="V16" i="25"/>
  <c r="B16" i="25"/>
  <c r="V15" i="25"/>
  <c r="B15" i="25"/>
  <c r="V14" i="25"/>
  <c r="B14" i="25"/>
  <c r="V13" i="25"/>
  <c r="B13" i="25"/>
  <c r="Q6" i="25"/>
  <c r="I3" i="25"/>
  <c r="D56" i="1"/>
  <c r="U15" i="2"/>
  <c r="B345" i="2" l="1"/>
  <c r="A628" i="25"/>
  <c r="B253" i="2"/>
  <c r="A2" i="19"/>
  <c r="A2" i="24"/>
  <c r="F6" i="24"/>
  <c r="I38" i="16" l="1"/>
  <c r="I37" i="16"/>
  <c r="Z8" i="2"/>
  <c r="K8" i="2"/>
  <c r="A2" i="22"/>
  <c r="D57" i="1"/>
  <c r="B12" i="2" l="1"/>
  <c r="B137" i="2" s="1"/>
  <c r="A53" i="16"/>
  <c r="J11" i="21" l="1"/>
  <c r="K24" i="21"/>
  <c r="K40" i="21"/>
  <c r="K56" i="21"/>
  <c r="K72" i="21"/>
  <c r="K88" i="21"/>
  <c r="K104" i="21"/>
  <c r="K21" i="21"/>
  <c r="K37" i="21"/>
  <c r="K101" i="21"/>
  <c r="K58" i="21"/>
  <c r="K10" i="21"/>
  <c r="K67" i="21"/>
  <c r="K43" i="21"/>
  <c r="K93" i="21"/>
  <c r="K71" i="21"/>
  <c r="K18" i="21"/>
  <c r="K30" i="21"/>
  <c r="K97" i="21"/>
  <c r="K54" i="21"/>
  <c r="K96" i="21"/>
  <c r="K45" i="21"/>
  <c r="K38" i="21"/>
  <c r="K78" i="21"/>
  <c r="K27" i="21"/>
  <c r="K34" i="21"/>
  <c r="K107" i="21"/>
  <c r="K86" i="21"/>
  <c r="K12" i="21"/>
  <c r="K28" i="21"/>
  <c r="K44" i="21"/>
  <c r="K60" i="21"/>
  <c r="K76" i="21"/>
  <c r="K92" i="21"/>
  <c r="K108" i="21"/>
  <c r="K25" i="21"/>
  <c r="K41" i="21"/>
  <c r="K90" i="21"/>
  <c r="K46" i="21"/>
  <c r="K105" i="21"/>
  <c r="K83" i="21"/>
  <c r="K62" i="21"/>
  <c r="K35" i="21"/>
  <c r="K109" i="21"/>
  <c r="K87" i="21"/>
  <c r="K66" i="21"/>
  <c r="K42" i="21"/>
  <c r="K9" i="21"/>
  <c r="K74" i="21"/>
  <c r="K22" i="21"/>
  <c r="K91" i="21"/>
  <c r="K70" i="21"/>
  <c r="K47" i="21"/>
  <c r="K15" i="21"/>
  <c r="K16" i="21"/>
  <c r="K32" i="21"/>
  <c r="K48" i="21"/>
  <c r="K64" i="21"/>
  <c r="K80" i="21"/>
  <c r="K13" i="21"/>
  <c r="K79" i="21"/>
  <c r="K57" i="21"/>
  <c r="K82" i="21"/>
  <c r="K63" i="21"/>
  <c r="K39" i="21"/>
  <c r="K20" i="21"/>
  <c r="K36" i="21"/>
  <c r="K52" i="21"/>
  <c r="K68" i="21"/>
  <c r="K84" i="21"/>
  <c r="K100" i="21"/>
  <c r="K17" i="21"/>
  <c r="K33" i="21"/>
  <c r="K49" i="21"/>
  <c r="K69" i="21"/>
  <c r="K14" i="21"/>
  <c r="K94" i="21"/>
  <c r="K73" i="21"/>
  <c r="K51" i="21"/>
  <c r="K19" i="21"/>
  <c r="K98" i="21"/>
  <c r="K77" i="21"/>
  <c r="K55" i="21"/>
  <c r="K26" i="21"/>
  <c r="K95" i="21"/>
  <c r="K53" i="21"/>
  <c r="K102" i="21"/>
  <c r="K81" i="21"/>
  <c r="K59" i="21"/>
  <c r="K31" i="21"/>
  <c r="K89" i="21"/>
  <c r="K11" i="21"/>
  <c r="K50" i="21"/>
  <c r="K85" i="21"/>
  <c r="K75" i="21"/>
  <c r="K23" i="21"/>
  <c r="K29" i="21"/>
  <c r="K99" i="21"/>
  <c r="K103" i="21"/>
  <c r="K61" i="21"/>
  <c r="K106" i="21"/>
  <c r="K65" i="21"/>
  <c r="J69" i="21"/>
  <c r="J105" i="21"/>
  <c r="J101" i="21"/>
  <c r="J37" i="21"/>
  <c r="J41" i="21"/>
  <c r="J73" i="21"/>
  <c r="J89" i="21"/>
  <c r="J57" i="21"/>
  <c r="J25" i="21"/>
  <c r="J85" i="21"/>
  <c r="J53" i="21"/>
  <c r="J21" i="21"/>
  <c r="J97" i="21"/>
  <c r="J81" i="21"/>
  <c r="J65" i="21"/>
  <c r="J49" i="21"/>
  <c r="J33" i="21"/>
  <c r="J109" i="21"/>
  <c r="J93" i="21"/>
  <c r="J77" i="21"/>
  <c r="J61" i="21"/>
  <c r="J45" i="21"/>
  <c r="J29" i="21"/>
  <c r="J13" i="21"/>
  <c r="J10" i="21"/>
  <c r="J106" i="21"/>
  <c r="J102" i="21"/>
  <c r="J98" i="21"/>
  <c r="J94" i="21"/>
  <c r="J90" i="21"/>
  <c r="J86" i="21"/>
  <c r="J82" i="21"/>
  <c r="J78" i="21"/>
  <c r="J74" i="21"/>
  <c r="J70" i="21"/>
  <c r="J66" i="21"/>
  <c r="J62" i="21"/>
  <c r="J58" i="21"/>
  <c r="J54" i="21"/>
  <c r="J50" i="21"/>
  <c r="J46" i="21"/>
  <c r="J42" i="21"/>
  <c r="J38" i="21"/>
  <c r="J34" i="21"/>
  <c r="J30" i="21"/>
  <c r="J26" i="21"/>
  <c r="J22" i="21"/>
  <c r="J18" i="21"/>
  <c r="J14" i="21"/>
  <c r="J17" i="21"/>
  <c r="J108" i="21"/>
  <c r="J104" i="21"/>
  <c r="J100" i="21"/>
  <c r="J96" i="21"/>
  <c r="J92" i="21"/>
  <c r="J88" i="21"/>
  <c r="J84" i="21"/>
  <c r="J80" i="21"/>
  <c r="J76" i="21"/>
  <c r="J72" i="21"/>
  <c r="J68" i="21"/>
  <c r="J64" i="21"/>
  <c r="J60" i="21"/>
  <c r="J56" i="21"/>
  <c r="J52" i="21"/>
  <c r="J48" i="21"/>
  <c r="J44" i="21"/>
  <c r="J40" i="21"/>
  <c r="J36" i="21"/>
  <c r="J32" i="21"/>
  <c r="J28" i="21"/>
  <c r="J24" i="21"/>
  <c r="J20" i="21"/>
  <c r="J16" i="21"/>
  <c r="J12" i="21"/>
  <c r="J107" i="21"/>
  <c r="J103" i="21"/>
  <c r="J99" i="21"/>
  <c r="J95" i="21"/>
  <c r="J91" i="21"/>
  <c r="J87" i="21"/>
  <c r="J83" i="21"/>
  <c r="J79" i="21"/>
  <c r="J75" i="21"/>
  <c r="J71" i="21"/>
  <c r="J67" i="21"/>
  <c r="J63" i="21"/>
  <c r="J59" i="21"/>
  <c r="J55" i="21"/>
  <c r="J51" i="21"/>
  <c r="J47" i="21"/>
  <c r="J43" i="21"/>
  <c r="J39" i="21"/>
  <c r="J35" i="21"/>
  <c r="J31" i="21"/>
  <c r="J27" i="21"/>
  <c r="J23" i="21"/>
  <c r="J19" i="21"/>
  <c r="J15" i="21"/>
  <c r="D363" i="2" l="1"/>
  <c r="D299" i="2"/>
  <c r="B52" i="23" s="1"/>
  <c r="B299" i="2"/>
  <c r="B42" i="23" s="1"/>
  <c r="B55" i="23"/>
  <c r="D305" i="2"/>
  <c r="B54" i="23" s="1"/>
  <c r="T109" i="23"/>
  <c r="T108" i="23"/>
  <c r="T107" i="23"/>
  <c r="T106" i="23"/>
  <c r="T105" i="23"/>
  <c r="T104" i="23"/>
  <c r="T103" i="23"/>
  <c r="T102" i="23"/>
  <c r="T101" i="23"/>
  <c r="T100" i="23"/>
  <c r="T99" i="23"/>
  <c r="T98" i="23"/>
  <c r="T97" i="23"/>
  <c r="T96" i="23"/>
  <c r="T95" i="23"/>
  <c r="T94" i="23"/>
  <c r="T93" i="23"/>
  <c r="T92" i="23"/>
  <c r="T91" i="23"/>
  <c r="T90" i="23"/>
  <c r="T89" i="23"/>
  <c r="T88" i="23"/>
  <c r="T87" i="23"/>
  <c r="T86" i="23"/>
  <c r="T85" i="23"/>
  <c r="T84" i="23"/>
  <c r="T83" i="23"/>
  <c r="T82" i="23"/>
  <c r="T81" i="23"/>
  <c r="T80" i="23"/>
  <c r="T79" i="23"/>
  <c r="T78" i="23"/>
  <c r="T77" i="23"/>
  <c r="T76" i="23"/>
  <c r="T75" i="23"/>
  <c r="T74" i="23"/>
  <c r="T73" i="23"/>
  <c r="T72" i="23"/>
  <c r="T71" i="23"/>
  <c r="T70" i="23"/>
  <c r="T69" i="23"/>
  <c r="T68" i="23"/>
  <c r="T67" i="23"/>
  <c r="T66" i="23"/>
  <c r="T65" i="23"/>
  <c r="T64" i="23"/>
  <c r="T63" i="23"/>
  <c r="T62" i="23"/>
  <c r="T61" i="23"/>
  <c r="T60" i="23"/>
  <c r="B60" i="23"/>
  <c r="T59" i="23"/>
  <c r="T58" i="23"/>
  <c r="T57" i="23"/>
  <c r="T56" i="23"/>
  <c r="T55" i="23"/>
  <c r="T54" i="23"/>
  <c r="T53" i="23"/>
  <c r="T52" i="23"/>
  <c r="T51" i="23"/>
  <c r="T50" i="23"/>
  <c r="T49" i="23"/>
  <c r="T48" i="23"/>
  <c r="T47" i="23"/>
  <c r="T46" i="23"/>
  <c r="T45" i="23"/>
  <c r="T44" i="23"/>
  <c r="T43" i="23"/>
  <c r="T42" i="23"/>
  <c r="T41" i="23"/>
  <c r="T40" i="23"/>
  <c r="T39" i="23"/>
  <c r="T38" i="23"/>
  <c r="T37" i="23"/>
  <c r="T36" i="23"/>
  <c r="T35" i="23"/>
  <c r="B35" i="23"/>
  <c r="T34" i="23"/>
  <c r="T33" i="23"/>
  <c r="B33" i="23"/>
  <c r="T32" i="23"/>
  <c r="T31" i="23"/>
  <c r="T30" i="23"/>
  <c r="B30" i="23"/>
  <c r="T29" i="23"/>
  <c r="T28" i="23"/>
  <c r="B28" i="23"/>
  <c r="T27" i="23"/>
  <c r="B27" i="23"/>
  <c r="T26" i="23"/>
  <c r="T25" i="23"/>
  <c r="T24" i="23"/>
  <c r="T23" i="23"/>
  <c r="T22" i="23"/>
  <c r="T21" i="23"/>
  <c r="B21" i="23"/>
  <c r="T20" i="23"/>
  <c r="T19" i="23"/>
  <c r="T18" i="23"/>
  <c r="T17" i="23"/>
  <c r="T16" i="23"/>
  <c r="B16" i="23"/>
  <c r="T15" i="23"/>
  <c r="B15" i="23"/>
  <c r="T14" i="23"/>
  <c r="T13" i="23"/>
  <c r="T12" i="23"/>
  <c r="T11" i="23"/>
  <c r="T10" i="23"/>
  <c r="T9" i="23"/>
  <c r="T10" i="21" l="1"/>
  <c r="T11" i="21"/>
  <c r="T12" i="21"/>
  <c r="T13" i="21"/>
  <c r="T14" i="21"/>
  <c r="T15" i="21"/>
  <c r="T16" i="21"/>
  <c r="T17" i="21"/>
  <c r="T18" i="21"/>
  <c r="T19" i="21"/>
  <c r="T20" i="21"/>
  <c r="T21" i="21"/>
  <c r="T22" i="21"/>
  <c r="T23" i="21"/>
  <c r="T24" i="21"/>
  <c r="T25" i="21"/>
  <c r="T26" i="21"/>
  <c r="T27" i="21"/>
  <c r="T28" i="21"/>
  <c r="T29" i="21"/>
  <c r="T30" i="21"/>
  <c r="T31" i="21"/>
  <c r="T32" i="21"/>
  <c r="T33" i="21"/>
  <c r="T34" i="21"/>
  <c r="T35" i="21"/>
  <c r="T36" i="21"/>
  <c r="T37" i="21"/>
  <c r="T38" i="21"/>
  <c r="T39" i="21"/>
  <c r="T40" i="21"/>
  <c r="T41" i="21"/>
  <c r="T42" i="21"/>
  <c r="T43" i="21"/>
  <c r="T44" i="21"/>
  <c r="T45" i="21"/>
  <c r="T46" i="21"/>
  <c r="T47" i="21"/>
  <c r="T48" i="21"/>
  <c r="T49" i="21"/>
  <c r="T50" i="21"/>
  <c r="T51" i="21"/>
  <c r="T52" i="21"/>
  <c r="T53" i="21"/>
  <c r="T54" i="21"/>
  <c r="T55" i="21"/>
  <c r="T56" i="21"/>
  <c r="T57" i="21"/>
  <c r="T58" i="21"/>
  <c r="T59" i="21"/>
  <c r="T60" i="21"/>
  <c r="T61" i="21"/>
  <c r="T62" i="21"/>
  <c r="T63" i="21"/>
  <c r="T64" i="21"/>
  <c r="T65" i="21"/>
  <c r="T66" i="21"/>
  <c r="T67" i="21"/>
  <c r="T68" i="21"/>
  <c r="T69" i="21"/>
  <c r="T70" i="21"/>
  <c r="T71" i="21"/>
  <c r="T72" i="21"/>
  <c r="T73" i="21"/>
  <c r="T74" i="21"/>
  <c r="T75" i="21"/>
  <c r="T76" i="21"/>
  <c r="T77" i="21"/>
  <c r="T78" i="21"/>
  <c r="T79" i="21"/>
  <c r="T80" i="21"/>
  <c r="T81" i="21"/>
  <c r="T82" i="21"/>
  <c r="T83" i="21"/>
  <c r="T84" i="21"/>
  <c r="T85" i="21"/>
  <c r="T86" i="21"/>
  <c r="T87" i="21"/>
  <c r="T88" i="21"/>
  <c r="T89" i="21"/>
  <c r="T90" i="21"/>
  <c r="T91" i="21"/>
  <c r="T92" i="21"/>
  <c r="T93" i="21"/>
  <c r="T94" i="21"/>
  <c r="T95" i="21"/>
  <c r="T96" i="21"/>
  <c r="T97" i="21"/>
  <c r="T98" i="21"/>
  <c r="T99" i="21"/>
  <c r="T100" i="21"/>
  <c r="T101" i="21"/>
  <c r="T102" i="21"/>
  <c r="T103" i="21"/>
  <c r="T104" i="21"/>
  <c r="T105" i="21"/>
  <c r="T106" i="21"/>
  <c r="T107" i="21"/>
  <c r="T108" i="21"/>
  <c r="T109" i="21"/>
  <c r="T9" i="21"/>
  <c r="U14" i="2" l="1"/>
  <c r="D238" i="2"/>
  <c r="N12" i="8" s="1"/>
  <c r="O12" i="8" s="1"/>
  <c r="D224" i="2"/>
  <c r="B11" i="2"/>
  <c r="K63" i="1"/>
  <c r="U13" i="2"/>
  <c r="B166" i="2"/>
  <c r="B167" i="2" s="1"/>
  <c r="N17" i="8" s="1"/>
  <c r="D126" i="2"/>
  <c r="B25" i="23" s="1"/>
  <c r="D122" i="2"/>
  <c r="B24" i="23" s="1"/>
  <c r="D116" i="2"/>
  <c r="D118" i="2" s="1"/>
  <c r="D77" i="2"/>
  <c r="D47" i="2"/>
  <c r="D46" i="2"/>
  <c r="B14" i="2"/>
  <c r="B13" i="2"/>
  <c r="D188" i="2" l="1"/>
  <c r="C59" i="16"/>
  <c r="I49" i="16"/>
  <c r="I70" i="16"/>
  <c r="J49" i="16"/>
  <c r="I69" i="16"/>
  <c r="C69" i="16"/>
  <c r="D69" i="16" s="1"/>
  <c r="J48" i="16"/>
  <c r="H70" i="16"/>
  <c r="I48" i="16"/>
  <c r="H69" i="16"/>
  <c r="J63" i="16"/>
  <c r="J70" i="16"/>
  <c r="H63" i="16"/>
  <c r="H49" i="16"/>
  <c r="H48" i="16"/>
  <c r="I63" i="16"/>
  <c r="I61" i="16"/>
  <c r="J69" i="16"/>
  <c r="AU9" i="23"/>
  <c r="K9" i="2"/>
  <c r="D386" i="2"/>
  <c r="D343" i="2"/>
  <c r="C355" i="2"/>
  <c r="C353" i="2"/>
  <c r="C354" i="2"/>
  <c r="C382" i="2"/>
  <c r="C381" i="2"/>
  <c r="Z9" i="2"/>
  <c r="D345" i="2"/>
  <c r="D339" i="2"/>
  <c r="I80" i="1"/>
  <c r="F80" i="1"/>
  <c r="E96" i="1"/>
  <c r="F96" i="1"/>
  <c r="D58" i="1"/>
  <c r="B18" i="2"/>
  <c r="D183" i="2"/>
  <c r="D207" i="2" s="1"/>
  <c r="F3" i="25" s="1"/>
  <c r="I88" i="21"/>
  <c r="B18" i="23"/>
  <c r="I16" i="21"/>
  <c r="I56" i="21"/>
  <c r="I84" i="21"/>
  <c r="I104" i="21"/>
  <c r="I72" i="21"/>
  <c r="I40" i="21"/>
  <c r="I52" i="21"/>
  <c r="I100" i="21"/>
  <c r="I68" i="21"/>
  <c r="I24" i="21"/>
  <c r="I36" i="21"/>
  <c r="I20" i="21"/>
  <c r="I96" i="21"/>
  <c r="I80" i="21"/>
  <c r="I64" i="21"/>
  <c r="I48" i="21"/>
  <c r="I32" i="21"/>
  <c r="I13" i="21"/>
  <c r="I108" i="21"/>
  <c r="I92" i="21"/>
  <c r="I76" i="21"/>
  <c r="I60" i="21"/>
  <c r="I44" i="21"/>
  <c r="I28" i="21"/>
  <c r="I12" i="21"/>
  <c r="I109" i="21"/>
  <c r="I105" i="21"/>
  <c r="I101" i="21"/>
  <c r="I97" i="21"/>
  <c r="I93" i="21"/>
  <c r="I89" i="21"/>
  <c r="I85" i="21"/>
  <c r="I81" i="21"/>
  <c r="I77" i="21"/>
  <c r="I73" i="21"/>
  <c r="I69" i="21"/>
  <c r="I65" i="21"/>
  <c r="I61" i="21"/>
  <c r="I57" i="21"/>
  <c r="I53" i="21"/>
  <c r="I49" i="21"/>
  <c r="I45" i="21"/>
  <c r="I41" i="21"/>
  <c r="I37" i="21"/>
  <c r="I33" i="21"/>
  <c r="I29" i="21"/>
  <c r="I25" i="21"/>
  <c r="I21" i="21"/>
  <c r="I17" i="21"/>
  <c r="D72" i="2"/>
  <c r="B19" i="23"/>
  <c r="I109" i="23"/>
  <c r="I108" i="23"/>
  <c r="I107" i="23"/>
  <c r="I106" i="23"/>
  <c r="I105" i="23"/>
  <c r="I104" i="23"/>
  <c r="I103" i="23"/>
  <c r="I102" i="23"/>
  <c r="I101" i="23"/>
  <c r="I100" i="23"/>
  <c r="I99" i="23"/>
  <c r="I98" i="23"/>
  <c r="I97" i="23"/>
  <c r="I96" i="23"/>
  <c r="I95" i="23"/>
  <c r="I92" i="23"/>
  <c r="I88" i="23"/>
  <c r="I84" i="23"/>
  <c r="I37" i="23"/>
  <c r="I36" i="23"/>
  <c r="I35" i="23"/>
  <c r="I27" i="23"/>
  <c r="I19" i="23"/>
  <c r="I18" i="23"/>
  <c r="I17" i="23"/>
  <c r="I16" i="23"/>
  <c r="I94" i="23"/>
  <c r="I86" i="23"/>
  <c r="I93" i="23"/>
  <c r="I89" i="23"/>
  <c r="I85" i="23"/>
  <c r="I81" i="23"/>
  <c r="I80" i="23"/>
  <c r="I79" i="23"/>
  <c r="I78" i="23"/>
  <c r="I77" i="23"/>
  <c r="I76" i="23"/>
  <c r="I75" i="23"/>
  <c r="I74" i="23"/>
  <c r="I73" i="23"/>
  <c r="I72" i="23"/>
  <c r="I71" i="23"/>
  <c r="I70" i="23"/>
  <c r="I69" i="23"/>
  <c r="I68" i="23"/>
  <c r="I67" i="23"/>
  <c r="I66" i="23"/>
  <c r="I65" i="23"/>
  <c r="I64" i="23"/>
  <c r="I63" i="23"/>
  <c r="I62" i="23"/>
  <c r="I61" i="23"/>
  <c r="I60" i="23"/>
  <c r="I34" i="23"/>
  <c r="I33" i="23"/>
  <c r="I26" i="23"/>
  <c r="I25" i="23"/>
  <c r="I24" i="23"/>
  <c r="I23" i="23"/>
  <c r="I15" i="23"/>
  <c r="I91" i="23"/>
  <c r="I87" i="23"/>
  <c r="I83" i="23"/>
  <c r="I49" i="23"/>
  <c r="I48" i="23"/>
  <c r="I47" i="23"/>
  <c r="I46" i="23"/>
  <c r="I45" i="23"/>
  <c r="I44" i="23"/>
  <c r="I43" i="23"/>
  <c r="I42" i="23"/>
  <c r="I41" i="23"/>
  <c r="I40" i="23"/>
  <c r="I39" i="23"/>
  <c r="I38" i="23"/>
  <c r="I29" i="23"/>
  <c r="I28" i="23"/>
  <c r="I20" i="23"/>
  <c r="I10" i="23"/>
  <c r="I9" i="23"/>
  <c r="I90" i="23"/>
  <c r="I82" i="23"/>
  <c r="I12" i="23"/>
  <c r="I11" i="23"/>
  <c r="I59" i="23"/>
  <c r="I57" i="23"/>
  <c r="I55" i="23"/>
  <c r="I53" i="23"/>
  <c r="I51" i="23"/>
  <c r="I32" i="23"/>
  <c r="I30" i="23"/>
  <c r="I22" i="23"/>
  <c r="I58" i="23"/>
  <c r="I56" i="23"/>
  <c r="I54" i="23"/>
  <c r="I52" i="23"/>
  <c r="I50" i="23"/>
  <c r="I31" i="23"/>
  <c r="I21" i="23"/>
  <c r="I14" i="23"/>
  <c r="I13" i="23"/>
  <c r="I107" i="21"/>
  <c r="I103" i="21"/>
  <c r="I99" i="21"/>
  <c r="I95" i="21"/>
  <c r="I91" i="21"/>
  <c r="I87" i="21"/>
  <c r="I83" i="21"/>
  <c r="I79" i="21"/>
  <c r="I75" i="21"/>
  <c r="I71" i="21"/>
  <c r="I67" i="21"/>
  <c r="I63" i="21"/>
  <c r="I59" i="21"/>
  <c r="I55" i="21"/>
  <c r="I51" i="21"/>
  <c r="I47" i="21"/>
  <c r="I43" i="21"/>
  <c r="I39" i="21"/>
  <c r="I35" i="21"/>
  <c r="I31" i="21"/>
  <c r="I27" i="21"/>
  <c r="I23" i="21"/>
  <c r="I19" i="21"/>
  <c r="I15" i="21"/>
  <c r="I11" i="21"/>
  <c r="I9" i="21"/>
  <c r="I106" i="21"/>
  <c r="I102" i="21"/>
  <c r="I98" i="21"/>
  <c r="I94" i="21"/>
  <c r="I90" i="21"/>
  <c r="I86" i="21"/>
  <c r="I82" i="21"/>
  <c r="I78" i="21"/>
  <c r="I74" i="21"/>
  <c r="I70" i="21"/>
  <c r="I66" i="21"/>
  <c r="I62" i="21"/>
  <c r="I58" i="21"/>
  <c r="I54" i="21"/>
  <c r="I50" i="21"/>
  <c r="I46" i="21"/>
  <c r="I42" i="21"/>
  <c r="I38" i="21"/>
  <c r="I34" i="21"/>
  <c r="I30" i="21"/>
  <c r="I26" i="21"/>
  <c r="I22" i="21"/>
  <c r="I18" i="21"/>
  <c r="I14" i="21"/>
  <c r="I10" i="21"/>
  <c r="O16" i="2"/>
  <c r="B12" i="23"/>
  <c r="J12" i="23"/>
  <c r="J16" i="23"/>
  <c r="J20" i="23"/>
  <c r="J24" i="23"/>
  <c r="J28" i="23"/>
  <c r="J32" i="23"/>
  <c r="J36" i="23"/>
  <c r="J40" i="23"/>
  <c r="J44" i="23"/>
  <c r="J48" i="23"/>
  <c r="J14" i="23"/>
  <c r="J19" i="23"/>
  <c r="J25" i="23"/>
  <c r="J30" i="23"/>
  <c r="J35" i="23"/>
  <c r="J41" i="23"/>
  <c r="J46" i="23"/>
  <c r="J51" i="23"/>
  <c r="J55" i="23"/>
  <c r="J59" i="23"/>
  <c r="J63" i="23"/>
  <c r="J67" i="23"/>
  <c r="J71" i="23"/>
  <c r="J75" i="23"/>
  <c r="J79" i="23"/>
  <c r="J83" i="23"/>
  <c r="J87" i="23"/>
  <c r="J91" i="23"/>
  <c r="J95" i="23"/>
  <c r="J99" i="23"/>
  <c r="J103" i="23"/>
  <c r="J107" i="23"/>
  <c r="J18" i="23"/>
  <c r="J29" i="23"/>
  <c r="J39" i="23"/>
  <c r="J50" i="23"/>
  <c r="J58" i="23"/>
  <c r="J70" i="23"/>
  <c r="J74" i="23"/>
  <c r="J86" i="23"/>
  <c r="J94" i="23"/>
  <c r="J102" i="23"/>
  <c r="J15" i="23"/>
  <c r="J21" i="23"/>
  <c r="J26" i="23"/>
  <c r="J31" i="23"/>
  <c r="J37" i="23"/>
  <c r="J42" i="23"/>
  <c r="J47" i="23"/>
  <c r="J52" i="23"/>
  <c r="J56" i="23"/>
  <c r="J60" i="23"/>
  <c r="J64" i="23"/>
  <c r="J68" i="23"/>
  <c r="J72" i="23"/>
  <c r="J76" i="23"/>
  <c r="J80" i="23"/>
  <c r="J84" i="23"/>
  <c r="J88" i="23"/>
  <c r="J92" i="23"/>
  <c r="J96" i="23"/>
  <c r="J100" i="23"/>
  <c r="J104" i="23"/>
  <c r="J108" i="23"/>
  <c r="B14" i="23"/>
  <c r="J13" i="23"/>
  <c r="J34" i="23"/>
  <c r="J45" i="23"/>
  <c r="J62" i="23"/>
  <c r="J82" i="23"/>
  <c r="J98" i="23"/>
  <c r="J10" i="23"/>
  <c r="J11" i="23"/>
  <c r="J17" i="23"/>
  <c r="J22" i="23"/>
  <c r="J27" i="23"/>
  <c r="J33" i="23"/>
  <c r="J38" i="23"/>
  <c r="J43" i="23"/>
  <c r="J49" i="23"/>
  <c r="J53" i="23"/>
  <c r="J57" i="23"/>
  <c r="J61" i="23"/>
  <c r="J65" i="23"/>
  <c r="J69" i="23"/>
  <c r="J73" i="23"/>
  <c r="J77" i="23"/>
  <c r="J81" i="23"/>
  <c r="J85" i="23"/>
  <c r="J89" i="23"/>
  <c r="J93" i="23"/>
  <c r="J97" i="23"/>
  <c r="J101" i="23"/>
  <c r="J105" i="23"/>
  <c r="J109" i="23"/>
  <c r="J23" i="23"/>
  <c r="J54" i="23"/>
  <c r="J66" i="23"/>
  <c r="J78" i="23"/>
  <c r="J90" i="23"/>
  <c r="J106" i="23"/>
  <c r="L21" i="2"/>
  <c r="D221" i="2"/>
  <c r="D239" i="2"/>
  <c r="N13" i="8" s="1"/>
  <c r="O13" i="8" s="1"/>
  <c r="D240" i="2" s="1"/>
  <c r="J66" i="1" s="1"/>
  <c r="D61" i="1"/>
  <c r="D64" i="1"/>
  <c r="D206" i="2"/>
  <c r="C3" i="25" s="1"/>
  <c r="D63" i="1"/>
  <c r="D62" i="1"/>
  <c r="K66" i="1"/>
  <c r="L16" i="2"/>
  <c r="D33" i="1"/>
  <c r="D36" i="1"/>
  <c r="D34" i="1"/>
  <c r="D37" i="1"/>
  <c r="G3" i="8"/>
  <c r="D95" i="2"/>
  <c r="J20" i="1" s="1"/>
  <c r="B17" i="2"/>
  <c r="D214" i="2" s="1"/>
  <c r="C70" i="16" l="1"/>
  <c r="D70" i="16" s="1"/>
  <c r="AU13" i="23"/>
  <c r="AU29" i="23"/>
  <c r="AU106" i="23"/>
  <c r="AU78" i="23"/>
  <c r="AU93" i="23"/>
  <c r="AU61" i="23"/>
  <c r="AU22" i="23"/>
  <c r="AU34" i="23"/>
  <c r="AU88" i="23"/>
  <c r="AU56" i="23"/>
  <c r="AU15" i="23"/>
  <c r="AU39" i="23"/>
  <c r="AU87" i="23"/>
  <c r="AU55" i="23"/>
  <c r="AU14" i="23"/>
  <c r="AU20" i="23"/>
  <c r="AU66" i="23"/>
  <c r="AU83" i="23"/>
  <c r="AU54" i="23"/>
  <c r="AU53" i="23"/>
  <c r="AU80" i="23"/>
  <c r="AU47" i="23"/>
  <c r="AU94" i="23"/>
  <c r="AU18" i="23"/>
  <c r="AU79" i="23"/>
  <c r="AU46" i="23"/>
  <c r="AU44" i="23"/>
  <c r="AU12" i="23"/>
  <c r="AU89" i="23"/>
  <c r="AU102" i="23"/>
  <c r="AU85" i="23"/>
  <c r="AU11" i="23"/>
  <c r="AU23" i="23"/>
  <c r="AU81" i="23"/>
  <c r="AU49" i="23"/>
  <c r="AU10" i="23"/>
  <c r="AU108" i="23"/>
  <c r="AU76" i="23"/>
  <c r="AU42" i="23"/>
  <c r="AU86" i="23"/>
  <c r="AU107" i="23"/>
  <c r="AU75" i="23"/>
  <c r="AU41" i="23"/>
  <c r="AU40" i="23"/>
  <c r="AU84" i="23"/>
  <c r="AU48" i="23"/>
  <c r="AU109" i="23"/>
  <c r="AU77" i="23"/>
  <c r="AU43" i="23"/>
  <c r="AU98" i="23"/>
  <c r="AU104" i="23"/>
  <c r="AU72" i="23"/>
  <c r="AU37" i="23"/>
  <c r="AU74" i="23"/>
  <c r="AU103" i="23"/>
  <c r="AU71" i="23"/>
  <c r="AU35" i="23"/>
  <c r="AU36" i="23"/>
  <c r="AU57" i="23"/>
  <c r="AU51" i="23"/>
  <c r="AU105" i="23"/>
  <c r="AU73" i="23"/>
  <c r="AU38" i="23"/>
  <c r="AU82" i="23"/>
  <c r="AU100" i="23"/>
  <c r="AU68" i="23"/>
  <c r="AU31" i="23"/>
  <c r="AU70" i="23"/>
  <c r="AU99" i="23"/>
  <c r="AU67" i="23"/>
  <c r="AU30" i="23"/>
  <c r="AU32" i="23"/>
  <c r="AU52" i="23"/>
  <c r="AU101" i="23"/>
  <c r="AU33" i="23"/>
  <c r="AU62" i="23"/>
  <c r="AU96" i="23"/>
  <c r="AU64" i="23"/>
  <c r="AU26" i="23"/>
  <c r="AU58" i="23"/>
  <c r="AU95" i="23"/>
  <c r="AU63" i="23"/>
  <c r="AU25" i="23"/>
  <c r="AU28" i="23"/>
  <c r="AU17" i="23"/>
  <c r="AU16" i="23"/>
  <c r="AU69" i="23"/>
  <c r="AU90" i="23"/>
  <c r="AU97" i="23"/>
  <c r="AU65" i="23"/>
  <c r="AU27" i="23"/>
  <c r="AU45" i="23"/>
  <c r="AU92" i="23"/>
  <c r="AU60" i="23"/>
  <c r="AU21" i="23"/>
  <c r="AU50" i="23"/>
  <c r="AU91" i="23"/>
  <c r="AU59" i="23"/>
  <c r="AU19" i="23"/>
  <c r="AU24" i="23"/>
  <c r="J62" i="1"/>
  <c r="K3" i="25"/>
  <c r="D66" i="1"/>
  <c r="D65" i="1"/>
  <c r="I66" i="1"/>
  <c r="I65" i="1"/>
  <c r="D225" i="2"/>
  <c r="D364" i="2"/>
  <c r="C362" i="2"/>
  <c r="F55" i="1"/>
  <c r="F56" i="1"/>
  <c r="B73" i="1" l="1"/>
  <c r="D226" i="2"/>
  <c r="I3" i="8" s="1"/>
  <c r="N8" i="8"/>
  <c r="O8" i="8" s="1"/>
  <c r="N34" i="8" s="1"/>
  <c r="B60" i="21"/>
  <c r="B55" i="21"/>
  <c r="B35" i="21"/>
  <c r="B33" i="21"/>
  <c r="B30" i="21"/>
  <c r="B28" i="21"/>
  <c r="B27" i="21"/>
  <c r="B21" i="21"/>
  <c r="B15" i="21"/>
  <c r="B74" i="1" l="1"/>
  <c r="O34" i="8"/>
  <c r="C73" i="1" s="1"/>
  <c r="D73" i="1" s="1"/>
  <c r="D311" i="2"/>
  <c r="AM4" i="23" s="1"/>
  <c r="D310" i="2"/>
  <c r="B58" i="23" s="1"/>
  <c r="D307" i="2"/>
  <c r="B56" i="23" s="1"/>
  <c r="D304" i="2"/>
  <c r="B53" i="23" s="1"/>
  <c r="D301" i="2"/>
  <c r="D300" i="2"/>
  <c r="D296" i="2"/>
  <c r="D295" i="2"/>
  <c r="D294" i="2"/>
  <c r="B51" i="23" s="1"/>
  <c r="D292" i="2"/>
  <c r="B49" i="23" s="1"/>
  <c r="D288" i="2"/>
  <c r="D286" i="2"/>
  <c r="D285" i="2"/>
  <c r="B53" i="21" s="1"/>
  <c r="D282" i="2"/>
  <c r="D281" i="2"/>
  <c r="D280" i="2"/>
  <c r="B52" i="21" s="1"/>
  <c r="D277" i="2"/>
  <c r="D276" i="2"/>
  <c r="D275" i="2"/>
  <c r="B51" i="21" s="1"/>
  <c r="D273" i="2"/>
  <c r="B49" i="21" s="1"/>
  <c r="D302" i="2" l="1"/>
  <c r="D283" i="2"/>
  <c r="B59" i="23"/>
  <c r="B54" i="21"/>
  <c r="B56" i="21"/>
  <c r="K128" i="2"/>
  <c r="B300" i="2"/>
  <c r="B43" i="23" s="1"/>
  <c r="B301" i="2"/>
  <c r="B295" i="2"/>
  <c r="B40" i="23" s="1"/>
  <c r="B296" i="2"/>
  <c r="B41" i="23" s="1"/>
  <c r="B350" i="2"/>
  <c r="A52" i="16"/>
  <c r="B44" i="23" l="1"/>
  <c r="B302" i="2"/>
  <c r="B337" i="2"/>
  <c r="D230" i="2"/>
  <c r="A337" i="2"/>
  <c r="D336" i="2"/>
  <c r="A339" i="2"/>
  <c r="B346" i="2"/>
  <c r="A345" i="2"/>
  <c r="V13" i="17"/>
  <c r="V14" i="17"/>
  <c r="V15" i="17"/>
  <c r="V16" i="17"/>
  <c r="V17" i="17"/>
  <c r="V18" i="17"/>
  <c r="V19" i="17"/>
  <c r="V20" i="17"/>
  <c r="V21" i="17"/>
  <c r="V22" i="17"/>
  <c r="V23" i="17"/>
  <c r="V24" i="17"/>
  <c r="V25" i="17"/>
  <c r="V26" i="17"/>
  <c r="V27" i="17"/>
  <c r="V28" i="17"/>
  <c r="V29" i="17"/>
  <c r="V30" i="17"/>
  <c r="V31" i="17"/>
  <c r="V32" i="17"/>
  <c r="V33" i="17"/>
  <c r="V34" i="17"/>
  <c r="V35" i="17"/>
  <c r="V36" i="17"/>
  <c r="V37" i="17"/>
  <c r="V38" i="17"/>
  <c r="V39" i="17"/>
  <c r="V40" i="17"/>
  <c r="V41" i="17"/>
  <c r="V42" i="17"/>
  <c r="V43" i="17"/>
  <c r="V44" i="17"/>
  <c r="V45" i="17"/>
  <c r="V46" i="17"/>
  <c r="V47" i="17"/>
  <c r="V48" i="17"/>
  <c r="V49" i="17"/>
  <c r="V50" i="17"/>
  <c r="V51" i="17"/>
  <c r="V52" i="17"/>
  <c r="V53" i="17"/>
  <c r="V54" i="17"/>
  <c r="V55" i="17"/>
  <c r="V56" i="17"/>
  <c r="V57" i="17"/>
  <c r="V58" i="17"/>
  <c r="V59" i="17"/>
  <c r="V60" i="17"/>
  <c r="V61" i="17"/>
  <c r="V62" i="17"/>
  <c r="V63" i="17"/>
  <c r="V64" i="17"/>
  <c r="V65" i="17"/>
  <c r="V66" i="17"/>
  <c r="V67" i="17"/>
  <c r="V68" i="17"/>
  <c r="V69" i="17"/>
  <c r="V70" i="17"/>
  <c r="V71" i="17"/>
  <c r="V72" i="17"/>
  <c r="V73" i="17"/>
  <c r="V74" i="17"/>
  <c r="V75" i="17"/>
  <c r="V76" i="17"/>
  <c r="V77" i="17"/>
  <c r="V78" i="17"/>
  <c r="V79" i="17"/>
  <c r="V80" i="17"/>
  <c r="V81" i="17"/>
  <c r="V82" i="17"/>
  <c r="V83" i="17"/>
  <c r="V84" i="17"/>
  <c r="V85" i="17"/>
  <c r="V86" i="17"/>
  <c r="V87" i="17"/>
  <c r="V88" i="17"/>
  <c r="V89" i="17"/>
  <c r="V90" i="17"/>
  <c r="V91" i="17"/>
  <c r="V92" i="17"/>
  <c r="V93" i="17"/>
  <c r="V94" i="17"/>
  <c r="V95" i="17"/>
  <c r="V96" i="17"/>
  <c r="V97" i="17"/>
  <c r="V98" i="17"/>
  <c r="V99" i="17"/>
  <c r="V100" i="17"/>
  <c r="V101" i="17"/>
  <c r="V102" i="17"/>
  <c r="V103" i="17"/>
  <c r="V104" i="17"/>
  <c r="V105" i="17"/>
  <c r="V106" i="17"/>
  <c r="V107" i="17"/>
  <c r="V108" i="17"/>
  <c r="V109" i="17"/>
  <c r="V110" i="17"/>
  <c r="V111" i="17"/>
  <c r="V112" i="17"/>
  <c r="V113" i="17"/>
  <c r="V114" i="17"/>
  <c r="V115" i="17"/>
  <c r="V116" i="17"/>
  <c r="V117" i="17"/>
  <c r="V118" i="17"/>
  <c r="V119" i="17"/>
  <c r="V120" i="17"/>
  <c r="V121" i="17"/>
  <c r="V122" i="17"/>
  <c r="V123" i="17"/>
  <c r="V124" i="17"/>
  <c r="V125" i="17"/>
  <c r="V126" i="17"/>
  <c r="V127" i="17"/>
  <c r="V128" i="17"/>
  <c r="V129" i="17"/>
  <c r="V130" i="17"/>
  <c r="V131" i="17"/>
  <c r="V132" i="17"/>
  <c r="V133" i="17"/>
  <c r="V134" i="17"/>
  <c r="V135" i="17"/>
  <c r="V136" i="17"/>
  <c r="V137" i="17"/>
  <c r="V138" i="17"/>
  <c r="V139" i="17"/>
  <c r="V140" i="17"/>
  <c r="V141" i="17"/>
  <c r="V142" i="17"/>
  <c r="V143" i="17"/>
  <c r="V144" i="17"/>
  <c r="V145" i="17"/>
  <c r="V146" i="17"/>
  <c r="V147" i="17"/>
  <c r="V148" i="17"/>
  <c r="V149" i="17"/>
  <c r="V150" i="17"/>
  <c r="V151" i="17"/>
  <c r="V152" i="17"/>
  <c r="V153" i="17"/>
  <c r="V154" i="17"/>
  <c r="V155" i="17"/>
  <c r="V156" i="17"/>
  <c r="V157" i="17"/>
  <c r="V158" i="17"/>
  <c r="V159" i="17"/>
  <c r="V160" i="17"/>
  <c r="V161" i="17"/>
  <c r="V162" i="17"/>
  <c r="V163" i="17"/>
  <c r="V164" i="17"/>
  <c r="V165" i="17"/>
  <c r="V166" i="17"/>
  <c r="V167" i="17"/>
  <c r="V168" i="17"/>
  <c r="V169" i="17"/>
  <c r="V170" i="17"/>
  <c r="V171" i="17"/>
  <c r="V172" i="17"/>
  <c r="V173" i="17"/>
  <c r="V174" i="17"/>
  <c r="V175" i="17"/>
  <c r="V176" i="17"/>
  <c r="V177" i="17"/>
  <c r="V178" i="17"/>
  <c r="V179" i="17"/>
  <c r="V180" i="17"/>
  <c r="V181" i="17"/>
  <c r="V182" i="17"/>
  <c r="V183" i="17"/>
  <c r="V184" i="17"/>
  <c r="V185" i="17"/>
  <c r="V186" i="17"/>
  <c r="V187" i="17"/>
  <c r="V188" i="17"/>
  <c r="V189" i="17"/>
  <c r="V190" i="17"/>
  <c r="V191" i="17"/>
  <c r="V192" i="17"/>
  <c r="V193" i="17"/>
  <c r="V194" i="17"/>
  <c r="V195" i="17"/>
  <c r="V196" i="17"/>
  <c r="V197" i="17"/>
  <c r="V198" i="17"/>
  <c r="V199" i="17"/>
  <c r="V200" i="17"/>
  <c r="V201" i="17"/>
  <c r="V202" i="17"/>
  <c r="V203" i="17"/>
  <c r="V204" i="17"/>
  <c r="V205" i="17"/>
  <c r="V206" i="17"/>
  <c r="V207" i="17"/>
  <c r="V208" i="17"/>
  <c r="V209" i="17"/>
  <c r="V210" i="17"/>
  <c r="V211" i="17"/>
  <c r="V212" i="17"/>
  <c r="V213" i="17"/>
  <c r="V214" i="17"/>
  <c r="V215" i="17"/>
  <c r="V216" i="17"/>
  <c r="V217" i="17"/>
  <c r="V218" i="17"/>
  <c r="V219" i="17"/>
  <c r="V220" i="17"/>
  <c r="V221" i="17"/>
  <c r="V222" i="17"/>
  <c r="V223" i="17"/>
  <c r="V224" i="17"/>
  <c r="V225" i="17"/>
  <c r="V226" i="17"/>
  <c r="V227" i="17"/>
  <c r="V228" i="17"/>
  <c r="V229" i="17"/>
  <c r="V230" i="17"/>
  <c r="V231" i="17"/>
  <c r="V232" i="17"/>
  <c r="V233" i="17"/>
  <c r="V234" i="17"/>
  <c r="V235" i="17"/>
  <c r="V236" i="17"/>
  <c r="V237" i="17"/>
  <c r="V238" i="17"/>
  <c r="V239" i="17"/>
  <c r="V240" i="17"/>
  <c r="V241" i="17"/>
  <c r="V242" i="17"/>
  <c r="V243" i="17"/>
  <c r="V244" i="17"/>
  <c r="V245" i="17"/>
  <c r="V246" i="17"/>
  <c r="V247" i="17"/>
  <c r="V248" i="17"/>
  <c r="V249" i="17"/>
  <c r="V250" i="17"/>
  <c r="V251" i="17"/>
  <c r="V252" i="17"/>
  <c r="V253" i="17"/>
  <c r="V254" i="17"/>
  <c r="V255" i="17"/>
  <c r="V256" i="17"/>
  <c r="V257" i="17"/>
  <c r="V258" i="17"/>
  <c r="V259" i="17"/>
  <c r="V260" i="17"/>
  <c r="V261" i="17"/>
  <c r="V262" i="17"/>
  <c r="V263" i="17"/>
  <c r="V264" i="17"/>
  <c r="V265" i="17"/>
  <c r="V266" i="17"/>
  <c r="V267" i="17"/>
  <c r="V268" i="17"/>
  <c r="V269" i="17"/>
  <c r="V270" i="17"/>
  <c r="V271" i="17"/>
  <c r="V272" i="17"/>
  <c r="V273" i="17"/>
  <c r="V274" i="17"/>
  <c r="V275" i="17"/>
  <c r="V276" i="17"/>
  <c r="V277" i="17"/>
  <c r="V278" i="17"/>
  <c r="V279" i="17"/>
  <c r="V280" i="17"/>
  <c r="V281" i="17"/>
  <c r="V282" i="17"/>
  <c r="V283" i="17"/>
  <c r="V284" i="17"/>
  <c r="V285" i="17"/>
  <c r="V286" i="17"/>
  <c r="V287" i="17"/>
  <c r="V288" i="17"/>
  <c r="V289" i="17"/>
  <c r="V290" i="17"/>
  <c r="V291" i="17"/>
  <c r="V292" i="17"/>
  <c r="V293" i="17"/>
  <c r="V294" i="17"/>
  <c r="V295" i="17"/>
  <c r="V296" i="17"/>
  <c r="V297" i="17"/>
  <c r="V298" i="17"/>
  <c r="V299" i="17"/>
  <c r="V300" i="17"/>
  <c r="V301" i="17"/>
  <c r="V302" i="17"/>
  <c r="V303" i="17"/>
  <c r="V304" i="17"/>
  <c r="V305" i="17"/>
  <c r="V306" i="17"/>
  <c r="V307" i="17"/>
  <c r="V308" i="17"/>
  <c r="V309" i="17"/>
  <c r="V310" i="17"/>
  <c r="V311" i="17"/>
  <c r="V312" i="17"/>
  <c r="V313" i="17"/>
  <c r="V314" i="17"/>
  <c r="V315" i="17"/>
  <c r="V316" i="17"/>
  <c r="V317" i="17"/>
  <c r="V318" i="17"/>
  <c r="V319" i="17"/>
  <c r="V320" i="17"/>
  <c r="V321" i="17"/>
  <c r="V322" i="17"/>
  <c r="V323" i="17"/>
  <c r="V324" i="17"/>
  <c r="V325" i="17"/>
  <c r="V326" i="17"/>
  <c r="V327" i="17"/>
  <c r="V328" i="17"/>
  <c r="V329" i="17"/>
  <c r="V330" i="17"/>
  <c r="V331" i="17"/>
  <c r="V332" i="17"/>
  <c r="V333" i="17"/>
  <c r="V334" i="17"/>
  <c r="V335" i="17"/>
  <c r="V336" i="17"/>
  <c r="V337" i="17"/>
  <c r="V338" i="17"/>
  <c r="V339" i="17"/>
  <c r="V340" i="17"/>
  <c r="V341" i="17"/>
  <c r="V342" i="17"/>
  <c r="V343" i="17"/>
  <c r="V344" i="17"/>
  <c r="V345" i="17"/>
  <c r="V346" i="17"/>
  <c r="V347" i="17"/>
  <c r="V348" i="17"/>
  <c r="V349" i="17"/>
  <c r="V350" i="17"/>
  <c r="V351" i="17"/>
  <c r="V352" i="17"/>
  <c r="V353" i="17"/>
  <c r="V354" i="17"/>
  <c r="V355" i="17"/>
  <c r="V356" i="17"/>
  <c r="V357" i="17"/>
  <c r="V358" i="17"/>
  <c r="V359" i="17"/>
  <c r="V360" i="17"/>
  <c r="V361" i="17"/>
  <c r="V362" i="17"/>
  <c r="V363" i="17"/>
  <c r="V364" i="17"/>
  <c r="V365" i="17"/>
  <c r="V366" i="17"/>
  <c r="V367" i="17"/>
  <c r="V368" i="17"/>
  <c r="V369" i="17"/>
  <c r="V370" i="17"/>
  <c r="V371" i="17"/>
  <c r="V372" i="17"/>
  <c r="V373" i="17"/>
  <c r="V374" i="17"/>
  <c r="V375" i="17"/>
  <c r="V376" i="17"/>
  <c r="V377" i="17"/>
  <c r="V378" i="17"/>
  <c r="V379" i="17"/>
  <c r="V380" i="17"/>
  <c r="V381" i="17"/>
  <c r="V382" i="17"/>
  <c r="V383" i="17"/>
  <c r="V384" i="17"/>
  <c r="V385" i="17"/>
  <c r="V386" i="17"/>
  <c r="V387" i="17"/>
  <c r="V388" i="17"/>
  <c r="V389" i="17"/>
  <c r="V390" i="17"/>
  <c r="V391" i="17"/>
  <c r="V392" i="17"/>
  <c r="V393" i="17"/>
  <c r="V394" i="17"/>
  <c r="V395" i="17"/>
  <c r="V396" i="17"/>
  <c r="V397" i="17"/>
  <c r="V398" i="17"/>
  <c r="V399" i="17"/>
  <c r="V400" i="17"/>
  <c r="V401" i="17"/>
  <c r="V402" i="17"/>
  <c r="V403" i="17"/>
  <c r="V404" i="17"/>
  <c r="V405" i="17"/>
  <c r="V406" i="17"/>
  <c r="V407" i="17"/>
  <c r="V408" i="17"/>
  <c r="V409" i="17"/>
  <c r="V410" i="17"/>
  <c r="V411" i="17"/>
  <c r="V412" i="17"/>
  <c r="V413" i="17"/>
  <c r="V414" i="17"/>
  <c r="V415" i="17"/>
  <c r="V416" i="17"/>
  <c r="V417" i="17"/>
  <c r="V418" i="17"/>
  <c r="V419" i="17"/>
  <c r="V420" i="17"/>
  <c r="V421" i="17"/>
  <c r="V422" i="17"/>
  <c r="V423" i="17"/>
  <c r="V424" i="17"/>
  <c r="V425" i="17"/>
  <c r="V426" i="17"/>
  <c r="V427" i="17"/>
  <c r="V428" i="17"/>
  <c r="V429" i="17"/>
  <c r="V430" i="17"/>
  <c r="V431" i="17"/>
  <c r="V432" i="17"/>
  <c r="V433" i="17"/>
  <c r="V434" i="17"/>
  <c r="V435" i="17"/>
  <c r="V436" i="17"/>
  <c r="V437" i="17"/>
  <c r="V438" i="17"/>
  <c r="V439" i="17"/>
  <c r="V440" i="17"/>
  <c r="V441" i="17"/>
  <c r="V442" i="17"/>
  <c r="V443" i="17"/>
  <c r="V444" i="17"/>
  <c r="V445" i="17"/>
  <c r="V446" i="17"/>
  <c r="V447" i="17"/>
  <c r="V448" i="17"/>
  <c r="V449" i="17"/>
  <c r="V450" i="17"/>
  <c r="V451" i="17"/>
  <c r="V452" i="17"/>
  <c r="V453" i="17"/>
  <c r="V454" i="17"/>
  <c r="V455" i="17"/>
  <c r="V456" i="17"/>
  <c r="V457" i="17"/>
  <c r="V458" i="17"/>
  <c r="V459" i="17"/>
  <c r="V460" i="17"/>
  <c r="V461" i="17"/>
  <c r="V462" i="17"/>
  <c r="V463" i="17"/>
  <c r="V464" i="17"/>
  <c r="V465" i="17"/>
  <c r="V466" i="17"/>
  <c r="V467" i="17"/>
  <c r="V468" i="17"/>
  <c r="V469" i="17"/>
  <c r="V470" i="17"/>
  <c r="V471" i="17"/>
  <c r="V472" i="17"/>
  <c r="V473" i="17"/>
  <c r="V474" i="17"/>
  <c r="V475" i="17"/>
  <c r="V476" i="17"/>
  <c r="V477" i="17"/>
  <c r="V478" i="17"/>
  <c r="V479" i="17"/>
  <c r="V480" i="17"/>
  <c r="V481" i="17"/>
  <c r="V482" i="17"/>
  <c r="V483" i="17"/>
  <c r="V484" i="17"/>
  <c r="V485" i="17"/>
  <c r="V486" i="17"/>
  <c r="V487" i="17"/>
  <c r="V488" i="17"/>
  <c r="V489" i="17"/>
  <c r="V490" i="17"/>
  <c r="V491" i="17"/>
  <c r="V492" i="17"/>
  <c r="V493" i="17"/>
  <c r="V494" i="17"/>
  <c r="V495" i="17"/>
  <c r="V496" i="17"/>
  <c r="V497" i="17"/>
  <c r="V498" i="17"/>
  <c r="V499" i="17"/>
  <c r="V500" i="17"/>
  <c r="V501" i="17"/>
  <c r="V502" i="17"/>
  <c r="V503" i="17"/>
  <c r="V504" i="17"/>
  <c r="V505" i="17"/>
  <c r="V506" i="17"/>
  <c r="V507" i="17"/>
  <c r="V508" i="17"/>
  <c r="V509" i="17"/>
  <c r="V510" i="17"/>
  <c r="V511" i="17"/>
  <c r="V512" i="17"/>
  <c r="V513" i="17"/>
  <c r="V514" i="17"/>
  <c r="V515" i="17"/>
  <c r="V516" i="17"/>
  <c r="V517" i="17"/>
  <c r="V518" i="17"/>
  <c r="V519" i="17"/>
  <c r="V520" i="17"/>
  <c r="V521" i="17"/>
  <c r="V522" i="17"/>
  <c r="V523" i="17"/>
  <c r="V524" i="17"/>
  <c r="V525" i="17"/>
  <c r="V526" i="17"/>
  <c r="V527" i="17"/>
  <c r="V528" i="17"/>
  <c r="V529" i="17"/>
  <c r="V530" i="17"/>
  <c r="V531" i="17"/>
  <c r="V532" i="17"/>
  <c r="V533" i="17"/>
  <c r="V534" i="17"/>
  <c r="V535" i="17"/>
  <c r="V536" i="17"/>
  <c r="V537" i="17"/>
  <c r="V538" i="17"/>
  <c r="V539" i="17"/>
  <c r="V540" i="17"/>
  <c r="V541" i="17"/>
  <c r="V542" i="17"/>
  <c r="V543" i="17"/>
  <c r="V544" i="17"/>
  <c r="V545" i="17"/>
  <c r="V546" i="17"/>
  <c r="V547" i="17"/>
  <c r="V548" i="17"/>
  <c r="V549" i="17"/>
  <c r="V550" i="17"/>
  <c r="V551" i="17"/>
  <c r="V552" i="17"/>
  <c r="V553" i="17"/>
  <c r="V554" i="17"/>
  <c r="V555" i="17"/>
  <c r="V556" i="17"/>
  <c r="V557" i="17"/>
  <c r="V558" i="17"/>
  <c r="V559" i="17"/>
  <c r="V560" i="17"/>
  <c r="V561" i="17"/>
  <c r="V562" i="17"/>
  <c r="V563" i="17"/>
  <c r="V564" i="17"/>
  <c r="V565" i="17"/>
  <c r="V566" i="17"/>
  <c r="V567" i="17"/>
  <c r="V568" i="17"/>
  <c r="V569" i="17"/>
  <c r="V570" i="17"/>
  <c r="V571" i="17"/>
  <c r="V572" i="17"/>
  <c r="V573" i="17"/>
  <c r="V574" i="17"/>
  <c r="V575" i="17"/>
  <c r="V576" i="17"/>
  <c r="V577" i="17"/>
  <c r="V578" i="17"/>
  <c r="V579" i="17"/>
  <c r="V580" i="17"/>
  <c r="V581" i="17"/>
  <c r="V582" i="17"/>
  <c r="V583" i="17"/>
  <c r="V584" i="17"/>
  <c r="V585" i="17"/>
  <c r="V586" i="17"/>
  <c r="V587" i="17"/>
  <c r="V588" i="17"/>
  <c r="V589" i="17"/>
  <c r="V590" i="17"/>
  <c r="V591" i="17"/>
  <c r="V592" i="17"/>
  <c r="V593" i="17"/>
  <c r="V594" i="17"/>
  <c r="V595" i="17"/>
  <c r="V596" i="17"/>
  <c r="V597" i="17"/>
  <c r="V598" i="17"/>
  <c r="V599" i="17"/>
  <c r="V600" i="17"/>
  <c r="V601" i="17"/>
  <c r="V602" i="17"/>
  <c r="V603" i="17"/>
  <c r="V604" i="17"/>
  <c r="V605" i="17"/>
  <c r="V606" i="17"/>
  <c r="V607" i="17"/>
  <c r="V608" i="17"/>
  <c r="V609" i="17"/>
  <c r="V610" i="17"/>
  <c r="V611" i="17"/>
  <c r="V612" i="17"/>
  <c r="V613" i="17"/>
  <c r="D353" i="2" l="1"/>
  <c r="E353" i="2"/>
  <c r="C63" i="16" s="1"/>
  <c r="D63" i="16" s="1"/>
  <c r="I3" i="17"/>
  <c r="B359" i="2"/>
  <c r="A359" i="2"/>
  <c r="B203" i="2"/>
  <c r="B218" i="2" s="1"/>
  <c r="B358" i="2" l="1"/>
  <c r="A358" i="2"/>
  <c r="B357" i="2"/>
  <c r="A357" i="2"/>
  <c r="AE687" i="17" l="1"/>
  <c r="B14" i="17" l="1"/>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3" i="17"/>
  <c r="B134"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79" i="17"/>
  <c r="B180" i="17"/>
  <c r="B181" i="17"/>
  <c r="B182" i="17"/>
  <c r="B183" i="17"/>
  <c r="B184" i="17"/>
  <c r="B185" i="17"/>
  <c r="B186" i="17"/>
  <c r="B187" i="17"/>
  <c r="B188" i="17"/>
  <c r="B189" i="17"/>
  <c r="B190" i="17"/>
  <c r="B191" i="17"/>
  <c r="B192" i="17"/>
  <c r="B193" i="17"/>
  <c r="B194" i="17"/>
  <c r="B195" i="17"/>
  <c r="B196" i="17"/>
  <c r="B197" i="17"/>
  <c r="B198" i="17"/>
  <c r="B199" i="17"/>
  <c r="B200" i="17"/>
  <c r="B201" i="17"/>
  <c r="B202" i="17"/>
  <c r="B203" i="17"/>
  <c r="B204" i="17"/>
  <c r="B205" i="17"/>
  <c r="B206" i="17"/>
  <c r="B207" i="17"/>
  <c r="B208" i="17"/>
  <c r="B209" i="17"/>
  <c r="B210" i="17"/>
  <c r="B211" i="17"/>
  <c r="B212" i="17"/>
  <c r="B213" i="17"/>
  <c r="B214" i="17"/>
  <c r="B215" i="17"/>
  <c r="B216" i="17"/>
  <c r="B217" i="17"/>
  <c r="B218" i="17"/>
  <c r="B219" i="17"/>
  <c r="B220" i="17"/>
  <c r="B221" i="17"/>
  <c r="B222" i="17"/>
  <c r="B223" i="17"/>
  <c r="B224" i="17"/>
  <c r="B225" i="17"/>
  <c r="B226" i="17"/>
  <c r="B227" i="17"/>
  <c r="B228" i="17"/>
  <c r="B229" i="17"/>
  <c r="B230" i="17"/>
  <c r="B231" i="17"/>
  <c r="B232" i="17"/>
  <c r="B233" i="17"/>
  <c r="B234" i="17"/>
  <c r="B235" i="17"/>
  <c r="B236" i="17"/>
  <c r="B237" i="17"/>
  <c r="B238" i="17"/>
  <c r="B239" i="17"/>
  <c r="B240" i="17"/>
  <c r="B241" i="17"/>
  <c r="B242" i="17"/>
  <c r="B243" i="17"/>
  <c r="B244" i="17"/>
  <c r="B245" i="17"/>
  <c r="B246" i="17"/>
  <c r="B247" i="17"/>
  <c r="B248" i="17"/>
  <c r="B249" i="17"/>
  <c r="B250" i="17"/>
  <c r="B251" i="17"/>
  <c r="B252" i="17"/>
  <c r="B253" i="17"/>
  <c r="B254" i="17"/>
  <c r="B255" i="17"/>
  <c r="B256" i="17"/>
  <c r="B257" i="17"/>
  <c r="B258" i="17"/>
  <c r="B259" i="17"/>
  <c r="B260" i="17"/>
  <c r="B261" i="17"/>
  <c r="B262" i="17"/>
  <c r="B263" i="17"/>
  <c r="B264" i="17"/>
  <c r="B265" i="17"/>
  <c r="B266" i="17"/>
  <c r="B267" i="17"/>
  <c r="B268" i="17"/>
  <c r="B269" i="17"/>
  <c r="B270" i="17"/>
  <c r="B271" i="17"/>
  <c r="B272" i="17"/>
  <c r="B273" i="17"/>
  <c r="B274" i="17"/>
  <c r="B275" i="17"/>
  <c r="B276" i="17"/>
  <c r="B277" i="17"/>
  <c r="B278" i="17"/>
  <c r="B279" i="17"/>
  <c r="B280" i="17"/>
  <c r="B281" i="17"/>
  <c r="B282" i="17"/>
  <c r="B283" i="17"/>
  <c r="B284" i="17"/>
  <c r="B285" i="17"/>
  <c r="B286" i="17"/>
  <c r="B287" i="17"/>
  <c r="B288" i="17"/>
  <c r="B289" i="17"/>
  <c r="B290" i="17"/>
  <c r="B291" i="17"/>
  <c r="B292" i="17"/>
  <c r="B293" i="17"/>
  <c r="B294" i="17"/>
  <c r="B295" i="17"/>
  <c r="B296" i="17"/>
  <c r="B297" i="17"/>
  <c r="B298" i="17"/>
  <c r="B299" i="17"/>
  <c r="B300" i="17"/>
  <c r="B301" i="17"/>
  <c r="B302" i="17"/>
  <c r="B303" i="17"/>
  <c r="B304" i="17"/>
  <c r="B305" i="17"/>
  <c r="B306" i="17"/>
  <c r="B307" i="17"/>
  <c r="B308" i="17"/>
  <c r="B309" i="17"/>
  <c r="B310" i="17"/>
  <c r="B311" i="17"/>
  <c r="B312" i="17"/>
  <c r="B313" i="17"/>
  <c r="B314" i="17"/>
  <c r="B315" i="17"/>
  <c r="B316" i="17"/>
  <c r="B317" i="17"/>
  <c r="B318" i="17"/>
  <c r="B319" i="17"/>
  <c r="B320" i="17"/>
  <c r="B321" i="17"/>
  <c r="B322" i="17"/>
  <c r="B323" i="17"/>
  <c r="B324" i="17"/>
  <c r="B325" i="17"/>
  <c r="B326" i="17"/>
  <c r="B327" i="17"/>
  <c r="B328" i="17"/>
  <c r="B329" i="17"/>
  <c r="B330" i="17"/>
  <c r="B331" i="17"/>
  <c r="B332" i="17"/>
  <c r="B333" i="17"/>
  <c r="B334" i="17"/>
  <c r="B335" i="17"/>
  <c r="B336" i="17"/>
  <c r="B337" i="17"/>
  <c r="B338" i="17"/>
  <c r="B339" i="17"/>
  <c r="B340" i="17"/>
  <c r="B341" i="17"/>
  <c r="B342" i="17"/>
  <c r="B343" i="17"/>
  <c r="B344" i="17"/>
  <c r="B345" i="17"/>
  <c r="B346" i="17"/>
  <c r="B347" i="17"/>
  <c r="B348" i="17"/>
  <c r="B349" i="17"/>
  <c r="B350" i="17"/>
  <c r="B351" i="17"/>
  <c r="B352" i="17"/>
  <c r="B353" i="17"/>
  <c r="B354" i="17"/>
  <c r="B355" i="17"/>
  <c r="B356" i="17"/>
  <c r="B357" i="17"/>
  <c r="B358" i="17"/>
  <c r="B359" i="17"/>
  <c r="B360" i="17"/>
  <c r="B361" i="17"/>
  <c r="B362" i="17"/>
  <c r="B363" i="17"/>
  <c r="B364" i="17"/>
  <c r="B365" i="17"/>
  <c r="B366" i="17"/>
  <c r="B367" i="17"/>
  <c r="B368" i="17"/>
  <c r="B369" i="17"/>
  <c r="B370" i="17"/>
  <c r="B371" i="17"/>
  <c r="B372" i="17"/>
  <c r="B373" i="17"/>
  <c r="B374" i="17"/>
  <c r="B375" i="17"/>
  <c r="B376" i="17"/>
  <c r="B377" i="17"/>
  <c r="B378" i="17"/>
  <c r="B379" i="17"/>
  <c r="B380" i="17"/>
  <c r="B381" i="17"/>
  <c r="B382" i="17"/>
  <c r="B383" i="17"/>
  <c r="B384" i="17"/>
  <c r="B385" i="17"/>
  <c r="B386" i="17"/>
  <c r="B387" i="17"/>
  <c r="B388" i="17"/>
  <c r="B389" i="17"/>
  <c r="B390" i="17"/>
  <c r="B391" i="17"/>
  <c r="B392" i="17"/>
  <c r="B393" i="17"/>
  <c r="B394" i="17"/>
  <c r="B395" i="17"/>
  <c r="B396" i="17"/>
  <c r="B397" i="17"/>
  <c r="B398" i="17"/>
  <c r="B399" i="17"/>
  <c r="B400" i="17"/>
  <c r="B401" i="17"/>
  <c r="B402" i="17"/>
  <c r="B403" i="17"/>
  <c r="B404" i="17"/>
  <c r="B405" i="17"/>
  <c r="B406" i="17"/>
  <c r="B407" i="17"/>
  <c r="B408" i="17"/>
  <c r="B409" i="17"/>
  <c r="B410" i="17"/>
  <c r="B411" i="17"/>
  <c r="B412" i="17"/>
  <c r="B413" i="17"/>
  <c r="B414" i="17"/>
  <c r="B415" i="17"/>
  <c r="B416" i="17"/>
  <c r="B417" i="17"/>
  <c r="B418" i="17"/>
  <c r="B419" i="17"/>
  <c r="B420" i="17"/>
  <c r="B421" i="17"/>
  <c r="B422" i="17"/>
  <c r="B423" i="17"/>
  <c r="B424" i="17"/>
  <c r="B425" i="17"/>
  <c r="B426" i="17"/>
  <c r="B427" i="17"/>
  <c r="B428" i="17"/>
  <c r="B429" i="17"/>
  <c r="B430" i="17"/>
  <c r="B431" i="17"/>
  <c r="B432" i="17"/>
  <c r="B433" i="17"/>
  <c r="B434" i="17"/>
  <c r="B435" i="17"/>
  <c r="B436" i="17"/>
  <c r="B437" i="17"/>
  <c r="B438" i="17"/>
  <c r="B439" i="17"/>
  <c r="B440" i="17"/>
  <c r="B441" i="17"/>
  <c r="B442" i="17"/>
  <c r="B443" i="17"/>
  <c r="B444" i="17"/>
  <c r="B445" i="17"/>
  <c r="B446" i="17"/>
  <c r="B447" i="17"/>
  <c r="B448" i="17"/>
  <c r="B449" i="17"/>
  <c r="B450" i="17"/>
  <c r="B451" i="17"/>
  <c r="B452" i="17"/>
  <c r="B453" i="17"/>
  <c r="B454" i="17"/>
  <c r="B455" i="17"/>
  <c r="B456" i="17"/>
  <c r="B457" i="17"/>
  <c r="B458" i="17"/>
  <c r="B459" i="17"/>
  <c r="B460" i="17"/>
  <c r="B461" i="17"/>
  <c r="B462" i="17"/>
  <c r="B463" i="17"/>
  <c r="B464" i="17"/>
  <c r="B465" i="17"/>
  <c r="B466" i="17"/>
  <c r="B467" i="17"/>
  <c r="B468" i="17"/>
  <c r="B469" i="17"/>
  <c r="B470" i="17"/>
  <c r="B471" i="17"/>
  <c r="B472" i="17"/>
  <c r="B473" i="17"/>
  <c r="B474" i="17"/>
  <c r="B475" i="17"/>
  <c r="B476" i="17"/>
  <c r="B477" i="17"/>
  <c r="B478" i="17"/>
  <c r="B479" i="17"/>
  <c r="B480" i="17"/>
  <c r="B481" i="17"/>
  <c r="B482" i="17"/>
  <c r="B483" i="17"/>
  <c r="B484" i="17"/>
  <c r="B485" i="17"/>
  <c r="B486" i="17"/>
  <c r="B487" i="17"/>
  <c r="B488" i="17"/>
  <c r="B489" i="17"/>
  <c r="B490" i="17"/>
  <c r="B491" i="17"/>
  <c r="B492" i="17"/>
  <c r="B493" i="17"/>
  <c r="B494" i="17"/>
  <c r="B495" i="17"/>
  <c r="B496" i="17"/>
  <c r="B497" i="17"/>
  <c r="B498" i="17"/>
  <c r="B499" i="17"/>
  <c r="B500" i="17"/>
  <c r="B501" i="17"/>
  <c r="B502" i="17"/>
  <c r="B503" i="17"/>
  <c r="B504" i="17"/>
  <c r="B505" i="17"/>
  <c r="B506" i="17"/>
  <c r="B507" i="17"/>
  <c r="B508" i="17"/>
  <c r="B509" i="17"/>
  <c r="B510" i="17"/>
  <c r="B511" i="17"/>
  <c r="B512" i="17"/>
  <c r="B513" i="17"/>
  <c r="B514" i="17"/>
  <c r="B515" i="17"/>
  <c r="B516" i="17"/>
  <c r="B517" i="17"/>
  <c r="B518" i="17"/>
  <c r="B519" i="17"/>
  <c r="B520" i="17"/>
  <c r="B521" i="17"/>
  <c r="B522" i="17"/>
  <c r="B523" i="17"/>
  <c r="B524" i="17"/>
  <c r="B525" i="17"/>
  <c r="B526" i="17"/>
  <c r="B527" i="17"/>
  <c r="B528" i="17"/>
  <c r="B529" i="17"/>
  <c r="B530" i="17"/>
  <c r="B531" i="17"/>
  <c r="B532" i="17"/>
  <c r="B533" i="17"/>
  <c r="B534" i="17"/>
  <c r="B535" i="17"/>
  <c r="B536" i="17"/>
  <c r="B537" i="17"/>
  <c r="B538" i="17"/>
  <c r="B539" i="17"/>
  <c r="B540" i="17"/>
  <c r="B541" i="17"/>
  <c r="B542" i="17"/>
  <c r="B543" i="17"/>
  <c r="B544" i="17"/>
  <c r="B545" i="17"/>
  <c r="B546" i="17"/>
  <c r="B547" i="17"/>
  <c r="B548" i="17"/>
  <c r="B549" i="17"/>
  <c r="B550" i="17"/>
  <c r="B551" i="17"/>
  <c r="B552" i="17"/>
  <c r="B553" i="17"/>
  <c r="B554" i="17"/>
  <c r="B555" i="17"/>
  <c r="B556" i="17"/>
  <c r="B557" i="17"/>
  <c r="B558" i="17"/>
  <c r="B559" i="17"/>
  <c r="B560" i="17"/>
  <c r="B561" i="17"/>
  <c r="B562" i="17"/>
  <c r="B563" i="17"/>
  <c r="B564" i="17"/>
  <c r="B565" i="17"/>
  <c r="B566" i="17"/>
  <c r="B567" i="17"/>
  <c r="B568" i="17"/>
  <c r="B569" i="17"/>
  <c r="B570" i="17"/>
  <c r="B571" i="17"/>
  <c r="B572" i="17"/>
  <c r="B573" i="17"/>
  <c r="B574" i="17"/>
  <c r="B575" i="17"/>
  <c r="B576" i="17"/>
  <c r="B577" i="17"/>
  <c r="B578" i="17"/>
  <c r="B579" i="17"/>
  <c r="B580" i="17"/>
  <c r="B581" i="17"/>
  <c r="B582" i="17"/>
  <c r="B583" i="17"/>
  <c r="B584" i="17"/>
  <c r="B585" i="17"/>
  <c r="B586" i="17"/>
  <c r="B587" i="17"/>
  <c r="B588" i="17"/>
  <c r="B589" i="17"/>
  <c r="B590" i="17"/>
  <c r="B591" i="17"/>
  <c r="B592" i="17"/>
  <c r="B593" i="17"/>
  <c r="B594" i="17"/>
  <c r="B595" i="17"/>
  <c r="B596" i="17"/>
  <c r="B597" i="17"/>
  <c r="B598" i="17"/>
  <c r="B599" i="17"/>
  <c r="B600" i="17"/>
  <c r="B601" i="17"/>
  <c r="B602" i="17"/>
  <c r="B603" i="17"/>
  <c r="B604" i="17"/>
  <c r="B605" i="17"/>
  <c r="B606" i="17"/>
  <c r="B607" i="17"/>
  <c r="B608" i="17"/>
  <c r="B609" i="17"/>
  <c r="B610" i="17"/>
  <c r="B611" i="17"/>
  <c r="B612" i="17"/>
  <c r="B613" i="17"/>
  <c r="B13" i="17"/>
  <c r="B205" i="2"/>
  <c r="Q6" i="17"/>
  <c r="C6" i="17" l="1"/>
  <c r="C6" i="25"/>
  <c r="A341" i="2"/>
  <c r="B175" i="2"/>
  <c r="B176" i="2" s="1"/>
  <c r="H3" i="8" s="1"/>
  <c r="B122" i="2"/>
  <c r="B77" i="2"/>
  <c r="B8" i="2"/>
  <c r="D187" i="2" s="1"/>
  <c r="B9" i="2"/>
  <c r="H625" i="25" l="1"/>
  <c r="H623" i="25"/>
  <c r="G613" i="25"/>
  <c r="G612" i="25"/>
  <c r="G611" i="25"/>
  <c r="G610" i="25"/>
  <c r="G609" i="25"/>
  <c r="G608" i="25"/>
  <c r="G607" i="25"/>
  <c r="G606" i="25"/>
  <c r="G605" i="25"/>
  <c r="G604" i="25"/>
  <c r="G603" i="25"/>
  <c r="G602" i="25"/>
  <c r="G601" i="25"/>
  <c r="G600" i="25"/>
  <c r="G599" i="25"/>
  <c r="G598" i="25"/>
  <c r="G597" i="25"/>
  <c r="G596" i="25"/>
  <c r="G595" i="25"/>
  <c r="G594" i="25"/>
  <c r="G593" i="25"/>
  <c r="G592" i="25"/>
  <c r="G591" i="25"/>
  <c r="G590" i="25"/>
  <c r="G589" i="25"/>
  <c r="G588" i="25"/>
  <c r="G587" i="25"/>
  <c r="G586" i="25"/>
  <c r="G585" i="25"/>
  <c r="G584" i="25"/>
  <c r="G583" i="25"/>
  <c r="G582" i="25"/>
  <c r="G581" i="25"/>
  <c r="G580" i="25"/>
  <c r="G579" i="25"/>
  <c r="G578" i="25"/>
  <c r="G577" i="25"/>
  <c r="G576" i="25"/>
  <c r="G575" i="25"/>
  <c r="G574" i="25"/>
  <c r="G573" i="25"/>
  <c r="G572" i="25"/>
  <c r="G571" i="25"/>
  <c r="G570" i="25"/>
  <c r="G569" i="25"/>
  <c r="G568" i="25"/>
  <c r="G567" i="25"/>
  <c r="G566" i="25"/>
  <c r="G565" i="25"/>
  <c r="G564" i="25"/>
  <c r="G563" i="25"/>
  <c r="G562" i="25"/>
  <c r="G561" i="25"/>
  <c r="G560" i="25"/>
  <c r="G559" i="25"/>
  <c r="G558" i="25"/>
  <c r="G557" i="25"/>
  <c r="G556" i="25"/>
  <c r="G555" i="25"/>
  <c r="G554" i="25"/>
  <c r="G553" i="25"/>
  <c r="G552" i="25"/>
  <c r="G551" i="25"/>
  <c r="G550" i="25"/>
  <c r="G549" i="25"/>
  <c r="G548" i="25"/>
  <c r="G547" i="25"/>
  <c r="G546" i="25"/>
  <c r="G545" i="25"/>
  <c r="G544" i="25"/>
  <c r="G543" i="25"/>
  <c r="G625" i="25"/>
  <c r="G623" i="25"/>
  <c r="G628" i="25"/>
  <c r="G626" i="25"/>
  <c r="G624" i="25"/>
  <c r="H613" i="25"/>
  <c r="H612" i="25"/>
  <c r="H611" i="25"/>
  <c r="H610" i="25"/>
  <c r="H609" i="25"/>
  <c r="H608" i="25"/>
  <c r="H607" i="25"/>
  <c r="H606" i="25"/>
  <c r="H605" i="25"/>
  <c r="H604" i="25"/>
  <c r="H603" i="25"/>
  <c r="H602" i="25"/>
  <c r="H601" i="25"/>
  <c r="H600" i="25"/>
  <c r="H599" i="25"/>
  <c r="H598" i="25"/>
  <c r="H597" i="25"/>
  <c r="H596" i="25"/>
  <c r="H595" i="25"/>
  <c r="H594" i="25"/>
  <c r="H593" i="25"/>
  <c r="H592" i="25"/>
  <c r="H591" i="25"/>
  <c r="H590" i="25"/>
  <c r="H589" i="25"/>
  <c r="H588" i="25"/>
  <c r="H587" i="25"/>
  <c r="H586" i="25"/>
  <c r="H585" i="25"/>
  <c r="H584" i="25"/>
  <c r="H583" i="25"/>
  <c r="H582" i="25"/>
  <c r="H581" i="25"/>
  <c r="H580" i="25"/>
  <c r="H579" i="25"/>
  <c r="H578" i="25"/>
  <c r="H577" i="25"/>
  <c r="H576" i="25"/>
  <c r="H575" i="25"/>
  <c r="H574" i="25"/>
  <c r="H573" i="25"/>
  <c r="H572" i="25"/>
  <c r="H571" i="25"/>
  <c r="H570" i="25"/>
  <c r="H569" i="25"/>
  <c r="H568" i="25"/>
  <c r="H567" i="25"/>
  <c r="H566" i="25"/>
  <c r="H565" i="25"/>
  <c r="H564" i="25"/>
  <c r="H563" i="25"/>
  <c r="H562" i="25"/>
  <c r="H561" i="25"/>
  <c r="H560" i="25"/>
  <c r="H559" i="25"/>
  <c r="H558" i="25"/>
  <c r="H557" i="25"/>
  <c r="H556" i="25"/>
  <c r="H555" i="25"/>
  <c r="H554" i="25"/>
  <c r="H553" i="25"/>
  <c r="H552" i="25"/>
  <c r="H551" i="25"/>
  <c r="H550" i="25"/>
  <c r="H549" i="25"/>
  <c r="H548" i="25"/>
  <c r="H547" i="25"/>
  <c r="H546" i="25"/>
  <c r="H545" i="25"/>
  <c r="H544" i="25"/>
  <c r="H543" i="25"/>
  <c r="H542" i="25"/>
  <c r="H541" i="25"/>
  <c r="H540" i="25"/>
  <c r="H539" i="25"/>
  <c r="H538" i="25"/>
  <c r="H537" i="25"/>
  <c r="G542" i="25"/>
  <c r="G538" i="25"/>
  <c r="H628" i="25"/>
  <c r="G539" i="25"/>
  <c r="H624" i="25"/>
  <c r="G541" i="25"/>
  <c r="G537" i="25"/>
  <c r="G536" i="25"/>
  <c r="G535" i="25"/>
  <c r="G534" i="25"/>
  <c r="G533" i="25"/>
  <c r="G532" i="25"/>
  <c r="G531" i="25"/>
  <c r="G530" i="25"/>
  <c r="G529" i="25"/>
  <c r="G528" i="25"/>
  <c r="G527" i="25"/>
  <c r="G526" i="25"/>
  <c r="G525" i="25"/>
  <c r="G524" i="25"/>
  <c r="G523" i="25"/>
  <c r="G522" i="25"/>
  <c r="G521" i="25"/>
  <c r="G520" i="25"/>
  <c r="G519" i="25"/>
  <c r="G518" i="25"/>
  <c r="G517" i="25"/>
  <c r="G516" i="25"/>
  <c r="G515" i="25"/>
  <c r="G514" i="25"/>
  <c r="G513" i="25"/>
  <c r="G512" i="25"/>
  <c r="G511" i="25"/>
  <c r="G510" i="25"/>
  <c r="G509" i="25"/>
  <c r="G508" i="25"/>
  <c r="G507" i="25"/>
  <c r="G506" i="25"/>
  <c r="G505" i="25"/>
  <c r="G504" i="25"/>
  <c r="G503" i="25"/>
  <c r="G502" i="25"/>
  <c r="G501" i="25"/>
  <c r="G500" i="25"/>
  <c r="G499" i="25"/>
  <c r="G498" i="25"/>
  <c r="G497" i="25"/>
  <c r="G496" i="25"/>
  <c r="G495" i="25"/>
  <c r="G494" i="25"/>
  <c r="G493" i="25"/>
  <c r="G492" i="25"/>
  <c r="G491" i="25"/>
  <c r="G490" i="25"/>
  <c r="G489" i="25"/>
  <c r="G488" i="25"/>
  <c r="G487" i="25"/>
  <c r="G486" i="25"/>
  <c r="G485" i="25"/>
  <c r="G484" i="25"/>
  <c r="G483" i="25"/>
  <c r="G482" i="25"/>
  <c r="G481" i="25"/>
  <c r="G480" i="25"/>
  <c r="G479" i="25"/>
  <c r="G478" i="25"/>
  <c r="G477" i="25"/>
  <c r="G476" i="25"/>
  <c r="G475" i="25"/>
  <c r="G474" i="25"/>
  <c r="G473" i="25"/>
  <c r="G472" i="25"/>
  <c r="G471" i="25"/>
  <c r="G470" i="25"/>
  <c r="G469" i="25"/>
  <c r="G468" i="25"/>
  <c r="G467" i="25"/>
  <c r="G466" i="25"/>
  <c r="G465" i="25"/>
  <c r="G464" i="25"/>
  <c r="G463" i="25"/>
  <c r="G462" i="25"/>
  <c r="G461" i="25"/>
  <c r="G460" i="25"/>
  <c r="G459" i="25"/>
  <c r="G458" i="25"/>
  <c r="G457" i="25"/>
  <c r="G456" i="25"/>
  <c r="G455" i="25"/>
  <c r="G454" i="25"/>
  <c r="G453" i="25"/>
  <c r="G452" i="25"/>
  <c r="G451" i="25"/>
  <c r="G450" i="25"/>
  <c r="G449" i="25"/>
  <c r="G448" i="25"/>
  <c r="G447" i="25"/>
  <c r="G446" i="25"/>
  <c r="G445" i="25"/>
  <c r="G444" i="25"/>
  <c r="G443" i="25"/>
  <c r="G442" i="25"/>
  <c r="G441" i="25"/>
  <c r="G440" i="25"/>
  <c r="G439" i="25"/>
  <c r="G438" i="25"/>
  <c r="G437" i="25"/>
  <c r="G436" i="25"/>
  <c r="G435" i="25"/>
  <c r="G434" i="25"/>
  <c r="G433" i="25"/>
  <c r="G432" i="25"/>
  <c r="G431" i="25"/>
  <c r="G430" i="25"/>
  <c r="G429" i="25"/>
  <c r="G428" i="25"/>
  <c r="G427" i="25"/>
  <c r="G426" i="25"/>
  <c r="G425" i="25"/>
  <c r="G424" i="25"/>
  <c r="G423" i="25"/>
  <c r="G422" i="25"/>
  <c r="G421" i="25"/>
  <c r="G420" i="25"/>
  <c r="G419" i="25"/>
  <c r="G418" i="25"/>
  <c r="G417" i="25"/>
  <c r="G416" i="25"/>
  <c r="G415" i="25"/>
  <c r="G414" i="25"/>
  <c r="G413" i="25"/>
  <c r="G412" i="25"/>
  <c r="G411" i="25"/>
  <c r="G410" i="25"/>
  <c r="G409" i="25"/>
  <c r="G408" i="25"/>
  <c r="G407" i="25"/>
  <c r="G406" i="25"/>
  <c r="G405" i="25"/>
  <c r="G404" i="25"/>
  <c r="G403" i="25"/>
  <c r="G402" i="25"/>
  <c r="G401" i="25"/>
  <c r="G400" i="25"/>
  <c r="G399" i="25"/>
  <c r="G398" i="25"/>
  <c r="G397" i="25"/>
  <c r="G396" i="25"/>
  <c r="G395" i="25"/>
  <c r="G394" i="25"/>
  <c r="G393" i="25"/>
  <c r="G392" i="25"/>
  <c r="G391" i="25"/>
  <c r="G390" i="25"/>
  <c r="G389" i="25"/>
  <c r="G388" i="25"/>
  <c r="G387" i="25"/>
  <c r="G386" i="25"/>
  <c r="G385" i="25"/>
  <c r="G384" i="25"/>
  <c r="G383" i="25"/>
  <c r="G382" i="25"/>
  <c r="G381" i="25"/>
  <c r="G380" i="25"/>
  <c r="G379" i="25"/>
  <c r="G378" i="25"/>
  <c r="G377" i="25"/>
  <c r="G376" i="25"/>
  <c r="G375" i="25"/>
  <c r="G374" i="25"/>
  <c r="G373" i="25"/>
  <c r="G372" i="25"/>
  <c r="G371" i="25"/>
  <c r="G370" i="25"/>
  <c r="H536" i="25"/>
  <c r="H532" i="25"/>
  <c r="H528" i="25"/>
  <c r="H524" i="25"/>
  <c r="H520" i="25"/>
  <c r="H516" i="25"/>
  <c r="H512" i="25"/>
  <c r="H508" i="25"/>
  <c r="H504" i="25"/>
  <c r="H500" i="25"/>
  <c r="H496" i="25"/>
  <c r="H492" i="25"/>
  <c r="H488" i="25"/>
  <c r="H484" i="25"/>
  <c r="H480" i="25"/>
  <c r="H476" i="25"/>
  <c r="H472" i="25"/>
  <c r="H468" i="25"/>
  <c r="H464" i="25"/>
  <c r="H460" i="25"/>
  <c r="H456" i="25"/>
  <c r="H452" i="25"/>
  <c r="H448" i="25"/>
  <c r="H444" i="25"/>
  <c r="H440" i="25"/>
  <c r="H436" i="25"/>
  <c r="H432" i="25"/>
  <c r="H428" i="25"/>
  <c r="H424" i="25"/>
  <c r="H420" i="25"/>
  <c r="H416" i="25"/>
  <c r="H412" i="25"/>
  <c r="H408" i="25"/>
  <c r="H404" i="25"/>
  <c r="H400" i="25"/>
  <c r="H396" i="25"/>
  <c r="H533" i="25"/>
  <c r="H529" i="25"/>
  <c r="H525" i="25"/>
  <c r="H521" i="25"/>
  <c r="H517" i="25"/>
  <c r="H513" i="25"/>
  <c r="H509" i="25"/>
  <c r="H505" i="25"/>
  <c r="H501" i="25"/>
  <c r="H497" i="25"/>
  <c r="H493" i="25"/>
  <c r="H489" i="25"/>
  <c r="H485" i="25"/>
  <c r="H481" i="25"/>
  <c r="H477" i="25"/>
  <c r="H473" i="25"/>
  <c r="H469" i="25"/>
  <c r="H465" i="25"/>
  <c r="H461" i="25"/>
  <c r="H457" i="25"/>
  <c r="H453" i="25"/>
  <c r="H449" i="25"/>
  <c r="H445" i="25"/>
  <c r="H441" i="25"/>
  <c r="H437" i="25"/>
  <c r="H433" i="25"/>
  <c r="H429" i="25"/>
  <c r="H425" i="25"/>
  <c r="H421" i="25"/>
  <c r="H417" i="25"/>
  <c r="H413" i="25"/>
  <c r="H409" i="25"/>
  <c r="H405" i="25"/>
  <c r="H401" i="25"/>
  <c r="H397" i="25"/>
  <c r="H393" i="25"/>
  <c r="H389" i="25"/>
  <c r="H385" i="25"/>
  <c r="H381" i="25"/>
  <c r="H377" i="25"/>
  <c r="H373" i="25"/>
  <c r="H369" i="25"/>
  <c r="H368" i="25"/>
  <c r="H367" i="25"/>
  <c r="H366" i="25"/>
  <c r="H365" i="25"/>
  <c r="H364" i="25"/>
  <c r="H363" i="25"/>
  <c r="H362" i="25"/>
  <c r="H361" i="25"/>
  <c r="H360" i="25"/>
  <c r="H359" i="25"/>
  <c r="H358" i="25"/>
  <c r="H357" i="25"/>
  <c r="H356" i="25"/>
  <c r="H355" i="25"/>
  <c r="H354" i="25"/>
  <c r="H353" i="25"/>
  <c r="H352" i="25"/>
  <c r="H351" i="25"/>
  <c r="H350" i="25"/>
  <c r="H349" i="25"/>
  <c r="H348" i="25"/>
  <c r="H347" i="25"/>
  <c r="H346" i="25"/>
  <c r="H345" i="25"/>
  <c r="H344" i="25"/>
  <c r="H343" i="25"/>
  <c r="H342" i="25"/>
  <c r="H341" i="25"/>
  <c r="H340" i="25"/>
  <c r="H339" i="25"/>
  <c r="H338" i="25"/>
  <c r="H337" i="25"/>
  <c r="H336" i="25"/>
  <c r="H335" i="25"/>
  <c r="H334" i="25"/>
  <c r="H333" i="25"/>
  <c r="H332" i="25"/>
  <c r="H331" i="25"/>
  <c r="H330" i="25"/>
  <c r="H329" i="25"/>
  <c r="H328" i="25"/>
  <c r="H327" i="25"/>
  <c r="H326" i="25"/>
  <c r="H626" i="25"/>
  <c r="G540" i="25"/>
  <c r="H535" i="25"/>
  <c r="H531" i="25"/>
  <c r="H527" i="25"/>
  <c r="H523" i="25"/>
  <c r="H519" i="25"/>
  <c r="H515" i="25"/>
  <c r="H511" i="25"/>
  <c r="H507" i="25"/>
  <c r="H503" i="25"/>
  <c r="H499" i="25"/>
  <c r="H495" i="25"/>
  <c r="H491" i="25"/>
  <c r="H487" i="25"/>
  <c r="H483" i="25"/>
  <c r="H479" i="25"/>
  <c r="H475" i="25"/>
  <c r="H471" i="25"/>
  <c r="H467" i="25"/>
  <c r="H463" i="25"/>
  <c r="H459" i="25"/>
  <c r="H455" i="25"/>
  <c r="H451" i="25"/>
  <c r="H447" i="25"/>
  <c r="H443" i="25"/>
  <c r="H439" i="25"/>
  <c r="H435" i="25"/>
  <c r="H431" i="25"/>
  <c r="H427" i="25"/>
  <c r="H423" i="25"/>
  <c r="H419" i="25"/>
  <c r="H415" i="25"/>
  <c r="H411" i="25"/>
  <c r="H407" i="25"/>
  <c r="H403" i="25"/>
  <c r="H399" i="25"/>
  <c r="H395" i="25"/>
  <c r="H391" i="25"/>
  <c r="H387" i="25"/>
  <c r="H383" i="25"/>
  <c r="H379" i="25"/>
  <c r="H375" i="25"/>
  <c r="H371" i="25"/>
  <c r="H522" i="25"/>
  <c r="H506" i="25"/>
  <c r="H490" i="25"/>
  <c r="H474" i="25"/>
  <c r="H458" i="25"/>
  <c r="H442" i="25"/>
  <c r="H426" i="25"/>
  <c r="H410" i="25"/>
  <c r="H394" i="25"/>
  <c r="H386" i="25"/>
  <c r="H378" i="25"/>
  <c r="H370" i="25"/>
  <c r="G366" i="25"/>
  <c r="G362" i="25"/>
  <c r="G358" i="25"/>
  <c r="G354" i="25"/>
  <c r="G350" i="25"/>
  <c r="G346" i="25"/>
  <c r="G342" i="25"/>
  <c r="G338" i="25"/>
  <c r="G334" i="25"/>
  <c r="G330" i="25"/>
  <c r="G326" i="25"/>
  <c r="G325" i="25"/>
  <c r="G324" i="25"/>
  <c r="G323" i="25"/>
  <c r="G322" i="25"/>
  <c r="G321" i="25"/>
  <c r="G320" i="25"/>
  <c r="G319" i="25"/>
  <c r="G318" i="25"/>
  <c r="G317" i="25"/>
  <c r="G316" i="25"/>
  <c r="G315" i="25"/>
  <c r="G314" i="25"/>
  <c r="G313" i="25"/>
  <c r="G312" i="25"/>
  <c r="G311" i="25"/>
  <c r="G310" i="25"/>
  <c r="G309" i="25"/>
  <c r="G308" i="25"/>
  <c r="G307" i="25"/>
  <c r="G306" i="25"/>
  <c r="G305" i="25"/>
  <c r="G304" i="25"/>
  <c r="G303" i="25"/>
  <c r="G302" i="25"/>
  <c r="G301" i="25"/>
  <c r="G300" i="25"/>
  <c r="G299" i="25"/>
  <c r="G298" i="25"/>
  <c r="G297" i="25"/>
  <c r="G296" i="25"/>
  <c r="G295" i="25"/>
  <c r="G294" i="25"/>
  <c r="G293" i="25"/>
  <c r="G292" i="25"/>
  <c r="G291" i="25"/>
  <c r="G290" i="25"/>
  <c r="G289" i="25"/>
  <c r="G288" i="25"/>
  <c r="G287" i="25"/>
  <c r="G286" i="25"/>
  <c r="G285" i="25"/>
  <c r="G284" i="25"/>
  <c r="G283" i="25"/>
  <c r="G282" i="25"/>
  <c r="G281" i="25"/>
  <c r="G280" i="25"/>
  <c r="G279" i="25"/>
  <c r="G278" i="25"/>
  <c r="G277" i="25"/>
  <c r="G276" i="25"/>
  <c r="G275" i="25"/>
  <c r="G274" i="25"/>
  <c r="G273" i="25"/>
  <c r="G272" i="25"/>
  <c r="G271" i="25"/>
  <c r="G270" i="25"/>
  <c r="G269" i="25"/>
  <c r="G268" i="25"/>
  <c r="G267" i="25"/>
  <c r="G266" i="25"/>
  <c r="G265" i="25"/>
  <c r="G264" i="25"/>
  <c r="H534" i="25"/>
  <c r="H518" i="25"/>
  <c r="H502" i="25"/>
  <c r="H486" i="25"/>
  <c r="H470" i="25"/>
  <c r="H454" i="25"/>
  <c r="H438" i="25"/>
  <c r="H422" i="25"/>
  <c r="H406" i="25"/>
  <c r="H392" i="25"/>
  <c r="H384" i="25"/>
  <c r="H376" i="25"/>
  <c r="G367" i="25"/>
  <c r="G363" i="25"/>
  <c r="G359" i="25"/>
  <c r="G355" i="25"/>
  <c r="G351" i="25"/>
  <c r="G347" i="25"/>
  <c r="G343" i="25"/>
  <c r="G339" i="25"/>
  <c r="G335" i="25"/>
  <c r="G331" i="25"/>
  <c r="G327" i="25"/>
  <c r="H526" i="25"/>
  <c r="H510" i="25"/>
  <c r="H494" i="25"/>
  <c r="H478" i="25"/>
  <c r="H462" i="25"/>
  <c r="H446" i="25"/>
  <c r="H430" i="25"/>
  <c r="H414" i="25"/>
  <c r="H398" i="25"/>
  <c r="H388" i="25"/>
  <c r="H380" i="25"/>
  <c r="H372" i="25"/>
  <c r="G369" i="25"/>
  <c r="G365" i="25"/>
  <c r="G361" i="25"/>
  <c r="G357" i="25"/>
  <c r="G353" i="25"/>
  <c r="G349" i="25"/>
  <c r="G345" i="25"/>
  <c r="G341" i="25"/>
  <c r="G337" i="25"/>
  <c r="G333" i="25"/>
  <c r="G329" i="25"/>
  <c r="H325" i="25"/>
  <c r="H324" i="25"/>
  <c r="H323" i="25"/>
  <c r="H322" i="25"/>
  <c r="H321" i="25"/>
  <c r="H320" i="25"/>
  <c r="H319" i="25"/>
  <c r="H318" i="25"/>
  <c r="H317" i="25"/>
  <c r="H316" i="25"/>
  <c r="H315" i="25"/>
  <c r="H314" i="25"/>
  <c r="H313" i="25"/>
  <c r="H312" i="25"/>
  <c r="H311" i="25"/>
  <c r="H310" i="25"/>
  <c r="H309" i="25"/>
  <c r="H308" i="25"/>
  <c r="H307" i="25"/>
  <c r="H306" i="25"/>
  <c r="H305" i="25"/>
  <c r="H304" i="25"/>
  <c r="H303" i="25"/>
  <c r="H302" i="25"/>
  <c r="H301" i="25"/>
  <c r="H300" i="25"/>
  <c r="H299" i="25"/>
  <c r="H298" i="25"/>
  <c r="H297" i="25"/>
  <c r="H296" i="25"/>
  <c r="H295" i="25"/>
  <c r="H294" i="25"/>
  <c r="H293" i="25"/>
  <c r="H292" i="25"/>
  <c r="H291" i="25"/>
  <c r="H290" i="25"/>
  <c r="H289" i="25"/>
  <c r="H288" i="25"/>
  <c r="H287" i="25"/>
  <c r="H286" i="25"/>
  <c r="H285" i="25"/>
  <c r="H284" i="25"/>
  <c r="H283" i="25"/>
  <c r="H282" i="25"/>
  <c r="H281" i="25"/>
  <c r="H280" i="25"/>
  <c r="H279" i="25"/>
  <c r="H278" i="25"/>
  <c r="H277" i="25"/>
  <c r="H276" i="25"/>
  <c r="H275" i="25"/>
  <c r="H274" i="25"/>
  <c r="H273" i="25"/>
  <c r="H272" i="25"/>
  <c r="H271" i="25"/>
  <c r="H270" i="25"/>
  <c r="H269" i="25"/>
  <c r="H268" i="25"/>
  <c r="H267" i="25"/>
  <c r="H266" i="25"/>
  <c r="H265" i="25"/>
  <c r="H264" i="25"/>
  <c r="H263" i="25"/>
  <c r="H262" i="25"/>
  <c r="H261" i="25"/>
  <c r="H260" i="25"/>
  <c r="H259" i="25"/>
  <c r="H258" i="25"/>
  <c r="H257" i="25"/>
  <c r="H256" i="25"/>
  <c r="H255" i="25"/>
  <c r="H254" i="25"/>
  <c r="H253" i="25"/>
  <c r="H252" i="25"/>
  <c r="H251" i="25"/>
  <c r="H250" i="25"/>
  <c r="H249" i="25"/>
  <c r="H248" i="25"/>
  <c r="H247" i="25"/>
  <c r="H246" i="25"/>
  <c r="H245" i="25"/>
  <c r="H244" i="25"/>
  <c r="H243" i="25"/>
  <c r="H242" i="25"/>
  <c r="H241" i="25"/>
  <c r="H240" i="25"/>
  <c r="H239" i="25"/>
  <c r="H238" i="25"/>
  <c r="H237" i="25"/>
  <c r="H236" i="25"/>
  <c r="H235" i="25"/>
  <c r="H234" i="25"/>
  <c r="H482" i="25"/>
  <c r="H418" i="25"/>
  <c r="H374" i="25"/>
  <c r="G356" i="25"/>
  <c r="G340" i="25"/>
  <c r="G261" i="25"/>
  <c r="G257" i="25"/>
  <c r="G253" i="25"/>
  <c r="G249" i="25"/>
  <c r="G245" i="25"/>
  <c r="G241" i="25"/>
  <c r="G237" i="25"/>
  <c r="H233" i="25"/>
  <c r="H232" i="25"/>
  <c r="H231" i="25"/>
  <c r="H230" i="25"/>
  <c r="H229" i="25"/>
  <c r="H228" i="25"/>
  <c r="H227" i="25"/>
  <c r="H226" i="25"/>
  <c r="H225" i="25"/>
  <c r="H224" i="25"/>
  <c r="H223" i="25"/>
  <c r="H222" i="25"/>
  <c r="H221" i="25"/>
  <c r="H220" i="25"/>
  <c r="H219" i="25"/>
  <c r="H218" i="25"/>
  <c r="H217" i="25"/>
  <c r="H216" i="25"/>
  <c r="H215" i="25"/>
  <c r="H214" i="25"/>
  <c r="H213" i="25"/>
  <c r="H212" i="25"/>
  <c r="H211" i="25"/>
  <c r="H210" i="25"/>
  <c r="H209" i="25"/>
  <c r="H208" i="25"/>
  <c r="H207" i="25"/>
  <c r="H206" i="25"/>
  <c r="H205" i="25"/>
  <c r="H204" i="25"/>
  <c r="H203" i="25"/>
  <c r="H202" i="25"/>
  <c r="H201" i="25"/>
  <c r="H200" i="25"/>
  <c r="H199" i="25"/>
  <c r="H198" i="25"/>
  <c r="H197" i="25"/>
  <c r="H196" i="25"/>
  <c r="H195" i="25"/>
  <c r="H194" i="25"/>
  <c r="H193" i="25"/>
  <c r="H192" i="25"/>
  <c r="H191" i="25"/>
  <c r="H190" i="25"/>
  <c r="H189" i="25"/>
  <c r="H188" i="25"/>
  <c r="H187" i="25"/>
  <c r="H186" i="25"/>
  <c r="H185" i="25"/>
  <c r="H184" i="25"/>
  <c r="H183" i="25"/>
  <c r="H182" i="25"/>
  <c r="H181" i="25"/>
  <c r="H180" i="25"/>
  <c r="H179" i="25"/>
  <c r="H178" i="25"/>
  <c r="H177" i="25"/>
  <c r="H176" i="25"/>
  <c r="H175" i="25"/>
  <c r="H173" i="25"/>
  <c r="H172" i="25"/>
  <c r="H171" i="25"/>
  <c r="H170" i="25"/>
  <c r="H169" i="25"/>
  <c r="H168" i="25"/>
  <c r="H167" i="25"/>
  <c r="H166" i="25"/>
  <c r="H165" i="25"/>
  <c r="H164" i="25"/>
  <c r="H163" i="25"/>
  <c r="H162" i="25"/>
  <c r="H161" i="25"/>
  <c r="H159" i="25"/>
  <c r="H158" i="25"/>
  <c r="H156" i="25"/>
  <c r="H154" i="25"/>
  <c r="H152" i="25"/>
  <c r="H150" i="25"/>
  <c r="H149" i="25"/>
  <c r="H148" i="25"/>
  <c r="H146" i="25"/>
  <c r="H145" i="25"/>
  <c r="H143" i="25"/>
  <c r="H141" i="25"/>
  <c r="H139" i="25"/>
  <c r="H137" i="25"/>
  <c r="H135" i="25"/>
  <c r="H133" i="25"/>
  <c r="H131" i="25"/>
  <c r="H129" i="25"/>
  <c r="H128" i="25"/>
  <c r="H126" i="25"/>
  <c r="H124" i="25"/>
  <c r="H122" i="25"/>
  <c r="H120" i="25"/>
  <c r="H118" i="25"/>
  <c r="H530" i="25"/>
  <c r="H466" i="25"/>
  <c r="H402" i="25"/>
  <c r="G368" i="25"/>
  <c r="G352" i="25"/>
  <c r="G336" i="25"/>
  <c r="G262" i="25"/>
  <c r="G258" i="25"/>
  <c r="G254" i="25"/>
  <c r="G250" i="25"/>
  <c r="G246" i="25"/>
  <c r="G242" i="25"/>
  <c r="G238" i="25"/>
  <c r="G234" i="25"/>
  <c r="G233" i="25"/>
  <c r="G232" i="25"/>
  <c r="G231" i="25"/>
  <c r="G230" i="25"/>
  <c r="G229" i="25"/>
  <c r="G228" i="25"/>
  <c r="G227" i="25"/>
  <c r="G226" i="25"/>
  <c r="G225" i="25"/>
  <c r="G224" i="25"/>
  <c r="G223" i="25"/>
  <c r="G222" i="25"/>
  <c r="G221" i="25"/>
  <c r="G220" i="25"/>
  <c r="G219" i="25"/>
  <c r="G218" i="25"/>
  <c r="G217" i="25"/>
  <c r="G216" i="25"/>
  <c r="G215" i="25"/>
  <c r="G214" i="25"/>
  <c r="G213" i="25"/>
  <c r="G212" i="25"/>
  <c r="G211" i="25"/>
  <c r="G210" i="25"/>
  <c r="G209" i="25"/>
  <c r="G208" i="25"/>
  <c r="G207" i="25"/>
  <c r="G206" i="25"/>
  <c r="G205" i="25"/>
  <c r="G204" i="25"/>
  <c r="G203" i="25"/>
  <c r="G202" i="25"/>
  <c r="G201" i="25"/>
  <c r="G200" i="25"/>
  <c r="G199" i="25"/>
  <c r="G198" i="25"/>
  <c r="G197" i="25"/>
  <c r="G196" i="25"/>
  <c r="G195" i="25"/>
  <c r="G194" i="25"/>
  <c r="G193" i="25"/>
  <c r="G192" i="25"/>
  <c r="G191" i="25"/>
  <c r="G190" i="25"/>
  <c r="G189" i="25"/>
  <c r="G188" i="25"/>
  <c r="G187" i="25"/>
  <c r="G186" i="25"/>
  <c r="G185" i="25"/>
  <c r="G184" i="25"/>
  <c r="G183" i="25"/>
  <c r="G182" i="25"/>
  <c r="G181" i="25"/>
  <c r="G180" i="25"/>
  <c r="G179" i="25"/>
  <c r="G178" i="25"/>
  <c r="G177" i="25"/>
  <c r="G176" i="25"/>
  <c r="G175" i="25"/>
  <c r="G174" i="25"/>
  <c r="G173" i="25"/>
  <c r="G172" i="25"/>
  <c r="G171" i="25"/>
  <c r="G170" i="25"/>
  <c r="G169" i="25"/>
  <c r="G168" i="25"/>
  <c r="G167" i="25"/>
  <c r="G166" i="25"/>
  <c r="G165" i="25"/>
  <c r="G164" i="25"/>
  <c r="G163" i="25"/>
  <c r="G162" i="25"/>
  <c r="G161" i="25"/>
  <c r="G160" i="25"/>
  <c r="G159" i="25"/>
  <c r="G158" i="25"/>
  <c r="G157" i="25"/>
  <c r="G156" i="25"/>
  <c r="G155" i="25"/>
  <c r="G154" i="25"/>
  <c r="G153" i="25"/>
  <c r="G152" i="25"/>
  <c r="G151" i="25"/>
  <c r="G150" i="25"/>
  <c r="G149" i="25"/>
  <c r="G148" i="25"/>
  <c r="G147" i="25"/>
  <c r="G146" i="25"/>
  <c r="G145" i="25"/>
  <c r="G144" i="25"/>
  <c r="G143" i="25"/>
  <c r="G142" i="25"/>
  <c r="G141" i="25"/>
  <c r="G140" i="25"/>
  <c r="G139" i="25"/>
  <c r="G138" i="25"/>
  <c r="G137" i="25"/>
  <c r="G136" i="25"/>
  <c r="G135" i="25"/>
  <c r="G134" i="25"/>
  <c r="G133" i="25"/>
  <c r="G132" i="25"/>
  <c r="G131" i="25"/>
  <c r="G130" i="25"/>
  <c r="G129" i="25"/>
  <c r="G128" i="25"/>
  <c r="G127" i="25"/>
  <c r="G126" i="25"/>
  <c r="G125" i="25"/>
  <c r="G124" i="25"/>
  <c r="G123" i="25"/>
  <c r="G122" i="25"/>
  <c r="G121" i="25"/>
  <c r="G120" i="25"/>
  <c r="G119" i="25"/>
  <c r="G118" i="25"/>
  <c r="G117" i="25"/>
  <c r="G116" i="25"/>
  <c r="G115" i="25"/>
  <c r="G114" i="25"/>
  <c r="G113" i="25"/>
  <c r="G112" i="25"/>
  <c r="G111" i="25"/>
  <c r="G110" i="25"/>
  <c r="G109" i="25"/>
  <c r="G108" i="25"/>
  <c r="G107" i="25"/>
  <c r="G106" i="25"/>
  <c r="G105" i="25"/>
  <c r="G104" i="25"/>
  <c r="G103" i="25"/>
  <c r="G102" i="25"/>
  <c r="G101" i="25"/>
  <c r="G100" i="25"/>
  <c r="G99" i="25"/>
  <c r="G98" i="25"/>
  <c r="G97" i="25"/>
  <c r="G96" i="25"/>
  <c r="G95" i="25"/>
  <c r="G94" i="25"/>
  <c r="G93" i="25"/>
  <c r="G92" i="25"/>
  <c r="G91" i="25"/>
  <c r="G90" i="25"/>
  <c r="G89" i="25"/>
  <c r="G88" i="25"/>
  <c r="G87" i="25"/>
  <c r="G86" i="25"/>
  <c r="G85" i="25"/>
  <c r="G84" i="25"/>
  <c r="G83" i="25"/>
  <c r="G82" i="25"/>
  <c r="G81" i="25"/>
  <c r="G80" i="25"/>
  <c r="G79" i="25"/>
  <c r="G78" i="25"/>
  <c r="H498" i="25"/>
  <c r="H434" i="25"/>
  <c r="H382" i="25"/>
  <c r="G360" i="25"/>
  <c r="G344" i="25"/>
  <c r="G328" i="25"/>
  <c r="G260" i="25"/>
  <c r="G256" i="25"/>
  <c r="G252" i="25"/>
  <c r="G248" i="25"/>
  <c r="G244" i="25"/>
  <c r="G240" i="25"/>
  <c r="G236" i="25"/>
  <c r="H174" i="25"/>
  <c r="H160" i="25"/>
  <c r="H157" i="25"/>
  <c r="H155" i="25"/>
  <c r="H153" i="25"/>
  <c r="H151" i="25"/>
  <c r="H147" i="25"/>
  <c r="H144" i="25"/>
  <c r="H142" i="25"/>
  <c r="H140" i="25"/>
  <c r="H138" i="25"/>
  <c r="H136" i="25"/>
  <c r="H134" i="25"/>
  <c r="H132" i="25"/>
  <c r="H130" i="25"/>
  <c r="H127" i="25"/>
  <c r="H125" i="25"/>
  <c r="H123" i="25"/>
  <c r="H121" i="25"/>
  <c r="H119" i="25"/>
  <c r="H117" i="25"/>
  <c r="G364" i="25"/>
  <c r="G251" i="25"/>
  <c r="G235" i="25"/>
  <c r="H113" i="25"/>
  <c r="H109" i="25"/>
  <c r="H105" i="25"/>
  <c r="H101" i="25"/>
  <c r="H97" i="25"/>
  <c r="H93" i="25"/>
  <c r="H89" i="25"/>
  <c r="H85" i="25"/>
  <c r="H81" i="25"/>
  <c r="H77" i="25"/>
  <c r="H75" i="25"/>
  <c r="H73" i="25"/>
  <c r="H70" i="25"/>
  <c r="H67" i="25"/>
  <c r="H64" i="25"/>
  <c r="H60" i="25"/>
  <c r="H57" i="25"/>
  <c r="H54" i="25"/>
  <c r="H51" i="25"/>
  <c r="H48" i="25"/>
  <c r="H45" i="25"/>
  <c r="H42" i="25"/>
  <c r="H39" i="25"/>
  <c r="H35" i="25"/>
  <c r="H32" i="25"/>
  <c r="H29" i="25"/>
  <c r="H25" i="25"/>
  <c r="H22" i="25"/>
  <c r="H19" i="25"/>
  <c r="H16" i="25"/>
  <c r="H14" i="25"/>
  <c r="H13" i="25"/>
  <c r="G44" i="25"/>
  <c r="G41" i="25"/>
  <c r="G37" i="25"/>
  <c r="G33" i="25"/>
  <c r="G29" i="25"/>
  <c r="G26" i="25"/>
  <c r="G22" i="25"/>
  <c r="G18" i="25"/>
  <c r="G14" i="25"/>
  <c r="H107" i="25"/>
  <c r="H95" i="25"/>
  <c r="H514" i="25"/>
  <c r="G348" i="25"/>
  <c r="G263" i="25"/>
  <c r="G247" i="25"/>
  <c r="H114" i="25"/>
  <c r="H110" i="25"/>
  <c r="H106" i="25"/>
  <c r="H102" i="25"/>
  <c r="H98" i="25"/>
  <c r="H94" i="25"/>
  <c r="H90" i="25"/>
  <c r="H86" i="25"/>
  <c r="H82" i="25"/>
  <c r="H78" i="25"/>
  <c r="G77" i="25"/>
  <c r="G76" i="25"/>
  <c r="G75" i="25"/>
  <c r="G74" i="25"/>
  <c r="G73" i="25"/>
  <c r="G72" i="25"/>
  <c r="G71" i="25"/>
  <c r="G70" i="25"/>
  <c r="G69" i="25"/>
  <c r="G68" i="25"/>
  <c r="G67" i="25"/>
  <c r="G66" i="25"/>
  <c r="G65" i="25"/>
  <c r="G64" i="25"/>
  <c r="G63" i="25"/>
  <c r="G62" i="25"/>
  <c r="G61" i="25"/>
  <c r="G60" i="25"/>
  <c r="G59" i="25"/>
  <c r="G58" i="25"/>
  <c r="G57" i="25"/>
  <c r="G56" i="25"/>
  <c r="G55" i="25"/>
  <c r="G54" i="25"/>
  <c r="G53" i="25"/>
  <c r="G52" i="25"/>
  <c r="G51" i="25"/>
  <c r="G50" i="25"/>
  <c r="G49" i="25"/>
  <c r="G48" i="25"/>
  <c r="G47" i="25"/>
  <c r="G46" i="25"/>
  <c r="G45" i="25"/>
  <c r="G43" i="25"/>
  <c r="G40" i="25"/>
  <c r="G36" i="25"/>
  <c r="G32" i="25"/>
  <c r="G28" i="25"/>
  <c r="G24" i="25"/>
  <c r="G21" i="25"/>
  <c r="G17" i="25"/>
  <c r="G13" i="25"/>
  <c r="G332" i="25"/>
  <c r="G259" i="25"/>
  <c r="H115" i="25"/>
  <c r="H103" i="25"/>
  <c r="H91" i="25"/>
  <c r="H79" i="25"/>
  <c r="H390" i="25"/>
  <c r="G255" i="25"/>
  <c r="G239" i="25"/>
  <c r="H116" i="25"/>
  <c r="H112" i="25"/>
  <c r="H108" i="25"/>
  <c r="H104" i="25"/>
  <c r="H100" i="25"/>
  <c r="H96" i="25"/>
  <c r="H92" i="25"/>
  <c r="H88" i="25"/>
  <c r="H84" i="25"/>
  <c r="H80" i="25"/>
  <c r="H76" i="25"/>
  <c r="H74" i="25"/>
  <c r="H72" i="25"/>
  <c r="H71" i="25"/>
  <c r="H69" i="25"/>
  <c r="H68" i="25"/>
  <c r="H66" i="25"/>
  <c r="H65" i="25"/>
  <c r="H63" i="25"/>
  <c r="H62" i="25"/>
  <c r="H61" i="25"/>
  <c r="H59" i="25"/>
  <c r="H58" i="25"/>
  <c r="H56" i="25"/>
  <c r="H55" i="25"/>
  <c r="H53" i="25"/>
  <c r="H52" i="25"/>
  <c r="H50" i="25"/>
  <c r="H49" i="25"/>
  <c r="H47" i="25"/>
  <c r="H46" i="25"/>
  <c r="H44" i="25"/>
  <c r="H43" i="25"/>
  <c r="H41" i="25"/>
  <c r="H40" i="25"/>
  <c r="H38" i="25"/>
  <c r="H37" i="25"/>
  <c r="H36" i="25"/>
  <c r="H34" i="25"/>
  <c r="H33" i="25"/>
  <c r="H31" i="25"/>
  <c r="H30" i="25"/>
  <c r="H28" i="25"/>
  <c r="H27" i="25"/>
  <c r="H26" i="25"/>
  <c r="H24" i="25"/>
  <c r="H23" i="25"/>
  <c r="H21" i="25"/>
  <c r="H20" i="25"/>
  <c r="H18" i="25"/>
  <c r="H17" i="25"/>
  <c r="H15" i="25"/>
  <c r="G42" i="25"/>
  <c r="G39" i="25"/>
  <c r="G38" i="25"/>
  <c r="G35" i="25"/>
  <c r="G34" i="25"/>
  <c r="G31" i="25"/>
  <c r="G30" i="25"/>
  <c r="G27" i="25"/>
  <c r="G25" i="25"/>
  <c r="G23" i="25"/>
  <c r="G20" i="25"/>
  <c r="G19" i="25"/>
  <c r="G16" i="25"/>
  <c r="G15" i="25"/>
  <c r="H450" i="25"/>
  <c r="G243" i="25"/>
  <c r="H111" i="25"/>
  <c r="H99" i="25"/>
  <c r="H87" i="25"/>
  <c r="H83" i="25"/>
  <c r="AO109" i="23"/>
  <c r="AO108" i="23"/>
  <c r="AO107" i="23"/>
  <c r="AO106" i="23"/>
  <c r="AO105" i="23"/>
  <c r="AO104" i="23"/>
  <c r="AO103" i="23"/>
  <c r="AO102" i="23"/>
  <c r="AO101" i="23"/>
  <c r="AO100" i="23"/>
  <c r="AO99" i="23"/>
  <c r="AO98" i="23"/>
  <c r="AO97" i="23"/>
  <c r="AO96" i="23"/>
  <c r="AO95" i="23"/>
  <c r="AO94" i="23"/>
  <c r="AO93" i="23"/>
  <c r="AO92" i="23"/>
  <c r="AO91" i="23"/>
  <c r="AO90" i="23"/>
  <c r="AO89" i="23"/>
  <c r="AO88" i="23"/>
  <c r="AO87" i="23"/>
  <c r="AO86" i="23"/>
  <c r="AO85" i="23"/>
  <c r="AO84" i="23"/>
  <c r="AO83" i="23"/>
  <c r="AO82" i="23"/>
  <c r="AO81" i="23"/>
  <c r="H109" i="23"/>
  <c r="H107" i="23"/>
  <c r="H105" i="23"/>
  <c r="H103" i="23"/>
  <c r="H101" i="23"/>
  <c r="H99" i="23"/>
  <c r="H97" i="23"/>
  <c r="H95" i="23"/>
  <c r="H91" i="23"/>
  <c r="H87" i="23"/>
  <c r="H83" i="23"/>
  <c r="AO59" i="23"/>
  <c r="AO58" i="23"/>
  <c r="AO57" i="23"/>
  <c r="AO56" i="23"/>
  <c r="AO55" i="23"/>
  <c r="AO54" i="23"/>
  <c r="AO53" i="23"/>
  <c r="AO52" i="23"/>
  <c r="AO51" i="23"/>
  <c r="AO50" i="23"/>
  <c r="H49" i="23"/>
  <c r="H48" i="23"/>
  <c r="H47" i="23"/>
  <c r="H46" i="23"/>
  <c r="H45" i="23"/>
  <c r="H44" i="23"/>
  <c r="H43" i="23"/>
  <c r="H42" i="23"/>
  <c r="H41" i="23"/>
  <c r="H40" i="23"/>
  <c r="H39" i="23"/>
  <c r="H38" i="23"/>
  <c r="AO32" i="23"/>
  <c r="AO31" i="23"/>
  <c r="AO30" i="23"/>
  <c r="H29" i="23"/>
  <c r="H28" i="23"/>
  <c r="AO22" i="23"/>
  <c r="AO21" i="23"/>
  <c r="H20" i="23"/>
  <c r="AO14" i="23"/>
  <c r="AO13" i="23"/>
  <c r="AO12" i="23"/>
  <c r="AO11" i="23"/>
  <c r="H9" i="23"/>
  <c r="H102" i="23"/>
  <c r="H80" i="23"/>
  <c r="H76" i="23"/>
  <c r="H72" i="23"/>
  <c r="H68" i="23"/>
  <c r="H92" i="23"/>
  <c r="H88" i="23"/>
  <c r="H84" i="23"/>
  <c r="AO49" i="23"/>
  <c r="AO48" i="23"/>
  <c r="AO47" i="23"/>
  <c r="AO46" i="23"/>
  <c r="AO45" i="23"/>
  <c r="AO44" i="23"/>
  <c r="AO43" i="23"/>
  <c r="AO42" i="23"/>
  <c r="AO41" i="23"/>
  <c r="AO40" i="23"/>
  <c r="AO39" i="23"/>
  <c r="AO38" i="23"/>
  <c r="H37" i="23"/>
  <c r="H36" i="23"/>
  <c r="H35" i="23"/>
  <c r="AO29" i="23"/>
  <c r="AO28" i="23"/>
  <c r="H27" i="23"/>
  <c r="AO20" i="23"/>
  <c r="H19" i="23"/>
  <c r="H18" i="23"/>
  <c r="H17" i="23"/>
  <c r="H16" i="23"/>
  <c r="AO10" i="23"/>
  <c r="AO9" i="23"/>
  <c r="H98" i="23"/>
  <c r="H89" i="23"/>
  <c r="H81" i="23"/>
  <c r="H78" i="23"/>
  <c r="H73" i="23"/>
  <c r="H69" i="23"/>
  <c r="H66" i="23"/>
  <c r="H94" i="23"/>
  <c r="H90" i="23"/>
  <c r="H86" i="23"/>
  <c r="H82" i="23"/>
  <c r="AO80" i="23"/>
  <c r="AO79" i="23"/>
  <c r="AO78" i="23"/>
  <c r="AO77" i="23"/>
  <c r="AO76" i="23"/>
  <c r="AO75" i="23"/>
  <c r="AO74" i="23"/>
  <c r="AO73" i="23"/>
  <c r="AO72" i="23"/>
  <c r="AO71" i="23"/>
  <c r="AO70" i="23"/>
  <c r="AO69" i="23"/>
  <c r="AO68" i="23"/>
  <c r="AO67" i="23"/>
  <c r="AO66" i="23"/>
  <c r="AO65" i="23"/>
  <c r="AO64" i="23"/>
  <c r="AO63" i="23"/>
  <c r="AO62" i="23"/>
  <c r="AO61" i="23"/>
  <c r="AO60" i="23"/>
  <c r="H59" i="23"/>
  <c r="H58" i="23"/>
  <c r="H57" i="23"/>
  <c r="H56" i="23"/>
  <c r="H55" i="23"/>
  <c r="H54" i="23"/>
  <c r="H53" i="23"/>
  <c r="H52" i="23"/>
  <c r="H51" i="23"/>
  <c r="H50" i="23"/>
  <c r="AO34" i="23"/>
  <c r="AO33" i="23"/>
  <c r="H32" i="23"/>
  <c r="H31" i="23"/>
  <c r="H30" i="23"/>
  <c r="AO26" i="23"/>
  <c r="AO25" i="23"/>
  <c r="AO24" i="23"/>
  <c r="AO23" i="23"/>
  <c r="H22" i="23"/>
  <c r="H21" i="23"/>
  <c r="AO15" i="23"/>
  <c r="H14" i="23"/>
  <c r="H13" i="23"/>
  <c r="H12" i="23"/>
  <c r="H11" i="23"/>
  <c r="B11" i="23"/>
  <c r="H10" i="23"/>
  <c r="H108" i="23"/>
  <c r="H106" i="23"/>
  <c r="H104" i="23"/>
  <c r="H100" i="23"/>
  <c r="H96" i="23"/>
  <c r="H93" i="23"/>
  <c r="H85" i="23"/>
  <c r="H79" i="23"/>
  <c r="H77" i="23"/>
  <c r="H75" i="23"/>
  <c r="H74" i="23"/>
  <c r="H71" i="23"/>
  <c r="H70" i="23"/>
  <c r="H67" i="23"/>
  <c r="H65" i="23"/>
  <c r="H63" i="23"/>
  <c r="H61" i="23"/>
  <c r="AO37" i="23"/>
  <c r="AO35" i="23"/>
  <c r="H34" i="23"/>
  <c r="H25" i="23"/>
  <c r="H60" i="23"/>
  <c r="H33" i="23"/>
  <c r="H26" i="23"/>
  <c r="AO18" i="23"/>
  <c r="H15" i="23"/>
  <c r="H62" i="23"/>
  <c r="AO19" i="23"/>
  <c r="AO17" i="23"/>
  <c r="H23" i="23"/>
  <c r="AO16" i="23"/>
  <c r="H64" i="23"/>
  <c r="AO36" i="23"/>
  <c r="AO27" i="23"/>
  <c r="H24" i="23"/>
  <c r="K9" i="23"/>
  <c r="AW8" i="23"/>
  <c r="AX8" i="23"/>
  <c r="K97" i="23"/>
  <c r="K50" i="23"/>
  <c r="K78" i="23"/>
  <c r="K43" i="23"/>
  <c r="K104" i="23"/>
  <c r="K37" i="23"/>
  <c r="K35" i="23"/>
  <c r="K24" i="23"/>
  <c r="K68" i="23"/>
  <c r="K32" i="23"/>
  <c r="K89" i="23"/>
  <c r="K96" i="23"/>
  <c r="K25" i="23"/>
  <c r="K57" i="23"/>
  <c r="K33" i="23"/>
  <c r="K94" i="23"/>
  <c r="K44" i="23"/>
  <c r="K27" i="23"/>
  <c r="K91" i="23"/>
  <c r="K93" i="23"/>
  <c r="K22" i="23"/>
  <c r="K88" i="23"/>
  <c r="K15" i="23"/>
  <c r="K87" i="23"/>
  <c r="K14" i="23"/>
  <c r="K65" i="23"/>
  <c r="K107" i="23"/>
  <c r="K66" i="23"/>
  <c r="K13" i="23"/>
  <c r="K52" i="23"/>
  <c r="K29" i="23"/>
  <c r="K51" i="23"/>
  <c r="K16" i="23"/>
  <c r="K10" i="23"/>
  <c r="K59" i="23"/>
  <c r="K101" i="23"/>
  <c r="K80" i="23"/>
  <c r="K79" i="23"/>
  <c r="K42" i="23"/>
  <c r="K40" i="23"/>
  <c r="K61" i="23"/>
  <c r="K34" i="23"/>
  <c r="K56" i="23"/>
  <c r="K39" i="23"/>
  <c r="K55" i="23"/>
  <c r="K20" i="23"/>
  <c r="K76" i="23"/>
  <c r="K41" i="23"/>
  <c r="K38" i="23"/>
  <c r="K84" i="23"/>
  <c r="K102" i="23"/>
  <c r="K83" i="23"/>
  <c r="K48" i="23"/>
  <c r="K81" i="23"/>
  <c r="K60" i="23"/>
  <c r="K105" i="23"/>
  <c r="K106" i="23"/>
  <c r="K69" i="23"/>
  <c r="K62" i="23"/>
  <c r="K47" i="23"/>
  <c r="K18" i="23"/>
  <c r="K46" i="23"/>
  <c r="K12" i="23"/>
  <c r="K103" i="23"/>
  <c r="K90" i="23"/>
  <c r="K86" i="23"/>
  <c r="K82" i="23"/>
  <c r="K70" i="23"/>
  <c r="K67" i="23"/>
  <c r="K49" i="23"/>
  <c r="K21" i="23"/>
  <c r="K54" i="23"/>
  <c r="K53" i="23"/>
  <c r="K26" i="23"/>
  <c r="K95" i="23"/>
  <c r="K98" i="23"/>
  <c r="K36" i="23"/>
  <c r="K100" i="23"/>
  <c r="K23" i="23"/>
  <c r="K63" i="23"/>
  <c r="K19" i="23"/>
  <c r="K109" i="23"/>
  <c r="K92" i="23"/>
  <c r="K72" i="23"/>
  <c r="K45" i="23"/>
  <c r="K31" i="23"/>
  <c r="K108" i="23"/>
  <c r="K11" i="23"/>
  <c r="K75" i="23"/>
  <c r="K64" i="23"/>
  <c r="K77" i="23"/>
  <c r="K71" i="23"/>
  <c r="K73" i="23"/>
  <c r="K30" i="23"/>
  <c r="K17" i="23"/>
  <c r="K58" i="23"/>
  <c r="K85" i="23"/>
  <c r="K28" i="23"/>
  <c r="K74" i="23"/>
  <c r="K99" i="23"/>
  <c r="F234" i="2"/>
  <c r="AO12" i="21"/>
  <c r="AO16" i="21"/>
  <c r="AO20" i="21"/>
  <c r="AO24" i="21"/>
  <c r="AO28" i="21"/>
  <c r="AO32" i="21"/>
  <c r="AO36" i="21"/>
  <c r="AO40" i="21"/>
  <c r="AO44" i="21"/>
  <c r="AO48" i="21"/>
  <c r="AO52" i="21"/>
  <c r="AO56" i="21"/>
  <c r="AO60" i="21"/>
  <c r="AO64" i="21"/>
  <c r="AO68" i="21"/>
  <c r="AO72" i="21"/>
  <c r="AO76" i="21"/>
  <c r="AO80" i="21"/>
  <c r="AO84" i="21"/>
  <c r="AO88" i="21"/>
  <c r="AO96" i="21"/>
  <c r="AO104" i="21"/>
  <c r="AO18" i="21"/>
  <c r="AO26" i="21"/>
  <c r="AO42" i="21"/>
  <c r="AO58" i="21"/>
  <c r="AO78" i="21"/>
  <c r="AO94" i="21"/>
  <c r="AO9" i="21"/>
  <c r="AO13" i="21"/>
  <c r="AO17" i="21"/>
  <c r="AO21" i="21"/>
  <c r="AO25" i="21"/>
  <c r="AO29" i="21"/>
  <c r="AO33" i="21"/>
  <c r="AO37" i="21"/>
  <c r="AO41" i="21"/>
  <c r="AO45" i="21"/>
  <c r="AO49" i="21"/>
  <c r="AO53" i="21"/>
  <c r="AO57" i="21"/>
  <c r="AO61" i="21"/>
  <c r="AO65" i="21"/>
  <c r="AO69" i="21"/>
  <c r="AO73" i="21"/>
  <c r="AO77" i="21"/>
  <c r="AO81" i="21"/>
  <c r="AO85" i="21"/>
  <c r="AO89" i="21"/>
  <c r="AO93" i="21"/>
  <c r="AO97" i="21"/>
  <c r="AO101" i="21"/>
  <c r="AO105" i="21"/>
  <c r="AO109" i="21"/>
  <c r="AO10" i="21"/>
  <c r="AO30" i="21"/>
  <c r="AO46" i="21"/>
  <c r="AO62" i="21"/>
  <c r="AO74" i="21"/>
  <c r="AO90" i="21"/>
  <c r="AO106" i="21"/>
  <c r="AO11" i="21"/>
  <c r="AO15" i="21"/>
  <c r="AO19" i="21"/>
  <c r="AO23" i="21"/>
  <c r="AO27" i="21"/>
  <c r="AO31" i="21"/>
  <c r="AO35" i="21"/>
  <c r="AO39" i="21"/>
  <c r="AO43" i="21"/>
  <c r="AO47" i="21"/>
  <c r="AO51" i="21"/>
  <c r="AO55" i="21"/>
  <c r="AO59" i="21"/>
  <c r="AO63" i="21"/>
  <c r="AO67" i="21"/>
  <c r="AO71" i="21"/>
  <c r="AO75" i="21"/>
  <c r="AO79" i="21"/>
  <c r="AO83" i="21"/>
  <c r="AO87" i="21"/>
  <c r="AO91" i="21"/>
  <c r="AO95" i="21"/>
  <c r="AO99" i="21"/>
  <c r="AO103" i="21"/>
  <c r="AO107" i="21"/>
  <c r="AO92" i="21"/>
  <c r="AO100" i="21"/>
  <c r="AO108" i="21"/>
  <c r="AO14" i="21"/>
  <c r="AO22" i="21"/>
  <c r="AO34" i="21"/>
  <c r="AO38" i="21"/>
  <c r="AO50" i="21"/>
  <c r="AO54" i="21"/>
  <c r="AO66" i="21"/>
  <c r="AO70" i="21"/>
  <c r="AO82" i="21"/>
  <c r="AO86" i="21"/>
  <c r="AO98" i="21"/>
  <c r="AO102" i="21"/>
  <c r="D53" i="2"/>
  <c r="D54" i="2"/>
  <c r="B39" i="2"/>
  <c r="D39" i="2"/>
  <c r="B38" i="2"/>
  <c r="D38" i="2"/>
  <c r="H11" i="21"/>
  <c r="H13" i="21"/>
  <c r="H15" i="21"/>
  <c r="H17" i="21"/>
  <c r="H19" i="21"/>
  <c r="H21" i="21"/>
  <c r="H23" i="21"/>
  <c r="H25" i="21"/>
  <c r="H27" i="21"/>
  <c r="H29" i="21"/>
  <c r="H31" i="21"/>
  <c r="H33" i="21"/>
  <c r="H35" i="21"/>
  <c r="H37" i="21"/>
  <c r="H39" i="21"/>
  <c r="H41" i="21"/>
  <c r="H43" i="21"/>
  <c r="H45" i="21"/>
  <c r="H47" i="21"/>
  <c r="H49" i="21"/>
  <c r="H51" i="21"/>
  <c r="H53" i="21"/>
  <c r="H55" i="21"/>
  <c r="H57" i="21"/>
  <c r="H59" i="21"/>
  <c r="H61" i="21"/>
  <c r="H63" i="21"/>
  <c r="H65" i="21"/>
  <c r="H67" i="21"/>
  <c r="H69" i="21"/>
  <c r="H71" i="21"/>
  <c r="H73" i="21"/>
  <c r="H75" i="21"/>
  <c r="H77" i="21"/>
  <c r="H79" i="21"/>
  <c r="H81" i="21"/>
  <c r="H83" i="21"/>
  <c r="H85" i="21"/>
  <c r="H87" i="21"/>
  <c r="H89" i="21"/>
  <c r="H91" i="21"/>
  <c r="H93" i="21"/>
  <c r="H95" i="21"/>
  <c r="H97" i="21"/>
  <c r="H99" i="21"/>
  <c r="H101" i="21"/>
  <c r="H103" i="21"/>
  <c r="H105" i="21"/>
  <c r="H107" i="21"/>
  <c r="H109" i="21"/>
  <c r="H10" i="21"/>
  <c r="H12" i="21"/>
  <c r="H14" i="21"/>
  <c r="H16" i="21"/>
  <c r="H18" i="21"/>
  <c r="H20" i="21"/>
  <c r="H22" i="21"/>
  <c r="H24" i="21"/>
  <c r="H26" i="21"/>
  <c r="H28" i="21"/>
  <c r="H30" i="21"/>
  <c r="H32" i="21"/>
  <c r="H34" i="21"/>
  <c r="H36" i="21"/>
  <c r="H38" i="21"/>
  <c r="H40" i="21"/>
  <c r="H42" i="21"/>
  <c r="H44" i="21"/>
  <c r="H46" i="21"/>
  <c r="H48" i="21"/>
  <c r="H50" i="21"/>
  <c r="H52" i="21"/>
  <c r="H54" i="21"/>
  <c r="H56" i="21"/>
  <c r="H58" i="21"/>
  <c r="H60" i="21"/>
  <c r="H62" i="21"/>
  <c r="H64" i="21"/>
  <c r="H66" i="21"/>
  <c r="H68" i="21"/>
  <c r="H70" i="21"/>
  <c r="H72" i="21"/>
  <c r="H74" i="21"/>
  <c r="H76" i="21"/>
  <c r="H78" i="21"/>
  <c r="H80" i="21"/>
  <c r="H82" i="21"/>
  <c r="H84" i="21"/>
  <c r="H86" i="21"/>
  <c r="H88" i="21"/>
  <c r="H90" i="21"/>
  <c r="H92" i="21"/>
  <c r="H94" i="21"/>
  <c r="H96" i="21"/>
  <c r="H98" i="21"/>
  <c r="H100" i="21"/>
  <c r="H102" i="21"/>
  <c r="H104" i="21"/>
  <c r="H106" i="21"/>
  <c r="H108" i="21"/>
  <c r="H9" i="21"/>
  <c r="B11" i="21"/>
  <c r="B24" i="21"/>
  <c r="B375" i="2"/>
  <c r="B347" i="2"/>
  <c r="A361" i="2"/>
  <c r="B387" i="2"/>
  <c r="B361" i="2"/>
  <c r="F135" i="2" l="1"/>
  <c r="F136" i="2"/>
  <c r="B136" i="2" s="1"/>
  <c r="K132" i="2"/>
  <c r="K133" i="2"/>
  <c r="B16" i="21"/>
  <c r="A375" i="2"/>
  <c r="B27" i="2" l="1"/>
  <c r="B190" i="2" s="1"/>
  <c r="D186" i="2" l="1"/>
  <c r="B30" i="2"/>
  <c r="D58" i="2"/>
  <c r="D133" i="2" s="1"/>
  <c r="D57" i="2"/>
  <c r="D132" i="2" s="1"/>
  <c r="B41" i="2"/>
  <c r="D227" i="2"/>
  <c r="B75" i="1" s="1"/>
  <c r="D42" i="2"/>
  <c r="D44" i="2" s="1"/>
  <c r="N3" i="25"/>
  <c r="N5" i="25" s="1"/>
  <c r="AL9" i="23"/>
  <c r="B78" i="23"/>
  <c r="AL23" i="23"/>
  <c r="AL107" i="23"/>
  <c r="AL75" i="23"/>
  <c r="AL19" i="23"/>
  <c r="AL24" i="23"/>
  <c r="AL43" i="23"/>
  <c r="AL103" i="23"/>
  <c r="AL35" i="23"/>
  <c r="AL100" i="23"/>
  <c r="AL52" i="23"/>
  <c r="AL67" i="23"/>
  <c r="AL30" i="23"/>
  <c r="AL32" i="23"/>
  <c r="AL60" i="23"/>
  <c r="AL72" i="23"/>
  <c r="AL15" i="23"/>
  <c r="AL87" i="23"/>
  <c r="AL14" i="23"/>
  <c r="AL105" i="23"/>
  <c r="AL38" i="23"/>
  <c r="AL31" i="23"/>
  <c r="AL99" i="23"/>
  <c r="AL54" i="23"/>
  <c r="AL11" i="23"/>
  <c r="AL96" i="23"/>
  <c r="AL64" i="23"/>
  <c r="AL95" i="23"/>
  <c r="AL63" i="23"/>
  <c r="AL28" i="23"/>
  <c r="AL86" i="23"/>
  <c r="AL59" i="23"/>
  <c r="AL78" i="23"/>
  <c r="AL22" i="23"/>
  <c r="AL71" i="23"/>
  <c r="AL68" i="23"/>
  <c r="AL51" i="23"/>
  <c r="AL16" i="23"/>
  <c r="AL39" i="23"/>
  <c r="AL102" i="23"/>
  <c r="AL49" i="23"/>
  <c r="AL108" i="23"/>
  <c r="AL42" i="23"/>
  <c r="AL93" i="23"/>
  <c r="AL34" i="23"/>
  <c r="AL37" i="23"/>
  <c r="AL66" i="23"/>
  <c r="AL57" i="23"/>
  <c r="AL29" i="23"/>
  <c r="AL90" i="23"/>
  <c r="AL65" i="23"/>
  <c r="AL45" i="23"/>
  <c r="AL50" i="23"/>
  <c r="AL109" i="23"/>
  <c r="AL98" i="23"/>
  <c r="AL13" i="23"/>
  <c r="AL85" i="23"/>
  <c r="AL53" i="23"/>
  <c r="AL26" i="23"/>
  <c r="AL58" i="23"/>
  <c r="AL25" i="23"/>
  <c r="AL76" i="23"/>
  <c r="AL91" i="23"/>
  <c r="AL40" i="23"/>
  <c r="AL88" i="23"/>
  <c r="AL20" i="23"/>
  <c r="AL70" i="23"/>
  <c r="AL48" i="23"/>
  <c r="AL92" i="23"/>
  <c r="AL56" i="23"/>
  <c r="AL36" i="23"/>
  <c r="AL81" i="23"/>
  <c r="AL10" i="23"/>
  <c r="AL77" i="23"/>
  <c r="AL74" i="23"/>
  <c r="AL89" i="23"/>
  <c r="AL17" i="23"/>
  <c r="AL97" i="23"/>
  <c r="AL21" i="23"/>
  <c r="AL41" i="23"/>
  <c r="AL61" i="23"/>
  <c r="AL73" i="23"/>
  <c r="AL82" i="23"/>
  <c r="AL106" i="23"/>
  <c r="AL101" i="23"/>
  <c r="AL69" i="23"/>
  <c r="AL33" i="23"/>
  <c r="AL18" i="23"/>
  <c r="AL83" i="23"/>
  <c r="AL27" i="23"/>
  <c r="AL104" i="23"/>
  <c r="AL55" i="23"/>
  <c r="AL84" i="23"/>
  <c r="AL62" i="23"/>
  <c r="AL12" i="23"/>
  <c r="AL80" i="23"/>
  <c r="AL79" i="23"/>
  <c r="AL46" i="23"/>
  <c r="AL94" i="23"/>
  <c r="AL44" i="23"/>
  <c r="AL47" i="23"/>
  <c r="AM42" i="23"/>
  <c r="AM66" i="23"/>
  <c r="AM65" i="23"/>
  <c r="AM98" i="23"/>
  <c r="AM26" i="23"/>
  <c r="AM74" i="23"/>
  <c r="AM82" i="23"/>
  <c r="AM19" i="23"/>
  <c r="AM35" i="23"/>
  <c r="AM30" i="23"/>
  <c r="AM15" i="23"/>
  <c r="AM38" i="23"/>
  <c r="AM11" i="23"/>
  <c r="AM63" i="23"/>
  <c r="AM17" i="23"/>
  <c r="AM91" i="23"/>
  <c r="AM22" i="23"/>
  <c r="AM68" i="23"/>
  <c r="AM48" i="23"/>
  <c r="AM104" i="23"/>
  <c r="AM36" i="23"/>
  <c r="AM80" i="23"/>
  <c r="AM46" i="23"/>
  <c r="AM73" i="23"/>
  <c r="AM101" i="23"/>
  <c r="AM9" i="23"/>
  <c r="AM93" i="23"/>
  <c r="AM57" i="23"/>
  <c r="AM45" i="23"/>
  <c r="AM13" i="23"/>
  <c r="AM58" i="23"/>
  <c r="AM89" i="23"/>
  <c r="AM23" i="23"/>
  <c r="AM24" i="23"/>
  <c r="AM100" i="23"/>
  <c r="AM32" i="23"/>
  <c r="AM87" i="23"/>
  <c r="AM31" i="23"/>
  <c r="AM96" i="23"/>
  <c r="AM28" i="23"/>
  <c r="AM97" i="23"/>
  <c r="AM59" i="23"/>
  <c r="AM88" i="23"/>
  <c r="AM70" i="23"/>
  <c r="AM16" i="23"/>
  <c r="AM56" i="23"/>
  <c r="AM84" i="23"/>
  <c r="AM47" i="23"/>
  <c r="AM44" i="23"/>
  <c r="AM106" i="23"/>
  <c r="AM33" i="23"/>
  <c r="AM75" i="23"/>
  <c r="AM103" i="23"/>
  <c r="AM72" i="23"/>
  <c r="AM54" i="23"/>
  <c r="AM95" i="23"/>
  <c r="AM86" i="23"/>
  <c r="AM78" i="23"/>
  <c r="AM51" i="23"/>
  <c r="AM92" i="23"/>
  <c r="AM62" i="23"/>
  <c r="AM79" i="23"/>
  <c r="AM69" i="23"/>
  <c r="AM49" i="23"/>
  <c r="AM34" i="23"/>
  <c r="AM29" i="23"/>
  <c r="AM50" i="23"/>
  <c r="AM85" i="23"/>
  <c r="AM25" i="23"/>
  <c r="AM21" i="23"/>
  <c r="AM107" i="23"/>
  <c r="AM43" i="23"/>
  <c r="AM52" i="23"/>
  <c r="AM60" i="23"/>
  <c r="AM14" i="23"/>
  <c r="AM99" i="23"/>
  <c r="AM64" i="23"/>
  <c r="AM81" i="23"/>
  <c r="AM76" i="23"/>
  <c r="AM40" i="23"/>
  <c r="AM71" i="23"/>
  <c r="AM83" i="23"/>
  <c r="AM27" i="23"/>
  <c r="AM39" i="23"/>
  <c r="AM102" i="23"/>
  <c r="AM94" i="23"/>
  <c r="AM12" i="23"/>
  <c r="AM18" i="23"/>
  <c r="AM108" i="23"/>
  <c r="AM37" i="23"/>
  <c r="AM90" i="23"/>
  <c r="AM109" i="23"/>
  <c r="AM53" i="23"/>
  <c r="AM10" i="23"/>
  <c r="AM61" i="23"/>
  <c r="AM67" i="23"/>
  <c r="AM105" i="23"/>
  <c r="AM77" i="23"/>
  <c r="AM20" i="23"/>
  <c r="AM55" i="23"/>
  <c r="AM41" i="23"/>
  <c r="B13" i="23"/>
  <c r="D41" i="2"/>
  <c r="B13" i="21"/>
  <c r="B78" i="21"/>
  <c r="B28" i="2"/>
  <c r="B327" i="2"/>
  <c r="B222" i="2"/>
  <c r="N3" i="17"/>
  <c r="N5" i="17" s="1"/>
  <c r="N22" i="8"/>
  <c r="D60" i="16"/>
  <c r="L190" i="2" l="1"/>
  <c r="M190" i="2" s="1"/>
  <c r="K190" i="2"/>
  <c r="J3" i="8"/>
  <c r="C636" i="25"/>
  <c r="A626" i="25"/>
  <c r="B79" i="23"/>
  <c r="B70" i="23"/>
  <c r="D112" i="2"/>
  <c r="D127" i="2"/>
  <c r="J38" i="1" s="1"/>
  <c r="D123" i="2"/>
  <c r="D120" i="2"/>
  <c r="D121" i="2" s="1"/>
  <c r="D113" i="2"/>
  <c r="D62" i="2"/>
  <c r="D69" i="2"/>
  <c r="D81" i="2"/>
  <c r="D90" i="2" s="1"/>
  <c r="D99" i="2"/>
  <c r="D61" i="2"/>
  <c r="D68" i="2"/>
  <c r="J30" i="1" s="1"/>
  <c r="D80" i="2"/>
  <c r="D89" i="2" s="1"/>
  <c r="D92" i="2" s="1"/>
  <c r="D98" i="2"/>
  <c r="J27" i="1"/>
  <c r="A626" i="17"/>
  <c r="C636" i="17"/>
  <c r="I60" i="16"/>
  <c r="J23" i="1" l="1"/>
  <c r="D102" i="2"/>
  <c r="D106" i="2" s="1"/>
  <c r="D103" i="2"/>
  <c r="D107" i="2" s="1"/>
  <c r="J24" i="1"/>
  <c r="D61" i="16"/>
  <c r="C67" i="16"/>
  <c r="D67" i="16" s="1"/>
  <c r="D71" i="16"/>
  <c r="D74" i="16"/>
  <c r="C58" i="16"/>
  <c r="D56" i="16"/>
  <c r="D53" i="16"/>
  <c r="D52" i="16"/>
  <c r="D55" i="16"/>
  <c r="D45" i="16"/>
  <c r="B363" i="2"/>
  <c r="F63" i="1" l="1"/>
  <c r="D72" i="16" l="1"/>
  <c r="D73" i="16" l="1"/>
  <c r="B126" i="2"/>
  <c r="B224" i="2"/>
  <c r="B46" i="2"/>
  <c r="B140" i="2"/>
  <c r="B311" i="2"/>
  <c r="B280" i="2"/>
  <c r="B42" i="21" s="1"/>
  <c r="B339" i="2"/>
  <c r="B47" i="2"/>
  <c r="B7" i="2"/>
  <c r="B146" i="2"/>
  <c r="B273" i="2"/>
  <c r="B292" i="2"/>
  <c r="B37" i="23" s="1"/>
  <c r="B238" i="2"/>
  <c r="N10" i="8" s="1"/>
  <c r="B307" i="2"/>
  <c r="B47" i="23" s="1"/>
  <c r="B310" i="2"/>
  <c r="B304" i="2"/>
  <c r="B46" i="23" s="1"/>
  <c r="B160" i="2"/>
  <c r="B275" i="2"/>
  <c r="B294" i="2"/>
  <c r="B285" i="2"/>
  <c r="B276" i="2"/>
  <c r="B277" i="2"/>
  <c r="B41" i="21" s="1"/>
  <c r="B282" i="2"/>
  <c r="B281" i="2"/>
  <c r="B43" i="21" s="1"/>
  <c r="B386" i="2"/>
  <c r="B288" i="2"/>
  <c r="B255" i="2"/>
  <c r="B20" i="23" s="1"/>
  <c r="B151" i="2"/>
  <c r="B23" i="23" s="1"/>
  <c r="B274" i="2"/>
  <c r="B38" i="23" s="1"/>
  <c r="B293" i="2"/>
  <c r="B50" i="23" s="1"/>
  <c r="D6" i="6"/>
  <c r="D7" i="6"/>
  <c r="D9" i="6"/>
  <c r="D10" i="6"/>
  <c r="D2" i="11"/>
  <c r="D3" i="11"/>
  <c r="B5" i="11"/>
  <c r="D5" i="11" s="1"/>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50" i="8" s="1"/>
  <c r="A62" i="8" s="1"/>
  <c r="A74" i="8" s="1"/>
  <c r="A86" i="8" s="1"/>
  <c r="A98" i="8" s="1"/>
  <c r="A110" i="8" s="1"/>
  <c r="A122" i="8" s="1"/>
  <c r="A134" i="8" s="1"/>
  <c r="A146" i="8" s="1"/>
  <c r="A158" i="8" s="1"/>
  <c r="A39" i="8"/>
  <c r="A51" i="8" s="1"/>
  <c r="A63" i="8" s="1"/>
  <c r="A75" i="8" s="1"/>
  <c r="A87" i="8" s="1"/>
  <c r="A99" i="8" s="1"/>
  <c r="A111" i="8" s="1"/>
  <c r="A123" i="8" s="1"/>
  <c r="A135" i="8" s="1"/>
  <c r="A147" i="8" s="1"/>
  <c r="A159" i="8" s="1"/>
  <c r="A40" i="8"/>
  <c r="A52" i="8" s="1"/>
  <c r="A64" i="8" s="1"/>
  <c r="A76" i="8" s="1"/>
  <c r="A88" i="8" s="1"/>
  <c r="A100" i="8" s="1"/>
  <c r="A112" i="8" s="1"/>
  <c r="A124" i="8" s="1"/>
  <c r="A136" i="8" s="1"/>
  <c r="A148" i="8" s="1"/>
  <c r="A41" i="8"/>
  <c r="A53" i="8" s="1"/>
  <c r="A65" i="8" s="1"/>
  <c r="A77" i="8" s="1"/>
  <c r="A89" i="8" s="1"/>
  <c r="A101" i="8" s="1"/>
  <c r="A113" i="8" s="1"/>
  <c r="A125" i="8" s="1"/>
  <c r="A137" i="8" s="1"/>
  <c r="A149" i="8" s="1"/>
  <c r="A42" i="8"/>
  <c r="A54" i="8" s="1"/>
  <c r="A66" i="8" s="1"/>
  <c r="A78" i="8" s="1"/>
  <c r="A90" i="8" s="1"/>
  <c r="A102" i="8" s="1"/>
  <c r="A114" i="8" s="1"/>
  <c r="A126" i="8" s="1"/>
  <c r="A138" i="8" s="1"/>
  <c r="A150" i="8" s="1"/>
  <c r="A43" i="8"/>
  <c r="A55" i="8" s="1"/>
  <c r="A67" i="8" s="1"/>
  <c r="A79" i="8" s="1"/>
  <c r="A91" i="8" s="1"/>
  <c r="A103" i="8" s="1"/>
  <c r="A115" i="8" s="1"/>
  <c r="A127" i="8" s="1"/>
  <c r="A139" i="8" s="1"/>
  <c r="A151" i="8" s="1"/>
  <c r="A44" i="8"/>
  <c r="A45" i="8"/>
  <c r="A56" i="8"/>
  <c r="A68" i="8" s="1"/>
  <c r="A80" i="8" s="1"/>
  <c r="A92" i="8" s="1"/>
  <c r="A104" i="8" s="1"/>
  <c r="A116" i="8" s="1"/>
  <c r="A128" i="8" s="1"/>
  <c r="A140" i="8" s="1"/>
  <c r="A152" i="8" s="1"/>
  <c r="A57" i="8"/>
  <c r="A69" i="8" s="1"/>
  <c r="A81" i="8" s="1"/>
  <c r="A93" i="8" s="1"/>
  <c r="A105" i="8" s="1"/>
  <c r="A117" i="8" s="1"/>
  <c r="A129" i="8" s="1"/>
  <c r="A141" i="8" s="1"/>
  <c r="A153" i="8" s="1"/>
  <c r="B116" i="2"/>
  <c r="A343" i="2"/>
  <c r="B343" i="2"/>
  <c r="A363" i="2"/>
  <c r="B385" i="2"/>
  <c r="B341" i="2" l="1"/>
  <c r="B93" i="2"/>
  <c r="M56" i="23" s="1"/>
  <c r="N56" i="23" s="1"/>
  <c r="D341" i="2"/>
  <c r="AM90" i="21"/>
  <c r="AM29" i="21"/>
  <c r="AM9" i="21"/>
  <c r="AM78" i="21"/>
  <c r="AM89" i="21"/>
  <c r="AM68" i="21"/>
  <c r="AM18" i="21"/>
  <c r="AM93" i="21"/>
  <c r="AM49" i="21"/>
  <c r="AM26" i="21"/>
  <c r="AM41" i="21"/>
  <c r="AM17" i="21"/>
  <c r="AM80" i="21"/>
  <c r="AM98" i="21"/>
  <c r="AM95" i="21"/>
  <c r="AM76" i="21"/>
  <c r="AM21" i="21"/>
  <c r="AM35" i="21"/>
  <c r="AM30" i="21"/>
  <c r="AM72" i="21"/>
  <c r="AM102" i="21"/>
  <c r="AM84" i="21"/>
  <c r="AM101" i="21"/>
  <c r="AM69" i="21"/>
  <c r="AM14" i="21"/>
  <c r="AM16" i="21"/>
  <c r="AM22" i="21"/>
  <c r="AM96" i="21"/>
  <c r="AM73" i="21"/>
  <c r="AM46" i="21"/>
  <c r="AM99" i="21"/>
  <c r="AM54" i="21"/>
  <c r="AM109" i="21"/>
  <c r="AM63" i="21"/>
  <c r="AM88" i="21"/>
  <c r="AM39" i="21"/>
  <c r="AM48" i="21"/>
  <c r="AM10" i="21"/>
  <c r="AM60" i="21"/>
  <c r="AM70" i="21"/>
  <c r="AM13" i="21"/>
  <c r="AM43" i="21"/>
  <c r="AM85" i="21"/>
  <c r="AM92" i="21"/>
  <c r="AM24" i="21"/>
  <c r="AM103" i="21"/>
  <c r="AM107" i="21"/>
  <c r="AM47" i="21"/>
  <c r="AM100" i="21"/>
  <c r="AM83" i="21"/>
  <c r="AM36" i="21"/>
  <c r="AM66" i="21"/>
  <c r="AM58" i="21"/>
  <c r="AM87" i="21"/>
  <c r="AM56" i="21"/>
  <c r="AM19" i="21"/>
  <c r="AM25" i="21"/>
  <c r="AM28" i="21"/>
  <c r="AM59" i="21"/>
  <c r="AM75" i="21"/>
  <c r="AM108" i="21"/>
  <c r="AM33" i="21"/>
  <c r="AM11" i="21"/>
  <c r="AM104" i="21"/>
  <c r="AM82" i="21"/>
  <c r="AM40" i="21"/>
  <c r="AM50" i="21"/>
  <c r="AM45" i="21"/>
  <c r="AM32" i="21"/>
  <c r="AM91" i="21"/>
  <c r="AM77" i="21"/>
  <c r="AM94" i="21"/>
  <c r="AM27" i="21"/>
  <c r="AM44" i="21"/>
  <c r="AM31" i="21"/>
  <c r="AM20" i="21"/>
  <c r="AM86" i="21"/>
  <c r="AM57" i="21"/>
  <c r="AM23" i="21"/>
  <c r="AM64" i="21"/>
  <c r="AM12" i="21"/>
  <c r="AM51" i="21"/>
  <c r="AM42" i="21"/>
  <c r="AM61" i="21"/>
  <c r="AM37" i="21"/>
  <c r="AM67" i="21"/>
  <c r="AM38" i="21"/>
  <c r="AM53" i="21"/>
  <c r="AM34" i="21"/>
  <c r="AM71" i="21"/>
  <c r="AM55" i="21"/>
  <c r="AM105" i="21"/>
  <c r="AM15" i="21"/>
  <c r="AM81" i="21"/>
  <c r="AM52" i="21"/>
  <c r="AM62" i="21"/>
  <c r="AM106" i="21"/>
  <c r="AM65" i="21"/>
  <c r="AM79" i="21"/>
  <c r="AM97" i="21"/>
  <c r="AM74" i="21"/>
  <c r="AR57" i="23"/>
  <c r="AR18" i="23"/>
  <c r="AR19" i="23"/>
  <c r="AR83" i="23"/>
  <c r="AR44" i="23"/>
  <c r="AR108" i="23"/>
  <c r="AR77" i="23"/>
  <c r="AR46" i="23"/>
  <c r="AR95" i="23"/>
  <c r="AR24" i="23"/>
  <c r="AR31" i="23"/>
  <c r="AR103" i="23"/>
  <c r="AR84" i="23"/>
  <c r="AR14" i="23"/>
  <c r="AR105" i="23"/>
  <c r="AR30" i="23"/>
  <c r="AR65" i="23"/>
  <c r="AR26" i="23"/>
  <c r="AR27" i="23"/>
  <c r="AR91" i="23"/>
  <c r="AR52" i="23"/>
  <c r="AR13" i="23"/>
  <c r="AR85" i="23"/>
  <c r="AR54" i="23"/>
  <c r="AR32" i="23"/>
  <c r="AR48" i="23"/>
  <c r="AR39" i="23"/>
  <c r="AR40" i="23"/>
  <c r="AR59" i="23"/>
  <c r="AR67" i="23"/>
  <c r="AR61" i="23"/>
  <c r="AR106" i="23"/>
  <c r="AR73" i="23"/>
  <c r="AR34" i="23"/>
  <c r="AR35" i="23"/>
  <c r="AR99" i="23"/>
  <c r="AR60" i="23"/>
  <c r="AR29" i="23"/>
  <c r="AR93" i="23"/>
  <c r="AR62" i="23"/>
  <c r="AR56" i="23"/>
  <c r="AR72" i="23"/>
  <c r="AR47" i="23"/>
  <c r="AR64" i="23"/>
  <c r="AR20" i="23"/>
  <c r="AR92" i="23"/>
  <c r="AR17" i="23"/>
  <c r="AR81" i="23"/>
  <c r="AR42" i="23"/>
  <c r="AR43" i="23"/>
  <c r="AR107" i="23"/>
  <c r="AR68" i="23"/>
  <c r="AR37" i="23"/>
  <c r="AR101" i="23"/>
  <c r="AR70" i="23"/>
  <c r="AR88" i="23"/>
  <c r="AR96" i="23"/>
  <c r="AR55" i="23"/>
  <c r="AR80" i="23"/>
  <c r="AR58" i="23"/>
  <c r="AR22" i="23"/>
  <c r="AR90" i="23"/>
  <c r="AR28" i="23"/>
  <c r="AR15" i="23"/>
  <c r="AR25" i="23"/>
  <c r="AR89" i="23"/>
  <c r="AR50" i="23"/>
  <c r="AR51" i="23"/>
  <c r="AR12" i="23"/>
  <c r="AR76" i="23"/>
  <c r="AR45" i="23"/>
  <c r="AR109" i="23"/>
  <c r="AR78" i="23"/>
  <c r="AR66" i="23"/>
  <c r="AR74" i="23"/>
  <c r="AR63" i="23"/>
  <c r="AR104" i="23"/>
  <c r="AR97" i="23"/>
  <c r="AR86" i="23"/>
  <c r="AR82" i="23"/>
  <c r="AR21" i="23"/>
  <c r="AR33" i="23"/>
  <c r="AR49" i="23"/>
  <c r="AR10" i="23"/>
  <c r="AR11" i="23"/>
  <c r="AR75" i="23"/>
  <c r="AR36" i="23"/>
  <c r="AR100" i="23"/>
  <c r="AR69" i="23"/>
  <c r="AR38" i="23"/>
  <c r="AR102" i="23"/>
  <c r="AR9" i="23"/>
  <c r="AR23" i="23"/>
  <c r="AR87" i="23"/>
  <c r="AR16" i="23"/>
  <c r="AR53" i="23"/>
  <c r="AR98" i="23"/>
  <c r="AR71" i="23"/>
  <c r="AR41" i="23"/>
  <c r="AR94" i="23"/>
  <c r="AR79" i="23"/>
  <c r="B162"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D58" i="16"/>
  <c r="D59" i="16"/>
  <c r="A42" i="16"/>
  <c r="B143" i="2"/>
  <c r="B142" i="2"/>
  <c r="B22" i="23"/>
  <c r="B283" i="2"/>
  <c r="AP37" i="23"/>
  <c r="AS37" i="23" s="1"/>
  <c r="AP99" i="23"/>
  <c r="AS99" i="23" s="1"/>
  <c r="AP92" i="23"/>
  <c r="AS92" i="23" s="1"/>
  <c r="AP15" i="23"/>
  <c r="AS15" i="23" s="1"/>
  <c r="AP10" i="23"/>
  <c r="AS10" i="23" s="1"/>
  <c r="AP77" i="23"/>
  <c r="AS77" i="23" s="1"/>
  <c r="AP41" i="23"/>
  <c r="AS41" i="23" s="1"/>
  <c r="AP49" i="23"/>
  <c r="AS49" i="23" s="1"/>
  <c r="AP88" i="23"/>
  <c r="AS88" i="23" s="1"/>
  <c r="AP9" i="23"/>
  <c r="AS9" i="23" s="1"/>
  <c r="B75" i="23" s="1"/>
  <c r="B76" i="23" s="1"/>
  <c r="AP75" i="23"/>
  <c r="AS75" i="23" s="1"/>
  <c r="AP84" i="23"/>
  <c r="AS84" i="23" s="1"/>
  <c r="AP27" i="23"/>
  <c r="AS27" i="23" s="1"/>
  <c r="AP52" i="23"/>
  <c r="AS52" i="23" s="1"/>
  <c r="AP69" i="23"/>
  <c r="AS69" i="23" s="1"/>
  <c r="AP25" i="23"/>
  <c r="AS25" i="23" s="1"/>
  <c r="AP108" i="23"/>
  <c r="AS108" i="23" s="1"/>
  <c r="AP63" i="23"/>
  <c r="AS63" i="23" s="1"/>
  <c r="AP26" i="23"/>
  <c r="AS26" i="23" s="1"/>
  <c r="AP109" i="23"/>
  <c r="AS109" i="23" s="1"/>
  <c r="AP105" i="23"/>
  <c r="AS105" i="23" s="1"/>
  <c r="AP34" i="23"/>
  <c r="AS34" i="23" s="1"/>
  <c r="AP21" i="23"/>
  <c r="AS21" i="23" s="1"/>
  <c r="AP17" i="23"/>
  <c r="AS17" i="23" s="1"/>
  <c r="AP91" i="23"/>
  <c r="AS91" i="23" s="1"/>
  <c r="AP100" i="23"/>
  <c r="AS100" i="23" s="1"/>
  <c r="AP64" i="23"/>
  <c r="AS64" i="23" s="1"/>
  <c r="AP87" i="23"/>
  <c r="AS87" i="23" s="1"/>
  <c r="AP22" i="23"/>
  <c r="AS22" i="23" s="1"/>
  <c r="AP101" i="23"/>
  <c r="AS101" i="23" s="1"/>
  <c r="AP89" i="23"/>
  <c r="AS89" i="23" s="1"/>
  <c r="AP33" i="23"/>
  <c r="AS33" i="23" s="1"/>
  <c r="AP79" i="23"/>
  <c r="AS79" i="23" s="1"/>
  <c r="AP42" i="23"/>
  <c r="AS42" i="23" s="1"/>
  <c r="AP23" i="23"/>
  <c r="AS23" i="23" s="1"/>
  <c r="AP16" i="23"/>
  <c r="AS16" i="23" s="1"/>
  <c r="AP82" i="23"/>
  <c r="AS82" i="23" s="1"/>
  <c r="AP14" i="23"/>
  <c r="AS14" i="23" s="1"/>
  <c r="AP53" i="23"/>
  <c r="AS53" i="23" s="1"/>
  <c r="AP107" i="23"/>
  <c r="AS107" i="23" s="1"/>
  <c r="AP65" i="23"/>
  <c r="AS65" i="23" s="1"/>
  <c r="AP90" i="23"/>
  <c r="AS90" i="23" s="1"/>
  <c r="AP43" i="23"/>
  <c r="AS43" i="23" s="1"/>
  <c r="AP38" i="23"/>
  <c r="AS38" i="23" s="1"/>
  <c r="AP19" i="23"/>
  <c r="AS19" i="23" s="1"/>
  <c r="AP12" i="23"/>
  <c r="AS12" i="23" s="1"/>
  <c r="AP97" i="23"/>
  <c r="AS97" i="23" s="1"/>
  <c r="AP13" i="23"/>
  <c r="AS13" i="23" s="1"/>
  <c r="AP58" i="23"/>
  <c r="AS58" i="23" s="1"/>
  <c r="AP39" i="23"/>
  <c r="AS39" i="23" s="1"/>
  <c r="AP32" i="23"/>
  <c r="AS32" i="23" s="1"/>
  <c r="AP29" i="23"/>
  <c r="AS29" i="23" s="1"/>
  <c r="AP30" i="23"/>
  <c r="AS30" i="23" s="1"/>
  <c r="AP85" i="23"/>
  <c r="AS85" i="23" s="1"/>
  <c r="AP57" i="23"/>
  <c r="AS57" i="23" s="1"/>
  <c r="AP50" i="23"/>
  <c r="AS50" i="23" s="1"/>
  <c r="AP66" i="23"/>
  <c r="AS66" i="23" s="1"/>
  <c r="AP62" i="23"/>
  <c r="AS62" i="23" s="1"/>
  <c r="AP73" i="23"/>
  <c r="AS73" i="23" s="1"/>
  <c r="AP54" i="23"/>
  <c r="AS54" i="23" s="1"/>
  <c r="AP35" i="23"/>
  <c r="AS35" i="23" s="1"/>
  <c r="AP28" i="23"/>
  <c r="AS28" i="23" s="1"/>
  <c r="AP18" i="23"/>
  <c r="AS18" i="23" s="1"/>
  <c r="AP24" i="23"/>
  <c r="AS24" i="23" s="1"/>
  <c r="AP74" i="23"/>
  <c r="AS74" i="23" s="1"/>
  <c r="AP55" i="23"/>
  <c r="AS55" i="23" s="1"/>
  <c r="AP48" i="23"/>
  <c r="AS48" i="23" s="1"/>
  <c r="AP47" i="23"/>
  <c r="AS47" i="23" s="1"/>
  <c r="AP46" i="23"/>
  <c r="AS46" i="23" s="1"/>
  <c r="AP11" i="23"/>
  <c r="AS11" i="23" s="1"/>
  <c r="AP20" i="23"/>
  <c r="AS20" i="23" s="1"/>
  <c r="AP61" i="23"/>
  <c r="AS61" i="23" s="1"/>
  <c r="AP44" i="23"/>
  <c r="AS44" i="23" s="1"/>
  <c r="AP36" i="23"/>
  <c r="AS36" i="23" s="1"/>
  <c r="AP72" i="23"/>
  <c r="AS72" i="23" s="1"/>
  <c r="AP70" i="23"/>
  <c r="AS70" i="23" s="1"/>
  <c r="AP51" i="23"/>
  <c r="AS51" i="23" s="1"/>
  <c r="AP56" i="23"/>
  <c r="AS56" i="23" s="1"/>
  <c r="AP95" i="23"/>
  <c r="AS95" i="23" s="1"/>
  <c r="AP86" i="23"/>
  <c r="AS86" i="23" s="1"/>
  <c r="AP67" i="23"/>
  <c r="AS67" i="23" s="1"/>
  <c r="AP60" i="23"/>
  <c r="AS60" i="23" s="1"/>
  <c r="AP98" i="23"/>
  <c r="AS98" i="23" s="1"/>
  <c r="AP104" i="23"/>
  <c r="AS104" i="23" s="1"/>
  <c r="AP106" i="23"/>
  <c r="AS106" i="23" s="1"/>
  <c r="AP78" i="23"/>
  <c r="AS78" i="23" s="1"/>
  <c r="AP102" i="23"/>
  <c r="AS102" i="23" s="1"/>
  <c r="AP83" i="23"/>
  <c r="AS83" i="23" s="1"/>
  <c r="AP76" i="23"/>
  <c r="AS76" i="23" s="1"/>
  <c r="AP93" i="23"/>
  <c r="AS93" i="23" s="1"/>
  <c r="AP81" i="23"/>
  <c r="AS81" i="23" s="1"/>
  <c r="AP45" i="23"/>
  <c r="AS45" i="23" s="1"/>
  <c r="AP103" i="23"/>
  <c r="AS103" i="23" s="1"/>
  <c r="AP96" i="23"/>
  <c r="AS96" i="23" s="1"/>
  <c r="AP40" i="23"/>
  <c r="AS40" i="23" s="1"/>
  <c r="AP94" i="23"/>
  <c r="AS94" i="23" s="1"/>
  <c r="AP59" i="23"/>
  <c r="AS59" i="23" s="1"/>
  <c r="AP68" i="23"/>
  <c r="AS68" i="23" s="1"/>
  <c r="AP71" i="23"/>
  <c r="AS71" i="23" s="1"/>
  <c r="AP31" i="23"/>
  <c r="AS31" i="23" s="1"/>
  <c r="AP80" i="23"/>
  <c r="AS80" i="23" s="1"/>
  <c r="AP4" i="21"/>
  <c r="AR4" i="21" s="1"/>
  <c r="AP17" i="21"/>
  <c r="AP81" i="21"/>
  <c r="AP90" i="21"/>
  <c r="AP106" i="21"/>
  <c r="AP55" i="21"/>
  <c r="AP48" i="21"/>
  <c r="AP3" i="21"/>
  <c r="AP29" i="21"/>
  <c r="AP95" i="21"/>
  <c r="AP53" i="21"/>
  <c r="AP50" i="21"/>
  <c r="AR9" i="21"/>
  <c r="AP40" i="21"/>
  <c r="AP34" i="21"/>
  <c r="AP27" i="21"/>
  <c r="AP56" i="21"/>
  <c r="AP13" i="21"/>
  <c r="AP9" i="21"/>
  <c r="AP88" i="21"/>
  <c r="AP25" i="21"/>
  <c r="AP89" i="21"/>
  <c r="AP102" i="21"/>
  <c r="AP99" i="21"/>
  <c r="AP63" i="21"/>
  <c r="AP68" i="21"/>
  <c r="AP10" i="21"/>
  <c r="AP67" i="21"/>
  <c r="AP39" i="21"/>
  <c r="AP51" i="21"/>
  <c r="AP101" i="21"/>
  <c r="AP91" i="21"/>
  <c r="AP84" i="21"/>
  <c r="AP78" i="21"/>
  <c r="B322" i="2"/>
  <c r="AP33" i="21"/>
  <c r="AP97" i="21"/>
  <c r="AP71" i="21"/>
  <c r="AP14" i="21"/>
  <c r="AP75" i="21"/>
  <c r="AP100" i="21"/>
  <c r="AP61" i="21"/>
  <c r="AP26" i="21"/>
  <c r="AP64" i="21"/>
  <c r="AP69" i="21"/>
  <c r="AP74" i="21"/>
  <c r="AP66" i="21"/>
  <c r="AP43" i="21"/>
  <c r="AP12" i="21"/>
  <c r="AP76" i="21"/>
  <c r="AP45" i="21"/>
  <c r="AP42" i="21"/>
  <c r="AP35" i="21"/>
  <c r="AP41" i="21"/>
  <c r="AP105" i="21"/>
  <c r="AP87" i="21"/>
  <c r="AP16" i="21"/>
  <c r="AP22" i="21"/>
  <c r="AP15" i="21"/>
  <c r="AP107" i="21"/>
  <c r="AP92" i="21"/>
  <c r="AP62" i="21"/>
  <c r="AP94" i="21"/>
  <c r="AP44" i="21"/>
  <c r="AP65" i="21"/>
  <c r="AP104" i="21"/>
  <c r="AP79" i="21"/>
  <c r="AP60" i="21"/>
  <c r="AP82" i="21"/>
  <c r="AP28" i="21"/>
  <c r="AP49" i="21"/>
  <c r="AP46" i="21"/>
  <c r="AP103" i="21"/>
  <c r="AP32" i="21"/>
  <c r="AP30" i="21"/>
  <c r="AP23" i="21"/>
  <c r="AP96" i="21"/>
  <c r="AP93" i="21"/>
  <c r="AP19" i="21"/>
  <c r="AP80" i="21"/>
  <c r="AP21" i="21"/>
  <c r="AP85" i="21"/>
  <c r="AP98" i="21"/>
  <c r="AP83" i="21"/>
  <c r="AP59" i="21"/>
  <c r="AP52" i="21"/>
  <c r="AP77" i="21"/>
  <c r="AP24" i="21"/>
  <c r="AP57" i="21"/>
  <c r="AP58" i="21"/>
  <c r="AP38" i="21"/>
  <c r="AP20" i="21"/>
  <c r="AP31" i="21"/>
  <c r="AP72" i="21"/>
  <c r="AP36" i="21"/>
  <c r="AP70" i="21"/>
  <c r="AP54" i="21"/>
  <c r="AP86" i="21"/>
  <c r="AP37" i="21"/>
  <c r="AP18" i="21"/>
  <c r="AP11" i="21"/>
  <c r="AP109" i="21"/>
  <c r="AP73" i="21"/>
  <c r="AP47" i="21"/>
  <c r="AP108" i="21"/>
  <c r="D340" i="2"/>
  <c r="B53" i="2"/>
  <c r="B57" i="2" s="1"/>
  <c r="B326" i="2"/>
  <c r="AR13" i="21"/>
  <c r="AR17" i="21"/>
  <c r="AR21" i="21"/>
  <c r="AR25" i="21"/>
  <c r="AR29" i="21"/>
  <c r="AR33" i="21"/>
  <c r="AR37" i="21"/>
  <c r="AR41" i="21"/>
  <c r="AR45" i="21"/>
  <c r="AR49" i="21"/>
  <c r="AR53" i="21"/>
  <c r="AR57" i="21"/>
  <c r="AR61" i="21"/>
  <c r="AR65" i="21"/>
  <c r="AR69" i="21"/>
  <c r="AR73" i="21"/>
  <c r="AR77" i="21"/>
  <c r="AR81" i="21"/>
  <c r="AR85" i="21"/>
  <c r="AR89" i="21"/>
  <c r="AR93" i="21"/>
  <c r="AR97" i="21"/>
  <c r="AR101" i="21"/>
  <c r="AR105" i="21"/>
  <c r="AR109" i="21"/>
  <c r="AR11" i="21"/>
  <c r="AR19" i="21"/>
  <c r="AR23" i="21"/>
  <c r="AR31" i="21"/>
  <c r="AR39" i="21"/>
  <c r="AR47" i="21"/>
  <c r="AR55" i="21"/>
  <c r="AR67" i="21"/>
  <c r="AR75" i="21"/>
  <c r="AR83" i="21"/>
  <c r="AR91" i="21"/>
  <c r="AR99" i="21"/>
  <c r="AR107" i="21"/>
  <c r="AR28" i="21"/>
  <c r="AR36" i="21"/>
  <c r="AR48" i="21"/>
  <c r="AR56" i="21"/>
  <c r="AR64" i="21"/>
  <c r="AR72" i="21"/>
  <c r="AR80" i="21"/>
  <c r="AR88" i="21"/>
  <c r="AR96" i="21"/>
  <c r="AR104" i="21"/>
  <c r="AR10" i="21"/>
  <c r="AR14" i="21"/>
  <c r="AR18" i="21"/>
  <c r="AR22" i="21"/>
  <c r="AR26" i="21"/>
  <c r="AR30" i="21"/>
  <c r="AR34" i="21"/>
  <c r="AR38" i="21"/>
  <c r="AR42" i="21"/>
  <c r="AR46" i="21"/>
  <c r="AR50" i="21"/>
  <c r="AR54" i="21"/>
  <c r="AR58" i="21"/>
  <c r="AR62" i="21"/>
  <c r="AR66" i="21"/>
  <c r="AR70" i="21"/>
  <c r="AR74" i="21"/>
  <c r="AR78" i="21"/>
  <c r="AR82" i="21"/>
  <c r="AR86" i="21"/>
  <c r="AR90" i="21"/>
  <c r="AR94" i="21"/>
  <c r="AR98" i="21"/>
  <c r="AR102" i="21"/>
  <c r="AR106" i="21"/>
  <c r="AR15" i="21"/>
  <c r="AR27" i="21"/>
  <c r="AR35" i="21"/>
  <c r="AR43" i="21"/>
  <c r="AR51" i="21"/>
  <c r="AR59" i="21"/>
  <c r="AR63" i="21"/>
  <c r="AR71" i="21"/>
  <c r="AR79" i="21"/>
  <c r="AR87" i="21"/>
  <c r="AR95" i="21"/>
  <c r="AR103" i="21"/>
  <c r="AR12" i="21"/>
  <c r="AR16" i="21"/>
  <c r="AR20" i="21"/>
  <c r="AR24" i="21"/>
  <c r="AR32" i="21"/>
  <c r="AR40" i="21"/>
  <c r="AR44" i="21"/>
  <c r="AR52" i="21"/>
  <c r="AR60" i="21"/>
  <c r="AR68" i="21"/>
  <c r="AR76" i="21"/>
  <c r="AR84" i="21"/>
  <c r="AR92" i="21"/>
  <c r="AR100" i="21"/>
  <c r="AR108" i="21"/>
  <c r="B19" i="21"/>
  <c r="B39" i="23"/>
  <c r="B77" i="23"/>
  <c r="AQ18" i="23"/>
  <c r="AQ50" i="23"/>
  <c r="AQ82" i="23"/>
  <c r="AQ13" i="23"/>
  <c r="AQ77" i="23"/>
  <c r="AQ57" i="23"/>
  <c r="AQ76" i="23"/>
  <c r="AQ71" i="23"/>
  <c r="AQ102" i="23"/>
  <c r="AQ64" i="23"/>
  <c r="AQ59" i="23"/>
  <c r="AQ40" i="23"/>
  <c r="AQ67" i="23"/>
  <c r="AQ34" i="23"/>
  <c r="AQ61" i="23"/>
  <c r="AQ89" i="23"/>
  <c r="AQ23" i="23"/>
  <c r="AQ62" i="23"/>
  <c r="AQ80" i="23"/>
  <c r="AQ107" i="23"/>
  <c r="AQ26" i="23"/>
  <c r="AQ58" i="23"/>
  <c r="AQ90" i="23"/>
  <c r="AQ21" i="23"/>
  <c r="AQ53" i="23"/>
  <c r="AQ85" i="23"/>
  <c r="AQ14" i="23"/>
  <c r="AQ109" i="23"/>
  <c r="AQ73" i="23"/>
  <c r="AQ20" i="23"/>
  <c r="AQ52" i="23"/>
  <c r="AQ84" i="23"/>
  <c r="AQ15" i="23"/>
  <c r="AQ47" i="23"/>
  <c r="AQ79" i="23"/>
  <c r="AQ22" i="23"/>
  <c r="AQ54" i="23"/>
  <c r="AQ17" i="23"/>
  <c r="AQ105" i="23"/>
  <c r="AQ72" i="23"/>
  <c r="AQ35" i="23"/>
  <c r="AQ98" i="23"/>
  <c r="AQ70" i="23"/>
  <c r="AQ60" i="23"/>
  <c r="AQ87" i="23"/>
  <c r="AQ16" i="23"/>
  <c r="AQ43" i="23"/>
  <c r="AQ10" i="23"/>
  <c r="AQ42" i="23"/>
  <c r="AQ74" i="23"/>
  <c r="AQ106" i="23"/>
  <c r="AQ37" i="23"/>
  <c r="AQ69" i="23"/>
  <c r="AQ101" i="23"/>
  <c r="AQ86" i="23"/>
  <c r="AQ41" i="23"/>
  <c r="AQ97" i="23"/>
  <c r="AQ36" i="23"/>
  <c r="AQ68" i="23"/>
  <c r="AQ100" i="23"/>
  <c r="AQ31" i="23"/>
  <c r="AQ63" i="23"/>
  <c r="AQ95" i="23"/>
  <c r="AQ38" i="23"/>
  <c r="AQ78" i="23"/>
  <c r="AQ49" i="23"/>
  <c r="AQ24" i="23"/>
  <c r="AQ56" i="23"/>
  <c r="AQ88" i="23"/>
  <c r="AQ19" i="23"/>
  <c r="AQ51" i="23"/>
  <c r="AQ83" i="23"/>
  <c r="AQ65" i="23"/>
  <c r="AQ45" i="23"/>
  <c r="AQ9" i="23"/>
  <c r="AQ94" i="23"/>
  <c r="AQ12" i="23"/>
  <c r="AQ44" i="23"/>
  <c r="AQ108" i="23"/>
  <c r="AQ39" i="23"/>
  <c r="AQ103" i="23"/>
  <c r="AQ46" i="23"/>
  <c r="AQ81" i="23"/>
  <c r="AQ32" i="23"/>
  <c r="AQ96" i="23"/>
  <c r="AQ27" i="23"/>
  <c r="AQ91" i="23"/>
  <c r="AQ104" i="23"/>
  <c r="AQ99" i="23"/>
  <c r="AQ66" i="23"/>
  <c r="AQ29" i="23"/>
  <c r="AQ93" i="23"/>
  <c r="AQ25" i="23"/>
  <c r="AQ28" i="23"/>
  <c r="AQ92" i="23"/>
  <c r="AQ55" i="23"/>
  <c r="AQ30" i="23"/>
  <c r="AQ33" i="23"/>
  <c r="AQ48" i="23"/>
  <c r="AQ11" i="23"/>
  <c r="AQ75" i="23"/>
  <c r="M9" i="23"/>
  <c r="M50" i="23"/>
  <c r="N50" i="23" s="1"/>
  <c r="M40" i="23"/>
  <c r="N40" i="23" s="1"/>
  <c r="M88" i="23"/>
  <c r="N88" i="23" s="1"/>
  <c r="M39" i="23"/>
  <c r="N39" i="23" s="1"/>
  <c r="M36" i="23"/>
  <c r="N36" i="23" s="1"/>
  <c r="M100" i="23"/>
  <c r="N100" i="23" s="1"/>
  <c r="M68" i="23"/>
  <c r="N68" i="23" s="1"/>
  <c r="M67" i="23"/>
  <c r="N67" i="23" s="1"/>
  <c r="M23" i="23"/>
  <c r="N23" i="23" s="1"/>
  <c r="M59" i="23"/>
  <c r="N59" i="23" s="1"/>
  <c r="M17" i="23"/>
  <c r="N17" i="23" s="1"/>
  <c r="M33" i="23"/>
  <c r="N33" i="23" s="1"/>
  <c r="M62" i="23"/>
  <c r="N62" i="23" s="1"/>
  <c r="M63" i="23"/>
  <c r="N63" i="23" s="1"/>
  <c r="M25" i="23"/>
  <c r="N25" i="23" s="1"/>
  <c r="M12" i="23"/>
  <c r="N12" i="23" s="1"/>
  <c r="M94" i="23"/>
  <c r="N94" i="23" s="1"/>
  <c r="M95" i="23"/>
  <c r="N95" i="23" s="1"/>
  <c r="M92" i="23"/>
  <c r="N92" i="23" s="1"/>
  <c r="M78" i="23"/>
  <c r="N78" i="23" s="1"/>
  <c r="M77" i="23"/>
  <c r="N77" i="23" s="1"/>
  <c r="M43" i="23"/>
  <c r="N43" i="23" s="1"/>
  <c r="M37" i="23"/>
  <c r="N37" i="23" s="1"/>
  <c r="M74" i="23"/>
  <c r="N74" i="23" s="1"/>
  <c r="M55" i="23"/>
  <c r="N55" i="23" s="1"/>
  <c r="M65" i="23"/>
  <c r="N65" i="23" s="1"/>
  <c r="M107" i="23"/>
  <c r="N107" i="23" s="1"/>
  <c r="M41" i="23"/>
  <c r="N41" i="23" s="1"/>
  <c r="M38" i="23"/>
  <c r="N38" i="23" s="1"/>
  <c r="M13" i="23"/>
  <c r="N13" i="23" s="1"/>
  <c r="M29" i="23"/>
  <c r="N29" i="23" s="1"/>
  <c r="M49" i="23"/>
  <c r="N49" i="23" s="1"/>
  <c r="M21" i="23"/>
  <c r="N21" i="23" s="1"/>
  <c r="M105" i="23"/>
  <c r="N105" i="23" s="1"/>
  <c r="M85" i="23"/>
  <c r="N85" i="23" s="1"/>
  <c r="M53" i="23"/>
  <c r="N53" i="23" s="1"/>
  <c r="M18" i="23"/>
  <c r="N18" i="23" s="1"/>
  <c r="M27" i="23"/>
  <c r="N27" i="23" s="1"/>
  <c r="M42" i="23"/>
  <c r="N42" i="23" s="1"/>
  <c r="M104" i="23"/>
  <c r="N104" i="23" s="1"/>
  <c r="M72" i="23"/>
  <c r="N72" i="23" s="1"/>
  <c r="M103" i="23"/>
  <c r="N103" i="23" s="1"/>
  <c r="M71" i="23"/>
  <c r="N71" i="23" s="1"/>
  <c r="M20" i="23"/>
  <c r="N20" i="23" s="1"/>
  <c r="M84" i="23"/>
  <c r="N84" i="23" s="1"/>
  <c r="M52" i="23"/>
  <c r="N52" i="23" s="1"/>
  <c r="M102" i="23"/>
  <c r="N102" i="23" s="1"/>
  <c r="M83" i="23"/>
  <c r="N83" i="23" s="1"/>
  <c r="M51" i="23"/>
  <c r="N51" i="23" s="1"/>
  <c r="M81" i="23"/>
  <c r="N81" i="23" s="1"/>
  <c r="M108" i="23"/>
  <c r="N108" i="23" s="1"/>
  <c r="M57" i="23"/>
  <c r="N57" i="23" s="1"/>
  <c r="M11" i="23"/>
  <c r="N11" i="23" s="1"/>
  <c r="M26" i="23"/>
  <c r="N26" i="23" s="1"/>
  <c r="M79" i="23"/>
  <c r="N79" i="23" s="1"/>
  <c r="M46" i="23"/>
  <c r="N46" i="23" s="1"/>
  <c r="M28" i="23"/>
  <c r="N28" i="23" s="1"/>
  <c r="M91" i="23"/>
  <c r="N91" i="23" s="1"/>
  <c r="M61" i="23"/>
  <c r="N61" i="23" s="1"/>
  <c r="M22" i="23"/>
  <c r="N22" i="23" s="1"/>
  <c r="M34" i="23"/>
  <c r="N34" i="23" s="1"/>
  <c r="M15" i="23"/>
  <c r="N15" i="23" s="1"/>
  <c r="M35" i="23"/>
  <c r="N35" i="23" s="1"/>
  <c r="M90" i="23"/>
  <c r="N90" i="23" s="1"/>
  <c r="M45" i="23"/>
  <c r="N45" i="23" s="1"/>
  <c r="M75" i="23"/>
  <c r="N75" i="23" s="1"/>
  <c r="M73" i="23"/>
  <c r="N73" i="23" s="1"/>
  <c r="M82" i="23"/>
  <c r="N82" i="23" s="1"/>
  <c r="M31" i="23"/>
  <c r="N31" i="23" s="1"/>
  <c r="M70" i="23"/>
  <c r="N70" i="23" s="1"/>
  <c r="M99" i="23"/>
  <c r="N99" i="23" s="1"/>
  <c r="M48" i="23"/>
  <c r="N48" i="23" s="1"/>
  <c r="M10" i="23"/>
  <c r="N10" i="23" s="1"/>
  <c r="M106" i="23"/>
  <c r="N106" i="23" s="1"/>
  <c r="M101" i="23"/>
  <c r="N101" i="23" s="1"/>
  <c r="M69" i="23"/>
  <c r="N69" i="23" s="1"/>
  <c r="M96" i="23"/>
  <c r="N96" i="23" s="1"/>
  <c r="M64" i="23"/>
  <c r="N64" i="23" s="1"/>
  <c r="M44" i="23"/>
  <c r="N44" i="23" s="1"/>
  <c r="G234" i="2"/>
  <c r="B58" i="21"/>
  <c r="AL9" i="21"/>
  <c r="B37" i="21"/>
  <c r="M9" i="21"/>
  <c r="N9" i="21" s="1"/>
  <c r="D52" i="2"/>
  <c r="D56" i="2" s="1"/>
  <c r="D192" i="2"/>
  <c r="B188" i="2"/>
  <c r="B187" i="2"/>
  <c r="B118" i="2"/>
  <c r="B37" i="2"/>
  <c r="D37" i="2"/>
  <c r="B68" i="23" s="1"/>
  <c r="B21" i="2"/>
  <c r="B388" i="2"/>
  <c r="B4" i="11"/>
  <c r="D4" i="11" s="1"/>
  <c r="B6" i="11" s="1"/>
  <c r="D6" i="11" s="1"/>
  <c r="B38" i="21"/>
  <c r="B20" i="21"/>
  <c r="B44" i="21"/>
  <c r="B40" i="21"/>
  <c r="B39" i="21"/>
  <c r="B77" i="21"/>
  <c r="AQ108" i="21"/>
  <c r="AQ104" i="21"/>
  <c r="AQ100" i="21"/>
  <c r="AQ96" i="21"/>
  <c r="AQ92" i="21"/>
  <c r="AQ88" i="21"/>
  <c r="AQ84" i="21"/>
  <c r="AQ80" i="21"/>
  <c r="AQ79" i="21"/>
  <c r="AQ73" i="21"/>
  <c r="AQ59" i="21"/>
  <c r="AQ52" i="21"/>
  <c r="AQ45" i="21"/>
  <c r="AQ37" i="21"/>
  <c r="AQ28" i="21"/>
  <c r="AQ69" i="21"/>
  <c r="AQ64" i="21"/>
  <c r="AQ60" i="21"/>
  <c r="AQ51" i="21"/>
  <c r="AQ42" i="21"/>
  <c r="AQ35" i="21"/>
  <c r="AQ27" i="21"/>
  <c r="AQ20" i="21"/>
  <c r="AQ16" i="21"/>
  <c r="AQ14" i="21"/>
  <c r="AQ12" i="21"/>
  <c r="AQ9" i="21"/>
  <c r="AQ109" i="21"/>
  <c r="AQ105" i="21"/>
  <c r="AQ101" i="21"/>
  <c r="AQ97" i="21"/>
  <c r="AQ93" i="21"/>
  <c r="AQ89" i="21"/>
  <c r="AQ85" i="21"/>
  <c r="AQ81" i="21"/>
  <c r="AQ72" i="21"/>
  <c r="AQ74" i="21"/>
  <c r="AQ68" i="21"/>
  <c r="AQ54" i="21"/>
  <c r="AQ47" i="21"/>
  <c r="AQ39" i="21"/>
  <c r="AQ29" i="21"/>
  <c r="AQ23" i="21"/>
  <c r="AQ65" i="21"/>
  <c r="AQ61" i="21"/>
  <c r="AQ53" i="21"/>
  <c r="AQ44" i="21"/>
  <c r="AQ36" i="21"/>
  <c r="AQ30" i="21"/>
  <c r="AQ21" i="21"/>
  <c r="AQ17" i="21"/>
  <c r="AQ106" i="21"/>
  <c r="AQ102" i="21"/>
  <c r="AQ98" i="21"/>
  <c r="AQ94" i="21"/>
  <c r="AQ90" i="21"/>
  <c r="AQ86" i="21"/>
  <c r="AQ82" i="21"/>
  <c r="AQ75" i="21"/>
  <c r="AQ76" i="21"/>
  <c r="AQ70" i="21"/>
  <c r="AQ56" i="21"/>
  <c r="AQ48" i="21"/>
  <c r="AQ41" i="21"/>
  <c r="AQ33" i="21"/>
  <c r="AQ25" i="21"/>
  <c r="AQ66" i="21"/>
  <c r="AQ62" i="21"/>
  <c r="AQ55" i="21"/>
  <c r="AQ46" i="21"/>
  <c r="AQ38" i="21"/>
  <c r="AQ31" i="21"/>
  <c r="AQ22" i="21"/>
  <c r="AQ19" i="21"/>
  <c r="AQ15" i="21"/>
  <c r="AQ13" i="21"/>
  <c r="AQ11" i="21"/>
  <c r="AQ107" i="21"/>
  <c r="AQ103" i="21"/>
  <c r="AQ99" i="21"/>
  <c r="AQ95" i="21"/>
  <c r="AQ91" i="21"/>
  <c r="AQ87" i="21"/>
  <c r="AQ83" i="21"/>
  <c r="AQ77" i="21"/>
  <c r="AQ78" i="21"/>
  <c r="AQ71" i="21"/>
  <c r="AQ57" i="21"/>
  <c r="AQ50" i="21"/>
  <c r="AQ43" i="21"/>
  <c r="AQ34" i="21"/>
  <c r="AQ26" i="21"/>
  <c r="AQ67" i="21"/>
  <c r="AQ63" i="21"/>
  <c r="AQ58" i="21"/>
  <c r="AQ49" i="21"/>
  <c r="AQ40" i="21"/>
  <c r="AQ32" i="21"/>
  <c r="AQ24" i="21"/>
  <c r="AQ18" i="21"/>
  <c r="AQ10" i="21"/>
  <c r="B59" i="21"/>
  <c r="B18" i="21"/>
  <c r="B12" i="21"/>
  <c r="AU9" i="21"/>
  <c r="AX8" i="21"/>
  <c r="L9" i="21"/>
  <c r="AW8" i="21"/>
  <c r="B25" i="21"/>
  <c r="B50" i="21"/>
  <c r="B23" i="21"/>
  <c r="B47" i="21"/>
  <c r="B46" i="21"/>
  <c r="AL105" i="21"/>
  <c r="B14" i="21"/>
  <c r="AL42" i="21"/>
  <c r="AL50" i="21"/>
  <c r="B22" i="21"/>
  <c r="C328" i="2"/>
  <c r="B351" i="2"/>
  <c r="A340" i="2"/>
  <c r="B340" i="2"/>
  <c r="B49" i="2"/>
  <c r="B239" i="2"/>
  <c r="N11" i="8" s="1"/>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B206" i="2"/>
  <c r="B16" i="2"/>
  <c r="B34" i="2"/>
  <c r="B349" i="2"/>
  <c r="N4" i="8"/>
  <c r="O4" i="8" s="1"/>
  <c r="E13" i="1" s="1"/>
  <c r="O10" i="8"/>
  <c r="F66" i="1"/>
  <c r="B257" i="2"/>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H159" i="8"/>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O22" i="8" s="1"/>
  <c r="E56" i="1"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B4" i="6"/>
  <c r="B12" i="6" s="1"/>
  <c r="B13" i="6" s="1"/>
  <c r="B72" i="2"/>
  <c r="B221" i="2"/>
  <c r="B161" i="2"/>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M54" i="23" l="1"/>
  <c r="N54" i="23" s="1"/>
  <c r="O54" i="23" s="1"/>
  <c r="M66" i="23"/>
  <c r="N66" i="23" s="1"/>
  <c r="O66" i="23" s="1"/>
  <c r="M98" i="23"/>
  <c r="N98" i="23" s="1"/>
  <c r="O98" i="23" s="1"/>
  <c r="M80" i="23"/>
  <c r="N80" i="23" s="1"/>
  <c r="O80" i="23" s="1"/>
  <c r="M89" i="23"/>
  <c r="N89" i="23" s="1"/>
  <c r="P89" i="23" s="1"/>
  <c r="Q89" i="23" s="1"/>
  <c r="AE89" i="23" s="1"/>
  <c r="M24" i="23"/>
  <c r="N24" i="23" s="1"/>
  <c r="O24" i="23" s="1"/>
  <c r="M97" i="23"/>
  <c r="N97" i="23" s="1"/>
  <c r="O97" i="23" s="1"/>
  <c r="B52" i="2"/>
  <c r="B56" i="2" s="1"/>
  <c r="M60" i="23"/>
  <c r="N60" i="23" s="1"/>
  <c r="O60" i="23" s="1"/>
  <c r="M87" i="23"/>
  <c r="N87" i="23" s="1"/>
  <c r="P87" i="23" s="1"/>
  <c r="Q87" i="23" s="1"/>
  <c r="AE87" i="23" s="1"/>
  <c r="B54" i="2"/>
  <c r="B58" i="2" s="1"/>
  <c r="B154" i="2" s="1"/>
  <c r="M16" i="23"/>
  <c r="N16" i="23" s="1"/>
  <c r="O16" i="23" s="1"/>
  <c r="M86" i="23"/>
  <c r="N86" i="23" s="1"/>
  <c r="P86" i="23" s="1"/>
  <c r="Q86" i="23" s="1"/>
  <c r="AE86" i="23" s="1"/>
  <c r="M93" i="23"/>
  <c r="N93" i="23" s="1"/>
  <c r="V93" i="23" s="1"/>
  <c r="M109" i="23"/>
  <c r="N109" i="23" s="1"/>
  <c r="P109" i="23" s="1"/>
  <c r="Q109" i="23" s="1"/>
  <c r="AE109" i="23" s="1"/>
  <c r="M76" i="23"/>
  <c r="N76" i="23" s="1"/>
  <c r="AF76" i="23" s="1"/>
  <c r="M58" i="23"/>
  <c r="N58" i="23" s="1"/>
  <c r="O58" i="23" s="1"/>
  <c r="M32" i="23"/>
  <c r="N32" i="23" s="1"/>
  <c r="P32" i="23" s="1"/>
  <c r="Q32" i="23" s="1"/>
  <c r="AE32" i="23" s="1"/>
  <c r="M14" i="23"/>
  <c r="N14" i="23" s="1"/>
  <c r="P14" i="23" s="1"/>
  <c r="Q14" i="23" s="1"/>
  <c r="AE14" i="23" s="1"/>
  <c r="M19" i="23"/>
  <c r="N19" i="23" s="1"/>
  <c r="O19" i="23" s="1"/>
  <c r="M47" i="23"/>
  <c r="N47" i="23" s="1"/>
  <c r="P47" i="23" s="1"/>
  <c r="Q47" i="23" s="1"/>
  <c r="AE47" i="23" s="1"/>
  <c r="M30" i="23"/>
  <c r="N30" i="23" s="1"/>
  <c r="O30" i="23" s="1"/>
  <c r="C65" i="16"/>
  <c r="D65" i="16" s="1"/>
  <c r="B95" i="2"/>
  <c r="E20" i="1" s="1"/>
  <c r="C64" i="16"/>
  <c r="B183" i="2"/>
  <c r="B42" i="2"/>
  <c r="B44" i="2" s="1"/>
  <c r="E27" i="1" s="1"/>
  <c r="D63" i="2"/>
  <c r="D197" i="2"/>
  <c r="F6" i="25" s="1"/>
  <c r="D194" i="2"/>
  <c r="O48" i="23"/>
  <c r="P48" i="23"/>
  <c r="Q48" i="23" s="1"/>
  <c r="AE48" i="23" s="1"/>
  <c r="O18" i="23"/>
  <c r="P18" i="23"/>
  <c r="Q18" i="23" s="1"/>
  <c r="AE18" i="23" s="1"/>
  <c r="P92" i="23"/>
  <c r="Q92" i="23" s="1"/>
  <c r="AE92" i="23" s="1"/>
  <c r="O92" i="23"/>
  <c r="O64" i="23"/>
  <c r="P64" i="23"/>
  <c r="Q64" i="23" s="1"/>
  <c r="AE64" i="23" s="1"/>
  <c r="P90" i="23"/>
  <c r="Q90" i="23" s="1"/>
  <c r="AE90" i="23" s="1"/>
  <c r="O90" i="23"/>
  <c r="P28" i="23"/>
  <c r="Q28" i="23" s="1"/>
  <c r="AE28" i="23" s="1"/>
  <c r="O28" i="23"/>
  <c r="O81" i="23"/>
  <c r="P81" i="23"/>
  <c r="Q81" i="23" s="1"/>
  <c r="AE81" i="23" s="1"/>
  <c r="O71" i="23"/>
  <c r="P71" i="23"/>
  <c r="Q71" i="23" s="1"/>
  <c r="AE71" i="23" s="1"/>
  <c r="P53" i="23"/>
  <c r="Q53" i="23" s="1"/>
  <c r="AE53" i="23" s="1"/>
  <c r="O53" i="23"/>
  <c r="O13" i="23"/>
  <c r="P13" i="23"/>
  <c r="Q13" i="23" s="1"/>
  <c r="AE13" i="23" s="1"/>
  <c r="P74" i="23"/>
  <c r="Q74" i="23" s="1"/>
  <c r="AE74" i="23" s="1"/>
  <c r="O74" i="23"/>
  <c r="P95" i="23"/>
  <c r="Q95" i="23" s="1"/>
  <c r="AE95" i="23" s="1"/>
  <c r="O95" i="23"/>
  <c r="P33" i="23"/>
  <c r="Q33" i="23" s="1"/>
  <c r="AE33" i="23" s="1"/>
  <c r="O33" i="23"/>
  <c r="O68" i="23"/>
  <c r="P68" i="23"/>
  <c r="Q68" i="23" s="1"/>
  <c r="AE68" i="23" s="1"/>
  <c r="P40" i="23"/>
  <c r="Q40" i="23" s="1"/>
  <c r="AE40" i="23" s="1"/>
  <c r="O40" i="23"/>
  <c r="O75" i="23"/>
  <c r="P75" i="23"/>
  <c r="Q75" i="23" s="1"/>
  <c r="AE75" i="23" s="1"/>
  <c r="O108" i="23"/>
  <c r="P108" i="23"/>
  <c r="Q108" i="23" s="1"/>
  <c r="AE108" i="23" s="1"/>
  <c r="O67" i="23"/>
  <c r="P67" i="23"/>
  <c r="Q67" i="23" s="1"/>
  <c r="AE67" i="23" s="1"/>
  <c r="P99" i="23"/>
  <c r="Q99" i="23" s="1"/>
  <c r="AE99" i="23" s="1"/>
  <c r="O99" i="23"/>
  <c r="P96" i="23"/>
  <c r="Q96" i="23" s="1"/>
  <c r="AE96" i="23" s="1"/>
  <c r="O96" i="23"/>
  <c r="O70" i="23"/>
  <c r="P70" i="23"/>
  <c r="Q70" i="23" s="1"/>
  <c r="AE70" i="23" s="1"/>
  <c r="O35" i="23"/>
  <c r="P35" i="23"/>
  <c r="Q35" i="23" s="1"/>
  <c r="AE35" i="23" s="1"/>
  <c r="P46" i="23"/>
  <c r="Q46" i="23" s="1"/>
  <c r="AE46" i="23" s="1"/>
  <c r="O46" i="23"/>
  <c r="O51" i="23"/>
  <c r="P51" i="23"/>
  <c r="Q51" i="23" s="1"/>
  <c r="AE51" i="23" s="1"/>
  <c r="O103" i="23"/>
  <c r="P103" i="23"/>
  <c r="Q103" i="23" s="1"/>
  <c r="AE103" i="23" s="1"/>
  <c r="P85" i="23"/>
  <c r="Q85" i="23" s="1"/>
  <c r="AE85" i="23" s="1"/>
  <c r="O85" i="23"/>
  <c r="O38" i="23"/>
  <c r="P38" i="23"/>
  <c r="Q38" i="23" s="1"/>
  <c r="AE38" i="23" s="1"/>
  <c r="O37" i="23"/>
  <c r="P37" i="23"/>
  <c r="Q37" i="23" s="1"/>
  <c r="AE37" i="23" s="1"/>
  <c r="O94" i="23"/>
  <c r="P94" i="23"/>
  <c r="Q94" i="23" s="1"/>
  <c r="AE94" i="23" s="1"/>
  <c r="O17" i="23"/>
  <c r="P17" i="23"/>
  <c r="Q17" i="23" s="1"/>
  <c r="AE17" i="23" s="1"/>
  <c r="O100" i="23"/>
  <c r="P100" i="23"/>
  <c r="Q100" i="23" s="1"/>
  <c r="AE100" i="23" s="1"/>
  <c r="O50" i="23"/>
  <c r="P50" i="23"/>
  <c r="Q50" i="23" s="1"/>
  <c r="AE50" i="23" s="1"/>
  <c r="O10" i="23"/>
  <c r="P10" i="23"/>
  <c r="Q10" i="23" s="1"/>
  <c r="AE10" i="23" s="1"/>
  <c r="O91" i="23"/>
  <c r="P91" i="23"/>
  <c r="Q91" i="23" s="1"/>
  <c r="AE91" i="23" s="1"/>
  <c r="O88" i="23"/>
  <c r="P88" i="23"/>
  <c r="Q88" i="23" s="1"/>
  <c r="AE88" i="23" s="1"/>
  <c r="P15" i="23"/>
  <c r="Q15" i="23" s="1"/>
  <c r="AE15" i="23" s="1"/>
  <c r="O15" i="23"/>
  <c r="O72" i="23"/>
  <c r="P72" i="23"/>
  <c r="Q72" i="23" s="1"/>
  <c r="AE72" i="23" s="1"/>
  <c r="P54" i="23"/>
  <c r="Q54" i="23" s="1"/>
  <c r="AE54" i="23" s="1"/>
  <c r="P66" i="23"/>
  <c r="Q66" i="23" s="1"/>
  <c r="AE66" i="23" s="1"/>
  <c r="P98" i="23"/>
  <c r="Q98" i="23" s="1"/>
  <c r="AE98" i="23" s="1"/>
  <c r="P44" i="23"/>
  <c r="Q44" i="23" s="1"/>
  <c r="AE44" i="23" s="1"/>
  <c r="O44" i="23"/>
  <c r="O20" i="23"/>
  <c r="P20" i="23"/>
  <c r="Q20" i="23" s="1"/>
  <c r="AE20" i="23" s="1"/>
  <c r="P62" i="23"/>
  <c r="Q62" i="23" s="1"/>
  <c r="AE62" i="23" s="1"/>
  <c r="O62" i="23"/>
  <c r="O31" i="23"/>
  <c r="P31" i="23"/>
  <c r="Q31" i="23" s="1"/>
  <c r="AE31" i="23" s="1"/>
  <c r="O83" i="23"/>
  <c r="P83" i="23"/>
  <c r="Q83" i="23" s="1"/>
  <c r="AE83" i="23" s="1"/>
  <c r="O101" i="23"/>
  <c r="P101" i="23"/>
  <c r="Q101" i="23" s="1"/>
  <c r="AE101" i="23" s="1"/>
  <c r="O82" i="23"/>
  <c r="P82" i="23"/>
  <c r="Q82" i="23" s="1"/>
  <c r="AE82" i="23" s="1"/>
  <c r="O34" i="23"/>
  <c r="P34" i="23"/>
  <c r="Q34" i="23" s="1"/>
  <c r="AE34" i="23" s="1"/>
  <c r="O26" i="23"/>
  <c r="P26" i="23"/>
  <c r="Q26" i="23" s="1"/>
  <c r="AE26" i="23" s="1"/>
  <c r="O102" i="23"/>
  <c r="P102" i="23"/>
  <c r="Q102" i="23" s="1"/>
  <c r="AE102" i="23" s="1"/>
  <c r="P104" i="23"/>
  <c r="Q104" i="23" s="1"/>
  <c r="AE104" i="23" s="1"/>
  <c r="O104" i="23"/>
  <c r="O105" i="23"/>
  <c r="P105" i="23"/>
  <c r="Q105" i="23" s="1"/>
  <c r="AE105" i="23" s="1"/>
  <c r="P41" i="23"/>
  <c r="Q41" i="23" s="1"/>
  <c r="AE41" i="23" s="1"/>
  <c r="O41" i="23"/>
  <c r="O43" i="23"/>
  <c r="P43" i="23"/>
  <c r="Q43" i="23" s="1"/>
  <c r="AE43" i="23" s="1"/>
  <c r="O12" i="23"/>
  <c r="P12" i="23"/>
  <c r="Q12" i="23" s="1"/>
  <c r="AE12" i="23" s="1"/>
  <c r="O59" i="23"/>
  <c r="P59" i="23"/>
  <c r="Q59" i="23" s="1"/>
  <c r="AE59" i="23" s="1"/>
  <c r="O36" i="23"/>
  <c r="P36" i="23"/>
  <c r="Q36" i="23" s="1"/>
  <c r="AE36" i="23" s="1"/>
  <c r="P45" i="23"/>
  <c r="Q45" i="23" s="1"/>
  <c r="AE45" i="23" s="1"/>
  <c r="O45" i="23"/>
  <c r="O29" i="23"/>
  <c r="P29" i="23"/>
  <c r="Q29" i="23" s="1"/>
  <c r="AE29" i="23" s="1"/>
  <c r="O55" i="23"/>
  <c r="P55" i="23"/>
  <c r="Q55" i="23" s="1"/>
  <c r="AE55" i="23" s="1"/>
  <c r="O69" i="23"/>
  <c r="P69" i="23"/>
  <c r="Q69" i="23" s="1"/>
  <c r="AE69" i="23" s="1"/>
  <c r="P79" i="23"/>
  <c r="Q79" i="23" s="1"/>
  <c r="AE79" i="23" s="1"/>
  <c r="O79" i="23"/>
  <c r="O106" i="23"/>
  <c r="P106" i="23"/>
  <c r="Q106" i="23" s="1"/>
  <c r="AE106" i="23" s="1"/>
  <c r="O73" i="23"/>
  <c r="P73" i="23"/>
  <c r="Q73" i="23" s="1"/>
  <c r="AE73" i="23" s="1"/>
  <c r="P22" i="23"/>
  <c r="Q22" i="23" s="1"/>
  <c r="AE22" i="23" s="1"/>
  <c r="O22" i="23"/>
  <c r="O11" i="23"/>
  <c r="P11" i="23"/>
  <c r="Q11" i="23" s="1"/>
  <c r="AE11" i="23" s="1"/>
  <c r="O52" i="23"/>
  <c r="P52" i="23"/>
  <c r="Q52" i="23" s="1"/>
  <c r="AE52" i="23" s="1"/>
  <c r="O42" i="23"/>
  <c r="P42" i="23"/>
  <c r="Q42" i="23" s="1"/>
  <c r="AE42" i="23" s="1"/>
  <c r="P21" i="23"/>
  <c r="Q21" i="23" s="1"/>
  <c r="AE21" i="23" s="1"/>
  <c r="O21" i="23"/>
  <c r="O107" i="23"/>
  <c r="P107" i="23"/>
  <c r="Q107" i="23" s="1"/>
  <c r="AE107" i="23" s="1"/>
  <c r="P77" i="23"/>
  <c r="Q77" i="23" s="1"/>
  <c r="AE77" i="23" s="1"/>
  <c r="O77" i="23"/>
  <c r="O25" i="23"/>
  <c r="P25" i="23"/>
  <c r="Q25" i="23" s="1"/>
  <c r="AE25" i="23" s="1"/>
  <c r="P61" i="23"/>
  <c r="Q61" i="23" s="1"/>
  <c r="AE61" i="23" s="1"/>
  <c r="O61" i="23"/>
  <c r="P57" i="23"/>
  <c r="Q57" i="23" s="1"/>
  <c r="AE57" i="23" s="1"/>
  <c r="O57" i="23"/>
  <c r="O84" i="23"/>
  <c r="P84" i="23"/>
  <c r="Q84" i="23" s="1"/>
  <c r="AE84" i="23" s="1"/>
  <c r="P27" i="23"/>
  <c r="Q27" i="23" s="1"/>
  <c r="AE27" i="23" s="1"/>
  <c r="O27" i="23"/>
  <c r="P49" i="23"/>
  <c r="Q49" i="23" s="1"/>
  <c r="AE49" i="23" s="1"/>
  <c r="O49" i="23"/>
  <c r="O65" i="23"/>
  <c r="P65" i="23"/>
  <c r="Q65" i="23" s="1"/>
  <c r="AE65" i="23" s="1"/>
  <c r="O78" i="23"/>
  <c r="P78" i="23"/>
  <c r="Q78" i="23" s="1"/>
  <c r="AE78" i="23" s="1"/>
  <c r="P63" i="23"/>
  <c r="Q63" i="23" s="1"/>
  <c r="AE63" i="23" s="1"/>
  <c r="O63" i="23"/>
  <c r="O23" i="23"/>
  <c r="P23" i="23"/>
  <c r="Q23" i="23" s="1"/>
  <c r="AE23" i="23" s="1"/>
  <c r="P39" i="23"/>
  <c r="Q39" i="23" s="1"/>
  <c r="AE39" i="23" s="1"/>
  <c r="O39" i="23"/>
  <c r="O32" i="23"/>
  <c r="O56" i="23"/>
  <c r="P56" i="23"/>
  <c r="Q56" i="23" s="1"/>
  <c r="AE56" i="23" s="1"/>
  <c r="M131" i="2"/>
  <c r="D131" i="2"/>
  <c r="K131" i="2"/>
  <c r="K134" i="2" s="1"/>
  <c r="B68" i="2"/>
  <c r="P9" i="21"/>
  <c r="Q9" i="21" s="1"/>
  <c r="AE9" i="21" s="1"/>
  <c r="O9" i="21"/>
  <c r="B323" i="2"/>
  <c r="B324" i="2" s="1"/>
  <c r="E104" i="1" s="1"/>
  <c r="E103" i="1"/>
  <c r="F613" i="25"/>
  <c r="F611" i="25"/>
  <c r="C633" i="25"/>
  <c r="E613" i="25"/>
  <c r="E611" i="25"/>
  <c r="E609" i="25"/>
  <c r="A623" i="25"/>
  <c r="E612" i="25"/>
  <c r="E610" i="25"/>
  <c r="E608" i="25"/>
  <c r="E605" i="25"/>
  <c r="E603" i="25"/>
  <c r="E601" i="25"/>
  <c r="E599" i="25"/>
  <c r="E597" i="25"/>
  <c r="F610" i="25"/>
  <c r="F608" i="25"/>
  <c r="F607" i="25"/>
  <c r="F606" i="25"/>
  <c r="F604" i="25"/>
  <c r="F602" i="25"/>
  <c r="F600" i="25"/>
  <c r="F598" i="25"/>
  <c r="F605" i="25"/>
  <c r="F603" i="25"/>
  <c r="F601" i="25"/>
  <c r="F599" i="25"/>
  <c r="F597" i="25"/>
  <c r="F595" i="25"/>
  <c r="F593" i="25"/>
  <c r="E607" i="25"/>
  <c r="E604" i="25"/>
  <c r="E594" i="25"/>
  <c r="F592" i="25"/>
  <c r="F590" i="25"/>
  <c r="F588" i="25"/>
  <c r="F586" i="25"/>
  <c r="F612" i="25"/>
  <c r="E606" i="25"/>
  <c r="E598" i="25"/>
  <c r="E592" i="25"/>
  <c r="E590" i="25"/>
  <c r="E588" i="25"/>
  <c r="E586" i="25"/>
  <c r="E584" i="25"/>
  <c r="E602" i="25"/>
  <c r="E596" i="25"/>
  <c r="F594" i="25"/>
  <c r="E593" i="25"/>
  <c r="E591" i="25"/>
  <c r="E589" i="25"/>
  <c r="E587" i="25"/>
  <c r="E585" i="25"/>
  <c r="E583" i="25"/>
  <c r="E581" i="25"/>
  <c r="E579" i="25"/>
  <c r="F609" i="25"/>
  <c r="E600" i="25"/>
  <c r="F591" i="25"/>
  <c r="E582" i="25"/>
  <c r="F581" i="25"/>
  <c r="F580" i="25"/>
  <c r="E577" i="25"/>
  <c r="E575" i="25"/>
  <c r="E573" i="25"/>
  <c r="E571" i="25"/>
  <c r="E569" i="25"/>
  <c r="E567" i="25"/>
  <c r="E565" i="25"/>
  <c r="E563" i="25"/>
  <c r="E561" i="25"/>
  <c r="E559" i="25"/>
  <c r="E557" i="25"/>
  <c r="F585" i="25"/>
  <c r="E580" i="25"/>
  <c r="F579" i="25"/>
  <c r="F578" i="25"/>
  <c r="F576" i="25"/>
  <c r="F574" i="25"/>
  <c r="F572" i="25"/>
  <c r="F570" i="25"/>
  <c r="F568" i="25"/>
  <c r="F566" i="25"/>
  <c r="F596" i="25"/>
  <c r="E595" i="25"/>
  <c r="F589" i="25"/>
  <c r="F584" i="25"/>
  <c r="F583" i="25"/>
  <c r="F582" i="25"/>
  <c r="F577" i="25"/>
  <c r="F575" i="25"/>
  <c r="F573" i="25"/>
  <c r="F571" i="25"/>
  <c r="F569" i="25"/>
  <c r="F567" i="25"/>
  <c r="E576" i="25"/>
  <c r="E568" i="25"/>
  <c r="F565" i="25"/>
  <c r="E560" i="25"/>
  <c r="F559" i="25"/>
  <c r="F558" i="25"/>
  <c r="E556" i="25"/>
  <c r="E554" i="25"/>
  <c r="E552" i="25"/>
  <c r="E550" i="25"/>
  <c r="E548" i="25"/>
  <c r="E546" i="25"/>
  <c r="E544" i="25"/>
  <c r="E542" i="25"/>
  <c r="E540" i="25"/>
  <c r="E538" i="25"/>
  <c r="E536" i="25"/>
  <c r="E534" i="25"/>
  <c r="E532" i="25"/>
  <c r="E530" i="25"/>
  <c r="E528" i="25"/>
  <c r="E526" i="25"/>
  <c r="E570" i="25"/>
  <c r="F564" i="25"/>
  <c r="E558" i="25"/>
  <c r="F557" i="25"/>
  <c r="F555" i="25"/>
  <c r="F553" i="25"/>
  <c r="F551" i="25"/>
  <c r="F549" i="25"/>
  <c r="F547" i="25"/>
  <c r="F545" i="25"/>
  <c r="F543" i="25"/>
  <c r="F541" i="25"/>
  <c r="F539" i="25"/>
  <c r="E578" i="25"/>
  <c r="E574" i="25"/>
  <c r="E566" i="25"/>
  <c r="E562" i="25"/>
  <c r="F561" i="25"/>
  <c r="F560" i="25"/>
  <c r="F556" i="25"/>
  <c r="F554" i="25"/>
  <c r="F552" i="25"/>
  <c r="F550" i="25"/>
  <c r="F548" i="25"/>
  <c r="F546" i="25"/>
  <c r="F544" i="25"/>
  <c r="F542" i="25"/>
  <c r="F540" i="25"/>
  <c r="E572" i="25"/>
  <c r="E549" i="25"/>
  <c r="E541" i="25"/>
  <c r="F538" i="25"/>
  <c r="F537" i="25"/>
  <c r="E531" i="25"/>
  <c r="F530" i="25"/>
  <c r="F529" i="25"/>
  <c r="E564" i="25"/>
  <c r="F563" i="25"/>
  <c r="F562" i="25"/>
  <c r="E551" i="25"/>
  <c r="E543" i="25"/>
  <c r="E537" i="25"/>
  <c r="F536" i="25"/>
  <c r="F535" i="25"/>
  <c r="E529" i="25"/>
  <c r="F528" i="25"/>
  <c r="F527" i="25"/>
  <c r="E524" i="25"/>
  <c r="E555" i="25"/>
  <c r="E547" i="25"/>
  <c r="E539" i="25"/>
  <c r="E533" i="25"/>
  <c r="F532" i="25"/>
  <c r="F531" i="25"/>
  <c r="E525" i="25"/>
  <c r="E523" i="25"/>
  <c r="E521" i="25"/>
  <c r="E519" i="25"/>
  <c r="E517" i="25"/>
  <c r="E515" i="25"/>
  <c r="E513" i="25"/>
  <c r="E553" i="25"/>
  <c r="E527" i="25"/>
  <c r="F526" i="25"/>
  <c r="F525" i="25"/>
  <c r="E518" i="25"/>
  <c r="F517" i="25"/>
  <c r="F516" i="25"/>
  <c r="E510" i="25"/>
  <c r="E508" i="25"/>
  <c r="E506" i="25"/>
  <c r="E504" i="25"/>
  <c r="E502" i="25"/>
  <c r="E500" i="25"/>
  <c r="E498" i="25"/>
  <c r="E496" i="25"/>
  <c r="E494" i="25"/>
  <c r="E492" i="25"/>
  <c r="E490" i="25"/>
  <c r="E488" i="25"/>
  <c r="E486" i="25"/>
  <c r="E484" i="25"/>
  <c r="E482" i="25"/>
  <c r="E480" i="25"/>
  <c r="E478" i="25"/>
  <c r="E476" i="25"/>
  <c r="E474" i="25"/>
  <c r="E472" i="25"/>
  <c r="E470" i="25"/>
  <c r="E468" i="25"/>
  <c r="E466" i="25"/>
  <c r="F587" i="25"/>
  <c r="F524" i="25"/>
  <c r="F523" i="25"/>
  <c r="F522" i="25"/>
  <c r="E516" i="25"/>
  <c r="F515" i="25"/>
  <c r="F514" i="25"/>
  <c r="F511" i="25"/>
  <c r="F509" i="25"/>
  <c r="F507" i="25"/>
  <c r="F505" i="25"/>
  <c r="F503" i="25"/>
  <c r="F501" i="25"/>
  <c r="F499" i="25"/>
  <c r="F497" i="25"/>
  <c r="F495" i="25"/>
  <c r="F493" i="25"/>
  <c r="F491" i="25"/>
  <c r="F489" i="25"/>
  <c r="F487" i="25"/>
  <c r="F485" i="25"/>
  <c r="F483" i="25"/>
  <c r="E545" i="25"/>
  <c r="E535" i="25"/>
  <c r="F534" i="25"/>
  <c r="F533" i="25"/>
  <c r="E520" i="25"/>
  <c r="F519" i="25"/>
  <c r="F518" i="25"/>
  <c r="E512" i="25"/>
  <c r="F510" i="25"/>
  <c r="F508" i="25"/>
  <c r="F506" i="25"/>
  <c r="F504" i="25"/>
  <c r="F502" i="25"/>
  <c r="F500" i="25"/>
  <c r="F498" i="25"/>
  <c r="F496" i="25"/>
  <c r="F494" i="25"/>
  <c r="F492" i="25"/>
  <c r="F490" i="25"/>
  <c r="F488" i="25"/>
  <c r="F486" i="25"/>
  <c r="E509" i="25"/>
  <c r="E501" i="25"/>
  <c r="E493" i="25"/>
  <c r="E485" i="25"/>
  <c r="F482" i="25"/>
  <c r="F481" i="25"/>
  <c r="E475" i="25"/>
  <c r="F474" i="25"/>
  <c r="F473" i="25"/>
  <c r="E467" i="25"/>
  <c r="F466" i="25"/>
  <c r="F465" i="25"/>
  <c r="F463" i="25"/>
  <c r="F461" i="25"/>
  <c r="F459" i="25"/>
  <c r="F457" i="25"/>
  <c r="F455" i="25"/>
  <c r="F453" i="25"/>
  <c r="F451" i="25"/>
  <c r="F449" i="25"/>
  <c r="F447" i="25"/>
  <c r="F445" i="25"/>
  <c r="F443" i="25"/>
  <c r="F441" i="25"/>
  <c r="F439" i="25"/>
  <c r="F437" i="25"/>
  <c r="F435" i="25"/>
  <c r="F433" i="25"/>
  <c r="F431" i="25"/>
  <c r="F429" i="25"/>
  <c r="F427" i="25"/>
  <c r="F425" i="25"/>
  <c r="F423" i="25"/>
  <c r="F421" i="25"/>
  <c r="F419" i="25"/>
  <c r="F417" i="25"/>
  <c r="F415" i="25"/>
  <c r="F413" i="25"/>
  <c r="F411" i="25"/>
  <c r="F409" i="25"/>
  <c r="F407" i="25"/>
  <c r="F405" i="25"/>
  <c r="F403" i="25"/>
  <c r="F401" i="25"/>
  <c r="E511" i="25"/>
  <c r="E503" i="25"/>
  <c r="E495" i="25"/>
  <c r="E487" i="25"/>
  <c r="F484" i="25"/>
  <c r="E481" i="25"/>
  <c r="F480" i="25"/>
  <c r="F479" i="25"/>
  <c r="E473" i="25"/>
  <c r="F472" i="25"/>
  <c r="F471" i="25"/>
  <c r="E465" i="25"/>
  <c r="E463" i="25"/>
  <c r="E461" i="25"/>
  <c r="E459" i="25"/>
  <c r="E457" i="25"/>
  <c r="E455" i="25"/>
  <c r="E453" i="25"/>
  <c r="E451" i="25"/>
  <c r="E449" i="25"/>
  <c r="E447" i="25"/>
  <c r="E445" i="25"/>
  <c r="E443" i="25"/>
  <c r="E441" i="25"/>
  <c r="E439" i="25"/>
  <c r="E437" i="25"/>
  <c r="E435" i="25"/>
  <c r="E433" i="25"/>
  <c r="E431" i="25"/>
  <c r="E429" i="25"/>
  <c r="E514" i="25"/>
  <c r="F513" i="25"/>
  <c r="F512" i="25"/>
  <c r="E507" i="25"/>
  <c r="E499" i="25"/>
  <c r="E491" i="25"/>
  <c r="E483" i="25"/>
  <c r="E477" i="25"/>
  <c r="F476" i="25"/>
  <c r="F475" i="25"/>
  <c r="E469" i="25"/>
  <c r="F468" i="25"/>
  <c r="F467" i="25"/>
  <c r="E464" i="25"/>
  <c r="E462" i="25"/>
  <c r="E460" i="25"/>
  <c r="E458" i="25"/>
  <c r="E456" i="25"/>
  <c r="E454" i="25"/>
  <c r="E452" i="25"/>
  <c r="E450" i="25"/>
  <c r="E448" i="25"/>
  <c r="E446" i="25"/>
  <c r="E444" i="25"/>
  <c r="E442" i="25"/>
  <c r="E440" i="25"/>
  <c r="E438" i="25"/>
  <c r="E436" i="25"/>
  <c r="E434" i="25"/>
  <c r="E432" i="25"/>
  <c r="E430" i="25"/>
  <c r="E522" i="25"/>
  <c r="F520" i="25"/>
  <c r="E497" i="25"/>
  <c r="E479" i="25"/>
  <c r="F478" i="25"/>
  <c r="F477" i="25"/>
  <c r="F462" i="25"/>
  <c r="F454" i="25"/>
  <c r="F446" i="25"/>
  <c r="F438" i="25"/>
  <c r="F430" i="25"/>
  <c r="E424" i="25"/>
  <c r="F422" i="25"/>
  <c r="E421" i="25"/>
  <c r="E416" i="25"/>
  <c r="F414" i="25"/>
  <c r="E413" i="25"/>
  <c r="E408" i="25"/>
  <c r="F406" i="25"/>
  <c r="E405" i="25"/>
  <c r="E505" i="25"/>
  <c r="E471" i="25"/>
  <c r="F470" i="25"/>
  <c r="F469" i="25"/>
  <c r="F464" i="25"/>
  <c r="F456" i="25"/>
  <c r="F448" i="25"/>
  <c r="F440" i="25"/>
  <c r="F432" i="25"/>
  <c r="E427" i="25"/>
  <c r="E422" i="25"/>
  <c r="F420" i="25"/>
  <c r="E419" i="25"/>
  <c r="E414" i="25"/>
  <c r="F412" i="25"/>
  <c r="E411" i="25"/>
  <c r="E406" i="25"/>
  <c r="F404" i="25"/>
  <c r="E403" i="25"/>
  <c r="E489" i="25"/>
  <c r="F460" i="25"/>
  <c r="F452" i="25"/>
  <c r="F444" i="25"/>
  <c r="F436" i="25"/>
  <c r="E428" i="25"/>
  <c r="E426" i="25"/>
  <c r="F424" i="25"/>
  <c r="E423" i="25"/>
  <c r="E418" i="25"/>
  <c r="F416" i="25"/>
  <c r="E415" i="25"/>
  <c r="E410" i="25"/>
  <c r="F408" i="25"/>
  <c r="E407" i="25"/>
  <c r="E402" i="25"/>
  <c r="F400" i="25"/>
  <c r="F398" i="25"/>
  <c r="F396" i="25"/>
  <c r="F394" i="25"/>
  <c r="F392" i="25"/>
  <c r="F390" i="25"/>
  <c r="F388" i="25"/>
  <c r="F386" i="25"/>
  <c r="F384" i="25"/>
  <c r="F382" i="25"/>
  <c r="F380" i="25"/>
  <c r="F378" i="25"/>
  <c r="F376" i="25"/>
  <c r="F434" i="25"/>
  <c r="F418" i="25"/>
  <c r="E417" i="25"/>
  <c r="E412" i="25"/>
  <c r="E397" i="25"/>
  <c r="F395" i="25"/>
  <c r="E394" i="25"/>
  <c r="E389" i="25"/>
  <c r="F387" i="25"/>
  <c r="E386" i="25"/>
  <c r="E381" i="25"/>
  <c r="F379" i="25"/>
  <c r="E378" i="25"/>
  <c r="F374" i="25"/>
  <c r="F372" i="25"/>
  <c r="F370" i="25"/>
  <c r="F368" i="25"/>
  <c r="F366" i="25"/>
  <c r="F364" i="25"/>
  <c r="F362" i="25"/>
  <c r="F360" i="25"/>
  <c r="F358" i="25"/>
  <c r="F356" i="25"/>
  <c r="F354" i="25"/>
  <c r="F352" i="25"/>
  <c r="F350" i="25"/>
  <c r="F348" i="25"/>
  <c r="F346" i="25"/>
  <c r="F344" i="25"/>
  <c r="F342" i="25"/>
  <c r="F340" i="25"/>
  <c r="F338" i="25"/>
  <c r="F336" i="25"/>
  <c r="F334" i="25"/>
  <c r="F332" i="25"/>
  <c r="F330" i="25"/>
  <c r="F328" i="25"/>
  <c r="F326" i="25"/>
  <c r="F324" i="25"/>
  <c r="F322" i="25"/>
  <c r="F320" i="25"/>
  <c r="F318" i="25"/>
  <c r="F316" i="25"/>
  <c r="F314" i="25"/>
  <c r="F312" i="25"/>
  <c r="F310" i="25"/>
  <c r="F308" i="25"/>
  <c r="F306" i="25"/>
  <c r="F304" i="25"/>
  <c r="F302" i="25"/>
  <c r="F300" i="25"/>
  <c r="F298" i="25"/>
  <c r="F296" i="25"/>
  <c r="F294" i="25"/>
  <c r="F292" i="25"/>
  <c r="F290" i="25"/>
  <c r="F288" i="25"/>
  <c r="F286" i="25"/>
  <c r="F284" i="25"/>
  <c r="F282" i="25"/>
  <c r="F280" i="25"/>
  <c r="F521" i="25"/>
  <c r="F442" i="25"/>
  <c r="F410" i="25"/>
  <c r="E409" i="25"/>
  <c r="E404" i="25"/>
  <c r="E400" i="25"/>
  <c r="E395" i="25"/>
  <c r="F393" i="25"/>
  <c r="E392" i="25"/>
  <c r="E387" i="25"/>
  <c r="F385" i="25"/>
  <c r="E384" i="25"/>
  <c r="E379" i="25"/>
  <c r="F377" i="25"/>
  <c r="E376" i="25"/>
  <c r="E374" i="25"/>
  <c r="E372" i="25"/>
  <c r="E370" i="25"/>
  <c r="E368" i="25"/>
  <c r="E366" i="25"/>
  <c r="F458" i="25"/>
  <c r="F426" i="25"/>
  <c r="E425" i="25"/>
  <c r="E420" i="25"/>
  <c r="E399" i="25"/>
  <c r="F397" i="25"/>
  <c r="E396" i="25"/>
  <c r="E391" i="25"/>
  <c r="F389" i="25"/>
  <c r="E388" i="25"/>
  <c r="E383" i="25"/>
  <c r="F381" i="25"/>
  <c r="E380" i="25"/>
  <c r="E375" i="25"/>
  <c r="E373" i="25"/>
  <c r="E371" i="25"/>
  <c r="E369" i="25"/>
  <c r="E367" i="25"/>
  <c r="E365" i="25"/>
  <c r="E363" i="25"/>
  <c r="E361" i="25"/>
  <c r="E359" i="25"/>
  <c r="E357" i="25"/>
  <c r="E355" i="25"/>
  <c r="E353" i="25"/>
  <c r="E351" i="25"/>
  <c r="E349" i="25"/>
  <c r="E347" i="25"/>
  <c r="E345" i="25"/>
  <c r="F450" i="25"/>
  <c r="F391" i="25"/>
  <c r="E390" i="25"/>
  <c r="E385" i="25"/>
  <c r="F371" i="25"/>
  <c r="E364" i="25"/>
  <c r="F363" i="25"/>
  <c r="E360" i="25"/>
  <c r="F359" i="25"/>
  <c r="E356" i="25"/>
  <c r="F355" i="25"/>
  <c r="E352" i="25"/>
  <c r="F351" i="25"/>
  <c r="E348" i="25"/>
  <c r="F347" i="25"/>
  <c r="E344" i="25"/>
  <c r="E339" i="25"/>
  <c r="F337" i="25"/>
  <c r="E336" i="25"/>
  <c r="E331" i="25"/>
  <c r="F329" i="25"/>
  <c r="E328" i="25"/>
  <c r="E323" i="25"/>
  <c r="F321" i="25"/>
  <c r="E320" i="25"/>
  <c r="E315" i="25"/>
  <c r="F313" i="25"/>
  <c r="E312" i="25"/>
  <c r="E307" i="25"/>
  <c r="F305" i="25"/>
  <c r="E304" i="25"/>
  <c r="E299" i="25"/>
  <c r="F297" i="25"/>
  <c r="E296" i="25"/>
  <c r="E291" i="25"/>
  <c r="F289" i="25"/>
  <c r="E288" i="25"/>
  <c r="E283" i="25"/>
  <c r="F281" i="25"/>
  <c r="E280" i="25"/>
  <c r="F277" i="25"/>
  <c r="F275" i="25"/>
  <c r="F273" i="25"/>
  <c r="F271" i="25"/>
  <c r="F269" i="25"/>
  <c r="F267" i="25"/>
  <c r="F265" i="25"/>
  <c r="F402" i="25"/>
  <c r="F383" i="25"/>
  <c r="E382" i="25"/>
  <c r="E377" i="25"/>
  <c r="F373" i="25"/>
  <c r="F365" i="25"/>
  <c r="F343" i="25"/>
  <c r="E342" i="25"/>
  <c r="E337" i="25"/>
  <c r="F335" i="25"/>
  <c r="E334" i="25"/>
  <c r="E329" i="25"/>
  <c r="F327" i="25"/>
  <c r="E326" i="25"/>
  <c r="E321" i="25"/>
  <c r="F319" i="25"/>
  <c r="E318" i="25"/>
  <c r="E313" i="25"/>
  <c r="F311" i="25"/>
  <c r="E310" i="25"/>
  <c r="E305" i="25"/>
  <c r="F303" i="25"/>
  <c r="E302" i="25"/>
  <c r="E297" i="25"/>
  <c r="F295" i="25"/>
  <c r="E294" i="25"/>
  <c r="E289" i="25"/>
  <c r="F287" i="25"/>
  <c r="E286" i="25"/>
  <c r="E281" i="25"/>
  <c r="F279" i="25"/>
  <c r="E277" i="25"/>
  <c r="E275" i="25"/>
  <c r="E273" i="25"/>
  <c r="E271" i="25"/>
  <c r="E269" i="25"/>
  <c r="E267" i="25"/>
  <c r="E265" i="25"/>
  <c r="F428" i="25"/>
  <c r="E401" i="25"/>
  <c r="F399" i="25"/>
  <c r="E398" i="25"/>
  <c r="E393" i="25"/>
  <c r="F369" i="25"/>
  <c r="E341" i="25"/>
  <c r="F339" i="25"/>
  <c r="E338" i="25"/>
  <c r="E333" i="25"/>
  <c r="F331" i="25"/>
  <c r="E330" i="25"/>
  <c r="E325" i="25"/>
  <c r="F323" i="25"/>
  <c r="E322" i="25"/>
  <c r="E317" i="25"/>
  <c r="F315" i="25"/>
  <c r="E314" i="25"/>
  <c r="E309" i="25"/>
  <c r="F307" i="25"/>
  <c r="E306" i="25"/>
  <c r="E301" i="25"/>
  <c r="F299" i="25"/>
  <c r="E298" i="25"/>
  <c r="E293" i="25"/>
  <c r="F291" i="25"/>
  <c r="E290" i="25"/>
  <c r="E285" i="25"/>
  <c r="F283" i="25"/>
  <c r="E282" i="25"/>
  <c r="E278" i="25"/>
  <c r="E276" i="25"/>
  <c r="E274" i="25"/>
  <c r="E272" i="25"/>
  <c r="E270" i="25"/>
  <c r="E268" i="25"/>
  <c r="E266" i="25"/>
  <c r="E264" i="25"/>
  <c r="E262" i="25"/>
  <c r="E260" i="25"/>
  <c r="E258" i="25"/>
  <c r="E256" i="25"/>
  <c r="E254" i="25"/>
  <c r="E252" i="25"/>
  <c r="E250" i="25"/>
  <c r="E248" i="25"/>
  <c r="E246" i="25"/>
  <c r="E244" i="25"/>
  <c r="E242" i="25"/>
  <c r="E240" i="25"/>
  <c r="E238" i="25"/>
  <c r="E236" i="25"/>
  <c r="E234" i="25"/>
  <c r="E232" i="25"/>
  <c r="E230" i="25"/>
  <c r="E228" i="25"/>
  <c r="E226" i="25"/>
  <c r="F375" i="25"/>
  <c r="E362" i="25"/>
  <c r="F361" i="25"/>
  <c r="E346" i="25"/>
  <c r="F345" i="25"/>
  <c r="E343" i="25"/>
  <c r="F317" i="25"/>
  <c r="E316" i="25"/>
  <c r="E311" i="25"/>
  <c r="F285" i="25"/>
  <c r="E284" i="25"/>
  <c r="E279" i="25"/>
  <c r="F274" i="25"/>
  <c r="F266" i="25"/>
  <c r="F264" i="25"/>
  <c r="F263" i="25"/>
  <c r="E257" i="25"/>
  <c r="F256" i="25"/>
  <c r="F255" i="25"/>
  <c r="E249" i="25"/>
  <c r="F248" i="25"/>
  <c r="F247" i="25"/>
  <c r="E241" i="25"/>
  <c r="F240" i="25"/>
  <c r="F239" i="25"/>
  <c r="E233" i="25"/>
  <c r="F232" i="25"/>
  <c r="F231" i="25"/>
  <c r="E224" i="25"/>
  <c r="E222" i="25"/>
  <c r="E220" i="25"/>
  <c r="E218" i="25"/>
  <c r="E216" i="25"/>
  <c r="E214" i="25"/>
  <c r="E212" i="25"/>
  <c r="E210" i="25"/>
  <c r="E208" i="25"/>
  <c r="E206" i="25"/>
  <c r="E204" i="25"/>
  <c r="E202" i="25"/>
  <c r="E200" i="25"/>
  <c r="E198" i="25"/>
  <c r="E196" i="25"/>
  <c r="E194" i="25"/>
  <c r="E192" i="25"/>
  <c r="E190" i="25"/>
  <c r="E188" i="25"/>
  <c r="E186" i="25"/>
  <c r="E184" i="25"/>
  <c r="E182" i="25"/>
  <c r="E180" i="25"/>
  <c r="E178" i="25"/>
  <c r="E176" i="25"/>
  <c r="E174" i="25"/>
  <c r="E172" i="25"/>
  <c r="E170" i="25"/>
  <c r="E168" i="25"/>
  <c r="E166" i="25"/>
  <c r="E164" i="25"/>
  <c r="E162" i="25"/>
  <c r="E160" i="25"/>
  <c r="E158" i="25"/>
  <c r="E156" i="25"/>
  <c r="E154" i="25"/>
  <c r="E152" i="25"/>
  <c r="E150" i="25"/>
  <c r="E148" i="25"/>
  <c r="E146" i="25"/>
  <c r="E144" i="25"/>
  <c r="E142" i="25"/>
  <c r="E140" i="25"/>
  <c r="E138" i="25"/>
  <c r="E136" i="25"/>
  <c r="E134" i="25"/>
  <c r="E132" i="25"/>
  <c r="E130" i="25"/>
  <c r="E128" i="25"/>
  <c r="E126" i="25"/>
  <c r="E124" i="25"/>
  <c r="E122" i="25"/>
  <c r="E120" i="25"/>
  <c r="E350" i="25"/>
  <c r="F349" i="25"/>
  <c r="F341" i="25"/>
  <c r="E340" i="25"/>
  <c r="E335" i="25"/>
  <c r="F309" i="25"/>
  <c r="E308" i="25"/>
  <c r="E303" i="25"/>
  <c r="F276" i="25"/>
  <c r="F268" i="25"/>
  <c r="E263" i="25"/>
  <c r="F262" i="25"/>
  <c r="F261" i="25"/>
  <c r="E255" i="25"/>
  <c r="F254" i="25"/>
  <c r="F253" i="25"/>
  <c r="E247" i="25"/>
  <c r="F246" i="25"/>
  <c r="F245" i="25"/>
  <c r="E239" i="25"/>
  <c r="F238" i="25"/>
  <c r="F237" i="25"/>
  <c r="E231" i="25"/>
  <c r="F230" i="25"/>
  <c r="F229" i="25"/>
  <c r="F225" i="25"/>
  <c r="F223" i="25"/>
  <c r="F221" i="25"/>
  <c r="F367" i="25"/>
  <c r="E358" i="25"/>
  <c r="F357" i="25"/>
  <c r="F325" i="25"/>
  <c r="E324" i="25"/>
  <c r="E319" i="25"/>
  <c r="F293" i="25"/>
  <c r="E292" i="25"/>
  <c r="E287" i="25"/>
  <c r="F272" i="25"/>
  <c r="E259" i="25"/>
  <c r="F258" i="25"/>
  <c r="F257" i="25"/>
  <c r="E251" i="25"/>
  <c r="F250" i="25"/>
  <c r="F249" i="25"/>
  <c r="E243" i="25"/>
  <c r="F242" i="25"/>
  <c r="F241" i="25"/>
  <c r="E235" i="25"/>
  <c r="F234" i="25"/>
  <c r="F233" i="25"/>
  <c r="E227" i="25"/>
  <c r="F226" i="25"/>
  <c r="F224" i="25"/>
  <c r="F222" i="25"/>
  <c r="F220" i="25"/>
  <c r="F218" i="25"/>
  <c r="F216" i="25"/>
  <c r="F214" i="25"/>
  <c r="F212" i="25"/>
  <c r="F210" i="25"/>
  <c r="F208" i="25"/>
  <c r="F206" i="25"/>
  <c r="F204" i="25"/>
  <c r="F202" i="25"/>
  <c r="F200" i="25"/>
  <c r="F198" i="25"/>
  <c r="F196" i="25"/>
  <c r="F194" i="25"/>
  <c r="F192" i="25"/>
  <c r="F190" i="25"/>
  <c r="F188" i="25"/>
  <c r="F186" i="25"/>
  <c r="F184" i="25"/>
  <c r="F182" i="25"/>
  <c r="F180" i="25"/>
  <c r="F178" i="25"/>
  <c r="F176" i="25"/>
  <c r="F174" i="25"/>
  <c r="F172" i="25"/>
  <c r="F170" i="25"/>
  <c r="F168" i="25"/>
  <c r="F166" i="25"/>
  <c r="F164" i="25"/>
  <c r="F162" i="25"/>
  <c r="F160" i="25"/>
  <c r="F158" i="25"/>
  <c r="F156" i="25"/>
  <c r="F154" i="25"/>
  <c r="F152" i="25"/>
  <c r="F150" i="25"/>
  <c r="F148" i="25"/>
  <c r="F146" i="25"/>
  <c r="F144" i="25"/>
  <c r="F142" i="25"/>
  <c r="F140" i="25"/>
  <c r="F138" i="25"/>
  <c r="F136" i="25"/>
  <c r="F134" i="25"/>
  <c r="F132" i="25"/>
  <c r="F130" i="25"/>
  <c r="F128" i="25"/>
  <c r="F126" i="25"/>
  <c r="F124" i="25"/>
  <c r="F122" i="25"/>
  <c r="F120" i="25"/>
  <c r="F118" i="25"/>
  <c r="F116" i="25"/>
  <c r="F114" i="25"/>
  <c r="F112" i="25"/>
  <c r="F110" i="25"/>
  <c r="F108" i="25"/>
  <c r="F106" i="25"/>
  <c r="F104" i="25"/>
  <c r="F102" i="25"/>
  <c r="F100" i="25"/>
  <c r="F98" i="25"/>
  <c r="F96" i="25"/>
  <c r="F94" i="25"/>
  <c r="F92" i="25"/>
  <c r="F90" i="25"/>
  <c r="F88" i="25"/>
  <c r="F86" i="25"/>
  <c r="F84" i="25"/>
  <c r="F82" i="25"/>
  <c r="F80" i="25"/>
  <c r="F78" i="25"/>
  <c r="F76" i="25"/>
  <c r="F74" i="25"/>
  <c r="F72" i="25"/>
  <c r="F70" i="25"/>
  <c r="F68" i="25"/>
  <c r="F66" i="25"/>
  <c r="F64" i="25"/>
  <c r="F62" i="25"/>
  <c r="F60" i="25"/>
  <c r="F58" i="25"/>
  <c r="F56" i="25"/>
  <c r="F54" i="25"/>
  <c r="F52" i="25"/>
  <c r="F50" i="25"/>
  <c r="F48" i="25"/>
  <c r="F46" i="25"/>
  <c r="F44" i="25"/>
  <c r="F42" i="25"/>
  <c r="F40" i="25"/>
  <c r="F38" i="25"/>
  <c r="F36" i="25"/>
  <c r="F34" i="25"/>
  <c r="F32" i="25"/>
  <c r="F30" i="25"/>
  <c r="F353" i="25"/>
  <c r="F333" i="25"/>
  <c r="E295" i="25"/>
  <c r="E237" i="25"/>
  <c r="F236" i="25"/>
  <c r="F235" i="25"/>
  <c r="E221" i="25"/>
  <c r="E217" i="25"/>
  <c r="E213" i="25"/>
  <c r="E209" i="25"/>
  <c r="E205" i="25"/>
  <c r="E201" i="25"/>
  <c r="E197" i="25"/>
  <c r="E193" i="25"/>
  <c r="E189" i="25"/>
  <c r="E185" i="25"/>
  <c r="E181" i="25"/>
  <c r="E177" i="25"/>
  <c r="E173" i="25"/>
  <c r="E169" i="25"/>
  <c r="E165" i="25"/>
  <c r="E161" i="25"/>
  <c r="E157" i="25"/>
  <c r="E153" i="25"/>
  <c r="E149" i="25"/>
  <c r="E145" i="25"/>
  <c r="E141" i="25"/>
  <c r="E137" i="25"/>
  <c r="E133" i="25"/>
  <c r="E129" i="25"/>
  <c r="E125" i="25"/>
  <c r="E121" i="25"/>
  <c r="F119" i="25"/>
  <c r="E118" i="25"/>
  <c r="E113" i="25"/>
  <c r="F111" i="25"/>
  <c r="E110" i="25"/>
  <c r="E105" i="25"/>
  <c r="F103" i="25"/>
  <c r="E102" i="25"/>
  <c r="E97" i="25"/>
  <c r="F95" i="25"/>
  <c r="E94" i="25"/>
  <c r="E89" i="25"/>
  <c r="F87" i="25"/>
  <c r="E86" i="25"/>
  <c r="E81" i="25"/>
  <c r="F79" i="25"/>
  <c r="E78" i="25"/>
  <c r="E73" i="25"/>
  <c r="F71" i="25"/>
  <c r="E70" i="25"/>
  <c r="E65" i="25"/>
  <c r="F63" i="25"/>
  <c r="E62" i="25"/>
  <c r="E57" i="25"/>
  <c r="E38" i="25"/>
  <c r="F31" i="25"/>
  <c r="F301" i="25"/>
  <c r="E261" i="25"/>
  <c r="F260" i="25"/>
  <c r="F259" i="25"/>
  <c r="E229" i="25"/>
  <c r="F228" i="25"/>
  <c r="F227" i="25"/>
  <c r="E223" i="25"/>
  <c r="F219" i="25"/>
  <c r="F215" i="25"/>
  <c r="F211" i="25"/>
  <c r="F207" i="25"/>
  <c r="F203" i="25"/>
  <c r="F199" i="25"/>
  <c r="F195" i="25"/>
  <c r="F191" i="25"/>
  <c r="F187" i="25"/>
  <c r="F183" i="25"/>
  <c r="F179" i="25"/>
  <c r="F175" i="25"/>
  <c r="F171" i="25"/>
  <c r="F167" i="25"/>
  <c r="F163" i="25"/>
  <c r="F159" i="25"/>
  <c r="F155" i="25"/>
  <c r="F151" i="25"/>
  <c r="F147" i="25"/>
  <c r="F143" i="25"/>
  <c r="F139" i="25"/>
  <c r="F135" i="25"/>
  <c r="F131" i="25"/>
  <c r="F127" i="25"/>
  <c r="F123" i="25"/>
  <c r="E119" i="25"/>
  <c r="F117" i="25"/>
  <c r="E116" i="25"/>
  <c r="E111" i="25"/>
  <c r="F109" i="25"/>
  <c r="E108" i="25"/>
  <c r="E103" i="25"/>
  <c r="F101" i="25"/>
  <c r="E100" i="25"/>
  <c r="E95" i="25"/>
  <c r="F93" i="25"/>
  <c r="E92" i="25"/>
  <c r="E87" i="25"/>
  <c r="F85" i="25"/>
  <c r="E84" i="25"/>
  <c r="E79" i="25"/>
  <c r="F77" i="25"/>
  <c r="E76" i="25"/>
  <c r="E71" i="25"/>
  <c r="F69" i="25"/>
  <c r="E68" i="25"/>
  <c r="E63" i="25"/>
  <c r="F61" i="25"/>
  <c r="E60" i="25"/>
  <c r="E55" i="25"/>
  <c r="F53" i="25"/>
  <c r="E52" i="25"/>
  <c r="E47" i="25"/>
  <c r="F45" i="25"/>
  <c r="E44" i="25"/>
  <c r="E327" i="25"/>
  <c r="E300" i="25"/>
  <c r="F278" i="25"/>
  <c r="E245" i="25"/>
  <c r="F244" i="25"/>
  <c r="F243" i="25"/>
  <c r="F217" i="25"/>
  <c r="F213" i="25"/>
  <c r="F209" i="25"/>
  <c r="F205" i="25"/>
  <c r="F201" i="25"/>
  <c r="F197" i="25"/>
  <c r="F193" i="25"/>
  <c r="F189" i="25"/>
  <c r="F185" i="25"/>
  <c r="F181" i="25"/>
  <c r="F177" i="25"/>
  <c r="F173" i="25"/>
  <c r="F169" i="25"/>
  <c r="F165" i="25"/>
  <c r="F161" i="25"/>
  <c r="F157" i="25"/>
  <c r="F153" i="25"/>
  <c r="F149" i="25"/>
  <c r="F145" i="25"/>
  <c r="F141" i="25"/>
  <c r="F137" i="25"/>
  <c r="F133" i="25"/>
  <c r="F129" i="25"/>
  <c r="F125" i="25"/>
  <c r="F121" i="25"/>
  <c r="E115" i="25"/>
  <c r="F113" i="25"/>
  <c r="E112" i="25"/>
  <c r="E107" i="25"/>
  <c r="F105" i="25"/>
  <c r="E104" i="25"/>
  <c r="E99" i="25"/>
  <c r="F97" i="25"/>
  <c r="E96" i="25"/>
  <c r="E91" i="25"/>
  <c r="F89" i="25"/>
  <c r="E88" i="25"/>
  <c r="E83" i="25"/>
  <c r="F81" i="25"/>
  <c r="E80" i="25"/>
  <c r="E75" i="25"/>
  <c r="F73" i="25"/>
  <c r="E72" i="25"/>
  <c r="E67" i="25"/>
  <c r="F65" i="25"/>
  <c r="E64" i="25"/>
  <c r="E59" i="25"/>
  <c r="F57" i="25"/>
  <c r="E56" i="25"/>
  <c r="E51" i="25"/>
  <c r="F49" i="25"/>
  <c r="E48" i="25"/>
  <c r="E43" i="25"/>
  <c r="F41" i="25"/>
  <c r="E40" i="25"/>
  <c r="E35" i="25"/>
  <c r="F33" i="25"/>
  <c r="E32" i="25"/>
  <c r="F28" i="25"/>
  <c r="F26" i="25"/>
  <c r="F24" i="25"/>
  <c r="F22" i="25"/>
  <c r="F20" i="25"/>
  <c r="F18" i="25"/>
  <c r="F16" i="25"/>
  <c r="F14" i="25"/>
  <c r="F55" i="25"/>
  <c r="E54" i="25"/>
  <c r="E49" i="25"/>
  <c r="F47" i="25"/>
  <c r="E46" i="25"/>
  <c r="E41" i="25"/>
  <c r="F39" i="25"/>
  <c r="E33" i="25"/>
  <c r="E30" i="25"/>
  <c r="E28" i="25"/>
  <c r="E26" i="25"/>
  <c r="F270" i="25"/>
  <c r="E253" i="25"/>
  <c r="F251" i="25"/>
  <c r="E225" i="25"/>
  <c r="E215" i="25"/>
  <c r="E199" i="25"/>
  <c r="E183" i="25"/>
  <c r="E167" i="25"/>
  <c r="E151" i="25"/>
  <c r="E135" i="25"/>
  <c r="F99" i="25"/>
  <c r="E98" i="25"/>
  <c r="E93" i="25"/>
  <c r="F67" i="25"/>
  <c r="E66" i="25"/>
  <c r="E61" i="25"/>
  <c r="E39" i="25"/>
  <c r="F35" i="25"/>
  <c r="F29" i="25"/>
  <c r="F27" i="25"/>
  <c r="E23" i="25"/>
  <c r="F21" i="25"/>
  <c r="E15" i="25"/>
  <c r="F13" i="25"/>
  <c r="E13" i="25"/>
  <c r="F83" i="25"/>
  <c r="E50" i="25"/>
  <c r="F37" i="25"/>
  <c r="F25" i="25"/>
  <c r="F17" i="25"/>
  <c r="E16" i="25"/>
  <c r="E354" i="25"/>
  <c r="E332" i="25"/>
  <c r="E219" i="25"/>
  <c r="E203" i="25"/>
  <c r="E187" i="25"/>
  <c r="E171" i="25"/>
  <c r="E155" i="25"/>
  <c r="E139" i="25"/>
  <c r="E123" i="25"/>
  <c r="E117" i="25"/>
  <c r="F91" i="25"/>
  <c r="E90" i="25"/>
  <c r="E85" i="25"/>
  <c r="F59" i="25"/>
  <c r="E58" i="25"/>
  <c r="E53" i="25"/>
  <c r="E29" i="25"/>
  <c r="E27" i="25"/>
  <c r="E21" i="25"/>
  <c r="F19" i="25"/>
  <c r="E18" i="25"/>
  <c r="E207" i="25"/>
  <c r="E114" i="25"/>
  <c r="E109" i="25"/>
  <c r="E82" i="25"/>
  <c r="E77" i="25"/>
  <c r="E45" i="25"/>
  <c r="E24" i="25"/>
  <c r="E211" i="25"/>
  <c r="E195" i="25"/>
  <c r="E179" i="25"/>
  <c r="E163" i="25"/>
  <c r="E147" i="25"/>
  <c r="E131" i="25"/>
  <c r="F107" i="25"/>
  <c r="E106" i="25"/>
  <c r="E101" i="25"/>
  <c r="F75" i="25"/>
  <c r="E74" i="25"/>
  <c r="E69" i="25"/>
  <c r="F43" i="25"/>
  <c r="E42" i="25"/>
  <c r="E37" i="25"/>
  <c r="E36" i="25"/>
  <c r="E34" i="25"/>
  <c r="E25" i="25"/>
  <c r="F23" i="25"/>
  <c r="E22" i="25"/>
  <c r="E17" i="25"/>
  <c r="F15" i="25"/>
  <c r="E14" i="25"/>
  <c r="E20" i="25"/>
  <c r="F252" i="25"/>
  <c r="E191" i="25"/>
  <c r="E175" i="25"/>
  <c r="E159" i="25"/>
  <c r="E143" i="25"/>
  <c r="E127" i="25"/>
  <c r="F115" i="25"/>
  <c r="F51" i="25"/>
  <c r="E31" i="25"/>
  <c r="E19" i="25"/>
  <c r="E626" i="25"/>
  <c r="F626" i="25"/>
  <c r="E628" i="25"/>
  <c r="F628" i="25"/>
  <c r="AJ64" i="23"/>
  <c r="AF64" i="23"/>
  <c r="AJ106" i="23"/>
  <c r="AF106" i="23"/>
  <c r="AJ99" i="23"/>
  <c r="AF99" i="23"/>
  <c r="AF73" i="23"/>
  <c r="AJ73" i="23"/>
  <c r="AJ90" i="23"/>
  <c r="AF90" i="23"/>
  <c r="AF22" i="23"/>
  <c r="AJ22" i="23"/>
  <c r="AF28" i="23"/>
  <c r="AJ28" i="23"/>
  <c r="AF11" i="23"/>
  <c r="AJ11" i="23"/>
  <c r="AJ81" i="23"/>
  <c r="AF81" i="23"/>
  <c r="AJ52" i="23"/>
  <c r="AF52" i="23"/>
  <c r="AF71" i="23"/>
  <c r="AJ71" i="23"/>
  <c r="AF42" i="23"/>
  <c r="AJ42" i="23"/>
  <c r="AF53" i="23"/>
  <c r="AJ53" i="23"/>
  <c r="AJ21" i="23"/>
  <c r="AF21" i="23"/>
  <c r="AF13" i="23"/>
  <c r="AJ13" i="23"/>
  <c r="AF107" i="23"/>
  <c r="AJ107" i="23"/>
  <c r="AJ74" i="23"/>
  <c r="AF74" i="23"/>
  <c r="AF77" i="23"/>
  <c r="AJ77" i="23"/>
  <c r="AJ95" i="23"/>
  <c r="AF95" i="23"/>
  <c r="AJ25" i="23"/>
  <c r="AF25" i="23"/>
  <c r="AJ33" i="23"/>
  <c r="AF33" i="23"/>
  <c r="AF68" i="23"/>
  <c r="AJ68" i="23"/>
  <c r="AF40" i="23"/>
  <c r="AJ40" i="23"/>
  <c r="AF96" i="23"/>
  <c r="AJ96" i="23"/>
  <c r="AJ10" i="23"/>
  <c r="AF10" i="23"/>
  <c r="AF70" i="23"/>
  <c r="AJ70" i="23"/>
  <c r="AJ75" i="23"/>
  <c r="AF75" i="23"/>
  <c r="AJ35" i="23"/>
  <c r="AF35" i="23"/>
  <c r="AJ61" i="23"/>
  <c r="AF61" i="23"/>
  <c r="AF46" i="23"/>
  <c r="AJ46" i="23"/>
  <c r="AJ57" i="23"/>
  <c r="AF57" i="23"/>
  <c r="AJ51" i="23"/>
  <c r="AF51" i="23"/>
  <c r="AJ84" i="23"/>
  <c r="AF84" i="23"/>
  <c r="AJ103" i="23"/>
  <c r="AF103" i="23"/>
  <c r="AJ27" i="23"/>
  <c r="AF27" i="23"/>
  <c r="AJ85" i="23"/>
  <c r="AF85" i="23"/>
  <c r="AF49" i="23"/>
  <c r="AJ49" i="23"/>
  <c r="AJ38" i="23"/>
  <c r="AF38" i="23"/>
  <c r="AJ65" i="23"/>
  <c r="AF65" i="23"/>
  <c r="AJ37" i="23"/>
  <c r="AF37" i="23"/>
  <c r="AF78" i="23"/>
  <c r="AJ78" i="23"/>
  <c r="AJ94" i="23"/>
  <c r="AF94" i="23"/>
  <c r="AJ63" i="23"/>
  <c r="AF63" i="23"/>
  <c r="AF17" i="23"/>
  <c r="AJ17" i="23"/>
  <c r="AF23" i="23"/>
  <c r="AJ23" i="23"/>
  <c r="AJ100" i="23"/>
  <c r="AF100" i="23"/>
  <c r="AF39" i="23"/>
  <c r="AJ39" i="23"/>
  <c r="AJ50" i="23"/>
  <c r="AF50" i="23"/>
  <c r="AJ69" i="23"/>
  <c r="AF69" i="23"/>
  <c r="AJ31" i="23"/>
  <c r="AF31" i="23"/>
  <c r="AF15" i="23"/>
  <c r="AJ15" i="23"/>
  <c r="AJ79" i="23"/>
  <c r="AF79" i="23"/>
  <c r="AF83" i="23"/>
  <c r="AJ83" i="23"/>
  <c r="AJ72" i="23"/>
  <c r="AF72" i="23"/>
  <c r="AF54" i="23"/>
  <c r="AJ54" i="23"/>
  <c r="AJ32" i="23"/>
  <c r="AF32" i="23"/>
  <c r="AJ66" i="23"/>
  <c r="AF66" i="23"/>
  <c r="AJ14" i="23"/>
  <c r="AF14" i="23"/>
  <c r="AF98" i="23"/>
  <c r="AJ98" i="23"/>
  <c r="AF19" i="23"/>
  <c r="AJ19" i="23"/>
  <c r="AF80" i="23"/>
  <c r="AJ80" i="23"/>
  <c r="AJ56" i="23"/>
  <c r="AF56" i="23"/>
  <c r="AJ44" i="23"/>
  <c r="AF44" i="23"/>
  <c r="AF101" i="23"/>
  <c r="AJ101" i="23"/>
  <c r="AF48" i="23"/>
  <c r="AJ48" i="23"/>
  <c r="AF82" i="23"/>
  <c r="AJ82" i="23"/>
  <c r="AJ45" i="23"/>
  <c r="AF45" i="23"/>
  <c r="AJ34" i="23"/>
  <c r="AF34" i="23"/>
  <c r="AF91" i="23"/>
  <c r="AJ91" i="23"/>
  <c r="AJ26" i="23"/>
  <c r="AF26" i="23"/>
  <c r="AJ108" i="23"/>
  <c r="AF108" i="23"/>
  <c r="AJ102" i="23"/>
  <c r="AF102" i="23"/>
  <c r="AJ20" i="23"/>
  <c r="AF20" i="23"/>
  <c r="AF104" i="23"/>
  <c r="AJ104" i="23"/>
  <c r="AJ18" i="23"/>
  <c r="AF18" i="23"/>
  <c r="AJ105" i="23"/>
  <c r="AF105" i="23"/>
  <c r="AJ29" i="23"/>
  <c r="AF29" i="23"/>
  <c r="AJ41" i="23"/>
  <c r="AF41" i="23"/>
  <c r="AF55" i="23"/>
  <c r="AJ55" i="23"/>
  <c r="AJ43" i="23"/>
  <c r="AF43" i="23"/>
  <c r="AF92" i="23"/>
  <c r="AJ92" i="23"/>
  <c r="AJ12" i="23"/>
  <c r="AF12" i="23"/>
  <c r="AJ62" i="23"/>
  <c r="AF62" i="23"/>
  <c r="AF59" i="23"/>
  <c r="AJ59" i="23"/>
  <c r="AJ67" i="23"/>
  <c r="AF67" i="23"/>
  <c r="AF36" i="23"/>
  <c r="AJ36" i="23"/>
  <c r="AF88" i="23"/>
  <c r="AJ88" i="23"/>
  <c r="N9" i="23"/>
  <c r="AL70" i="21"/>
  <c r="AL54" i="21"/>
  <c r="AL10" i="21"/>
  <c r="AL95" i="21"/>
  <c r="AL79" i="21"/>
  <c r="AL63" i="21"/>
  <c r="AL31" i="21"/>
  <c r="V17" i="23"/>
  <c r="V59" i="23"/>
  <c r="V80" i="23"/>
  <c r="AL84" i="21"/>
  <c r="AL68" i="21"/>
  <c r="AL52" i="21"/>
  <c r="AL20" i="21"/>
  <c r="AL109" i="21"/>
  <c r="AL93" i="21"/>
  <c r="AL77" i="21"/>
  <c r="AL61" i="21"/>
  <c r="AL45" i="21"/>
  <c r="AL21" i="21"/>
  <c r="B69" i="23"/>
  <c r="B68" i="21"/>
  <c r="B69" i="21" s="1"/>
  <c r="V36" i="23"/>
  <c r="V18" i="23"/>
  <c r="V34" i="23"/>
  <c r="V72" i="23"/>
  <c r="V83" i="23"/>
  <c r="V88" i="23"/>
  <c r="V102" i="23"/>
  <c r="AL98" i="21"/>
  <c r="AL90" i="21"/>
  <c r="AL82" i="21"/>
  <c r="AL74" i="21"/>
  <c r="AL66" i="21"/>
  <c r="AL58" i="21"/>
  <c r="AL34" i="21"/>
  <c r="AL18" i="21"/>
  <c r="AL99" i="21"/>
  <c r="AL91" i="21"/>
  <c r="AL83" i="21"/>
  <c r="AL75" i="21"/>
  <c r="AL67" i="21"/>
  <c r="AL59" i="21"/>
  <c r="AL35" i="21"/>
  <c r="AL27" i="21"/>
  <c r="AL38" i="21"/>
  <c r="V29" i="23"/>
  <c r="V64" i="23"/>
  <c r="V91" i="23"/>
  <c r="V107" i="23"/>
  <c r="AL78" i="21"/>
  <c r="AL62" i="21"/>
  <c r="AL46" i="21"/>
  <c r="AL30" i="21"/>
  <c r="AL14" i="21"/>
  <c r="AL103" i="21"/>
  <c r="AL87" i="21"/>
  <c r="AL71" i="21"/>
  <c r="AL55" i="21"/>
  <c r="AL39" i="21"/>
  <c r="AL15" i="21"/>
  <c r="AL108" i="21"/>
  <c r="AL60" i="21"/>
  <c r="AL44" i="21"/>
  <c r="AL85" i="21"/>
  <c r="AL69" i="21"/>
  <c r="AL13" i="21"/>
  <c r="V10" i="23"/>
  <c r="V101" i="23"/>
  <c r="V82" i="23"/>
  <c r="V100" i="23"/>
  <c r="AL88" i="21"/>
  <c r="AL80" i="21"/>
  <c r="AL72" i="21"/>
  <c r="AL56" i="21"/>
  <c r="AL24" i="21"/>
  <c r="AL16" i="21"/>
  <c r="AL97" i="21"/>
  <c r="AL89" i="21"/>
  <c r="AL81" i="21"/>
  <c r="AL73" i="21"/>
  <c r="AL33" i="21"/>
  <c r="AL25" i="21"/>
  <c r="AL17" i="21"/>
  <c r="B80" i="23"/>
  <c r="AL104" i="21"/>
  <c r="AL11" i="21"/>
  <c r="V43" i="23"/>
  <c r="V75" i="23"/>
  <c r="V105" i="23"/>
  <c r="AL19" i="21"/>
  <c r="AL94" i="21"/>
  <c r="AL40" i="21"/>
  <c r="AL41" i="21"/>
  <c r="AL48" i="21"/>
  <c r="AL49" i="21"/>
  <c r="AL106" i="21"/>
  <c r="AL102" i="21"/>
  <c r="AL107" i="21"/>
  <c r="AL100" i="21"/>
  <c r="AL36" i="21"/>
  <c r="AL101" i="21"/>
  <c r="AL37" i="21"/>
  <c r="AL92" i="21"/>
  <c r="AL28" i="21"/>
  <c r="AL29" i="21"/>
  <c r="AL51" i="21"/>
  <c r="AL47" i="21"/>
  <c r="AL57" i="21"/>
  <c r="AL23" i="21"/>
  <c r="AL53" i="21"/>
  <c r="AL43" i="21"/>
  <c r="AL64" i="21"/>
  <c r="AL65" i="21"/>
  <c r="AL26" i="21"/>
  <c r="AL86" i="21"/>
  <c r="AL22" i="21"/>
  <c r="AL96" i="21"/>
  <c r="AL32" i="21"/>
  <c r="AL76" i="21"/>
  <c r="AL12" i="21"/>
  <c r="AF9" i="21"/>
  <c r="V9" i="21"/>
  <c r="R9" i="21"/>
  <c r="AN9" i="21" s="1"/>
  <c r="AJ9" i="21"/>
  <c r="AB9" i="21"/>
  <c r="AH9" i="21"/>
  <c r="Y9" i="21"/>
  <c r="M94" i="21"/>
  <c r="N94" i="21" s="1"/>
  <c r="M62" i="21"/>
  <c r="N62" i="21" s="1"/>
  <c r="M38" i="21"/>
  <c r="M14" i="21"/>
  <c r="M103" i="21"/>
  <c r="M87" i="21"/>
  <c r="N87" i="21" s="1"/>
  <c r="M71" i="21"/>
  <c r="N71" i="21" s="1"/>
  <c r="M47" i="21"/>
  <c r="M31" i="21"/>
  <c r="M15" i="21"/>
  <c r="N15" i="21" s="1"/>
  <c r="M11" i="21"/>
  <c r="N11" i="21" s="1"/>
  <c r="M104" i="21"/>
  <c r="N104" i="21" s="1"/>
  <c r="M96" i="21"/>
  <c r="N96" i="21" s="1"/>
  <c r="M88" i="21"/>
  <c r="N88" i="21" s="1"/>
  <c r="M80" i="21"/>
  <c r="M72" i="21"/>
  <c r="N72" i="21" s="1"/>
  <c r="M64" i="21"/>
  <c r="N64" i="21" s="1"/>
  <c r="M56" i="21"/>
  <c r="N56" i="21" s="1"/>
  <c r="M48" i="21"/>
  <c r="N48" i="21" s="1"/>
  <c r="M40" i="21"/>
  <c r="N40" i="21" s="1"/>
  <c r="M32" i="21"/>
  <c r="N32" i="21" s="1"/>
  <c r="M24" i="21"/>
  <c r="N24" i="21" s="1"/>
  <c r="M16" i="21"/>
  <c r="M105" i="21"/>
  <c r="M97" i="21"/>
  <c r="N97" i="21" s="1"/>
  <c r="M89" i="21"/>
  <c r="N89" i="21" s="1"/>
  <c r="M81" i="21"/>
  <c r="N81" i="21" s="1"/>
  <c r="M73" i="21"/>
  <c r="N73" i="21" s="1"/>
  <c r="M65" i="21"/>
  <c r="N65" i="21" s="1"/>
  <c r="M57" i="21"/>
  <c r="N57" i="21" s="1"/>
  <c r="M49" i="21"/>
  <c r="M41" i="21"/>
  <c r="N41" i="21" s="1"/>
  <c r="M33" i="21"/>
  <c r="N33" i="21" s="1"/>
  <c r="M25" i="21"/>
  <c r="N25" i="21" s="1"/>
  <c r="M17" i="21"/>
  <c r="M12" i="21"/>
  <c r="N12" i="21" s="1"/>
  <c r="M86" i="21"/>
  <c r="N86" i="21" s="1"/>
  <c r="M70" i="21"/>
  <c r="N70" i="21" s="1"/>
  <c r="M46" i="21"/>
  <c r="M22" i="21"/>
  <c r="M10" i="21"/>
  <c r="N10" i="21" s="1"/>
  <c r="M95" i="21"/>
  <c r="N95" i="21" s="1"/>
  <c r="M79" i="21"/>
  <c r="N79" i="21" s="1"/>
  <c r="M55" i="21"/>
  <c r="N55" i="21" s="1"/>
  <c r="M39" i="21"/>
  <c r="M23" i="21"/>
  <c r="N23" i="21" s="1"/>
  <c r="M108" i="21"/>
  <c r="M100" i="21"/>
  <c r="N100" i="21" s="1"/>
  <c r="M92" i="21"/>
  <c r="N92" i="21" s="1"/>
  <c r="M84" i="21"/>
  <c r="N84" i="21" s="1"/>
  <c r="M76" i="21"/>
  <c r="M68" i="21"/>
  <c r="N68" i="21" s="1"/>
  <c r="M60" i="21"/>
  <c r="N60" i="21" s="1"/>
  <c r="M52" i="21"/>
  <c r="N52" i="21" s="1"/>
  <c r="M44" i="21"/>
  <c r="N44" i="21" s="1"/>
  <c r="M36" i="21"/>
  <c r="N36" i="21" s="1"/>
  <c r="M28" i="21"/>
  <c r="N28" i="21" s="1"/>
  <c r="M20" i="21"/>
  <c r="N20" i="21" s="1"/>
  <c r="M109" i="21"/>
  <c r="M101" i="21"/>
  <c r="N101" i="21" s="1"/>
  <c r="M93" i="21"/>
  <c r="N93" i="21" s="1"/>
  <c r="M85" i="21"/>
  <c r="N85" i="21" s="1"/>
  <c r="M77" i="21"/>
  <c r="M69" i="21"/>
  <c r="N69" i="21" s="1"/>
  <c r="M61" i="21"/>
  <c r="N61" i="21" s="1"/>
  <c r="M53" i="21"/>
  <c r="N53" i="21" s="1"/>
  <c r="M45" i="21"/>
  <c r="N45" i="21" s="1"/>
  <c r="M37" i="21"/>
  <c r="M29" i="21"/>
  <c r="N29" i="21" s="1"/>
  <c r="M21" i="21"/>
  <c r="N21" i="21" s="1"/>
  <c r="M13" i="21"/>
  <c r="N13" i="21" s="1"/>
  <c r="M102" i="21"/>
  <c r="M78" i="21"/>
  <c r="N78" i="21" s="1"/>
  <c r="M54" i="21"/>
  <c r="N54" i="21" s="1"/>
  <c r="M30" i="21"/>
  <c r="N30" i="21" s="1"/>
  <c r="M63" i="21"/>
  <c r="N63" i="21" s="1"/>
  <c r="M106" i="21"/>
  <c r="N106" i="21" s="1"/>
  <c r="M98" i="21"/>
  <c r="N98" i="21" s="1"/>
  <c r="M90" i="21"/>
  <c r="N90" i="21" s="1"/>
  <c r="M82" i="21"/>
  <c r="M74" i="21"/>
  <c r="N74" i="21" s="1"/>
  <c r="M66" i="21"/>
  <c r="N66" i="21" s="1"/>
  <c r="M58" i="21"/>
  <c r="N58" i="21" s="1"/>
  <c r="M50" i="21"/>
  <c r="N50" i="21" s="1"/>
  <c r="M42" i="21"/>
  <c r="N42" i="21" s="1"/>
  <c r="M34" i="21"/>
  <c r="N34" i="21" s="1"/>
  <c r="M26" i="21"/>
  <c r="M18" i="21"/>
  <c r="M107" i="21"/>
  <c r="N107" i="21" s="1"/>
  <c r="M99" i="21"/>
  <c r="N99" i="21" s="1"/>
  <c r="M91" i="21"/>
  <c r="N91" i="21" s="1"/>
  <c r="M83" i="21"/>
  <c r="N83" i="21" s="1"/>
  <c r="M75" i="21"/>
  <c r="M67" i="21"/>
  <c r="N67" i="21" s="1"/>
  <c r="M59" i="21"/>
  <c r="N59" i="21" s="1"/>
  <c r="M51" i="21"/>
  <c r="N51" i="21" s="1"/>
  <c r="M43" i="21"/>
  <c r="M35" i="21"/>
  <c r="N35" i="21" s="1"/>
  <c r="M27" i="21"/>
  <c r="N27" i="21" s="1"/>
  <c r="M19" i="21"/>
  <c r="N19" i="21" s="1"/>
  <c r="O36" i="8"/>
  <c r="C75" i="1" s="1"/>
  <c r="D75" i="1" s="1"/>
  <c r="N36" i="8"/>
  <c r="I4" i="8"/>
  <c r="D191" i="2"/>
  <c r="K3" i="17"/>
  <c r="E563" i="17" s="1"/>
  <c r="B9" i="8"/>
  <c r="B8" i="8" s="1"/>
  <c r="B7" i="8" s="1"/>
  <c r="B6" i="8" s="1"/>
  <c r="B4" i="8" s="1"/>
  <c r="D111" i="2"/>
  <c r="D114" i="2" s="1"/>
  <c r="J39" i="1" s="1"/>
  <c r="J34" i="1"/>
  <c r="D125" i="2"/>
  <c r="J36" i="1" s="1"/>
  <c r="AU12" i="21"/>
  <c r="L12" i="21"/>
  <c r="AU106" i="21"/>
  <c r="L106" i="21"/>
  <c r="AU102" i="21"/>
  <c r="L102" i="21"/>
  <c r="AU98" i="21"/>
  <c r="L98" i="21"/>
  <c r="AU94" i="21"/>
  <c r="L94" i="21"/>
  <c r="AU90" i="21"/>
  <c r="L90" i="21"/>
  <c r="AU86" i="21"/>
  <c r="L86" i="21"/>
  <c r="AU82" i="21"/>
  <c r="L82" i="21"/>
  <c r="AU78" i="21"/>
  <c r="L78" i="21"/>
  <c r="AU74" i="21"/>
  <c r="L74" i="21"/>
  <c r="AU70" i="21"/>
  <c r="L70" i="21"/>
  <c r="AU66" i="21"/>
  <c r="L66" i="21"/>
  <c r="AU62" i="21"/>
  <c r="L62" i="21"/>
  <c r="AU58" i="21"/>
  <c r="L58" i="21"/>
  <c r="AU54" i="21"/>
  <c r="L54" i="21"/>
  <c r="AU50" i="21"/>
  <c r="L50" i="21"/>
  <c r="AU46" i="21"/>
  <c r="L46" i="21"/>
  <c r="AU42" i="21"/>
  <c r="L42" i="21"/>
  <c r="AU38" i="21"/>
  <c r="L38" i="21"/>
  <c r="AU34" i="21"/>
  <c r="L34" i="21"/>
  <c r="AU30" i="21"/>
  <c r="L30" i="21"/>
  <c r="AU26" i="21"/>
  <c r="L26" i="21"/>
  <c r="AU22" i="21"/>
  <c r="L22" i="21"/>
  <c r="AU18" i="21"/>
  <c r="L18" i="21"/>
  <c r="AU14" i="21"/>
  <c r="L14" i="21"/>
  <c r="AU10" i="21"/>
  <c r="L10" i="21"/>
  <c r="AU107" i="21"/>
  <c r="L107" i="21"/>
  <c r="AU103" i="21"/>
  <c r="L103" i="21"/>
  <c r="AU99" i="21"/>
  <c r="L99" i="21"/>
  <c r="AU95" i="21"/>
  <c r="L95" i="21"/>
  <c r="AU91" i="21"/>
  <c r="L91" i="21"/>
  <c r="AU87" i="21"/>
  <c r="L87" i="21"/>
  <c r="AU83" i="21"/>
  <c r="L83" i="21"/>
  <c r="AU79" i="21"/>
  <c r="L79" i="21"/>
  <c r="AU75" i="21"/>
  <c r="L75" i="21"/>
  <c r="AU71" i="21"/>
  <c r="L71" i="21"/>
  <c r="AU67" i="21"/>
  <c r="L67" i="21"/>
  <c r="AU63" i="21"/>
  <c r="L63" i="21"/>
  <c r="AU59" i="21"/>
  <c r="L59" i="21"/>
  <c r="AU55" i="21"/>
  <c r="L55" i="21"/>
  <c r="AU51" i="21"/>
  <c r="L51" i="21"/>
  <c r="AU47" i="21"/>
  <c r="L47" i="21"/>
  <c r="AU43" i="21"/>
  <c r="L43" i="21"/>
  <c r="AU39" i="21"/>
  <c r="L39" i="21"/>
  <c r="AU35" i="21"/>
  <c r="L35" i="21"/>
  <c r="AU31" i="21"/>
  <c r="L31" i="21"/>
  <c r="AU27" i="21"/>
  <c r="L27" i="21"/>
  <c r="AU23" i="21"/>
  <c r="L23" i="21"/>
  <c r="AU19" i="21"/>
  <c r="L19" i="21"/>
  <c r="AU15" i="21"/>
  <c r="L15" i="21"/>
  <c r="AU11" i="21"/>
  <c r="L11" i="21"/>
  <c r="AU108" i="21"/>
  <c r="L108" i="21"/>
  <c r="AU104" i="21"/>
  <c r="L104" i="21"/>
  <c r="AU100" i="21"/>
  <c r="L100" i="21"/>
  <c r="AU96" i="21"/>
  <c r="L96" i="21"/>
  <c r="AU92" i="21"/>
  <c r="L92" i="21"/>
  <c r="AU88" i="21"/>
  <c r="L88" i="21"/>
  <c r="AU84" i="21"/>
  <c r="L84" i="21"/>
  <c r="AU80" i="21"/>
  <c r="L80" i="21"/>
  <c r="AU76" i="21"/>
  <c r="L76" i="21"/>
  <c r="AU72" i="21"/>
  <c r="L72" i="21"/>
  <c r="AU68" i="21"/>
  <c r="L68" i="21"/>
  <c r="AU64" i="21"/>
  <c r="L64" i="21"/>
  <c r="AU60" i="21"/>
  <c r="L60" i="21"/>
  <c r="AU56" i="21"/>
  <c r="L56" i="21"/>
  <c r="AU52" i="21"/>
  <c r="L52" i="21"/>
  <c r="AU48" i="21"/>
  <c r="L48" i="21"/>
  <c r="AU44" i="21"/>
  <c r="L44" i="21"/>
  <c r="AU40" i="21"/>
  <c r="L40" i="21"/>
  <c r="AU36" i="21"/>
  <c r="L36" i="21"/>
  <c r="AU32" i="21"/>
  <c r="L32" i="21"/>
  <c r="AU28" i="21"/>
  <c r="L28" i="21"/>
  <c r="AU24" i="21"/>
  <c r="L24" i="21"/>
  <c r="AU20" i="21"/>
  <c r="L20" i="21"/>
  <c r="AU16" i="21"/>
  <c r="L16" i="21"/>
  <c r="AU109" i="21"/>
  <c r="L109" i="21"/>
  <c r="AU105" i="21"/>
  <c r="L105" i="21"/>
  <c r="AU101" i="21"/>
  <c r="L101" i="21"/>
  <c r="AU97" i="21"/>
  <c r="L97" i="21"/>
  <c r="AU93" i="21"/>
  <c r="L93" i="21"/>
  <c r="AU89" i="21"/>
  <c r="L89" i="21"/>
  <c r="AU85" i="21"/>
  <c r="L85" i="21"/>
  <c r="AU81" i="21"/>
  <c r="L81" i="21"/>
  <c r="AU77" i="21"/>
  <c r="L77" i="21"/>
  <c r="AU73" i="21"/>
  <c r="L73" i="21"/>
  <c r="AU69" i="21"/>
  <c r="L69" i="21"/>
  <c r="AU65" i="21"/>
  <c r="L65" i="21"/>
  <c r="AU61" i="21"/>
  <c r="L61" i="21"/>
  <c r="AU57" i="21"/>
  <c r="L57" i="21"/>
  <c r="AU53" i="21"/>
  <c r="L53" i="21"/>
  <c r="AU49" i="21"/>
  <c r="L49" i="21"/>
  <c r="AU45" i="21"/>
  <c r="L45" i="21"/>
  <c r="AU41" i="21"/>
  <c r="L41" i="21"/>
  <c r="AU37" i="21"/>
  <c r="L37" i="21"/>
  <c r="AU33" i="21"/>
  <c r="L33" i="21"/>
  <c r="AU29" i="21"/>
  <c r="L29" i="21"/>
  <c r="AU25" i="21"/>
  <c r="L25" i="21"/>
  <c r="AU21" i="21"/>
  <c r="L21" i="21"/>
  <c r="AU17" i="21"/>
  <c r="L17" i="21"/>
  <c r="AU13" i="21"/>
  <c r="L13" i="21"/>
  <c r="B73" i="21"/>
  <c r="B45" i="21"/>
  <c r="B72" i="21"/>
  <c r="B318" i="2"/>
  <c r="B177" i="2"/>
  <c r="B362" i="2" s="1"/>
  <c r="B319" i="2"/>
  <c r="B214" i="2"/>
  <c r="B192" i="2"/>
  <c r="C3" i="17"/>
  <c r="B25" i="2"/>
  <c r="B23" i="2"/>
  <c r="B24" i="2"/>
  <c r="G159" i="8"/>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B35" i="2"/>
  <c r="B380" i="2"/>
  <c r="O11" i="8"/>
  <c r="B240" i="2" s="1"/>
  <c r="C66" i="16"/>
  <c r="D66" i="16" s="1"/>
  <c r="B50" i="2"/>
  <c r="E62" i="1"/>
  <c r="AF16" i="23" l="1"/>
  <c r="AJ16" i="23"/>
  <c r="AJ60" i="23"/>
  <c r="AF60" i="23"/>
  <c r="O14" i="23"/>
  <c r="AJ87" i="23"/>
  <c r="V87" i="23"/>
  <c r="W87" i="23" s="1"/>
  <c r="X87" i="23" s="1"/>
  <c r="AF87" i="23"/>
  <c r="O87" i="23"/>
  <c r="B113" i="2"/>
  <c r="AF47" i="23"/>
  <c r="AJ89" i="23"/>
  <c r="AJ47" i="23"/>
  <c r="AF86" i="23"/>
  <c r="AJ58" i="23"/>
  <c r="AF58" i="23"/>
  <c r="P80" i="23"/>
  <c r="Q80" i="23" s="1"/>
  <c r="AE80" i="23" s="1"/>
  <c r="O86" i="23"/>
  <c r="O47" i="23"/>
  <c r="P19" i="23"/>
  <c r="Q19" i="23" s="1"/>
  <c r="AE19" i="23" s="1"/>
  <c r="P16" i="23"/>
  <c r="Q16" i="23" s="1"/>
  <c r="AE16" i="23" s="1"/>
  <c r="P60" i="23"/>
  <c r="Q60" i="23" s="1"/>
  <c r="AE60" i="23" s="1"/>
  <c r="AJ86" i="23"/>
  <c r="V89" i="23"/>
  <c r="W89" i="23" s="1"/>
  <c r="X89" i="23" s="1"/>
  <c r="AF89" i="23"/>
  <c r="P97" i="23"/>
  <c r="Q97" i="23" s="1"/>
  <c r="AE97" i="23" s="1"/>
  <c r="P58" i="23"/>
  <c r="Q58" i="23" s="1"/>
  <c r="AE58" i="23" s="1"/>
  <c r="AF97" i="23"/>
  <c r="AJ97" i="23"/>
  <c r="O109" i="23"/>
  <c r="AJ109" i="23"/>
  <c r="AF109" i="23"/>
  <c r="AJ93" i="23"/>
  <c r="V24" i="23"/>
  <c r="W24" i="23" s="1"/>
  <c r="X24" i="23" s="1"/>
  <c r="AF24" i="23"/>
  <c r="O89" i="23"/>
  <c r="O76" i="23"/>
  <c r="AJ24" i="23"/>
  <c r="AF93" i="23"/>
  <c r="AJ30" i="23"/>
  <c r="P93" i="23"/>
  <c r="Q93" i="23" s="1"/>
  <c r="AE93" i="23" s="1"/>
  <c r="P24" i="23"/>
  <c r="Q24" i="23" s="1"/>
  <c r="AE24" i="23" s="1"/>
  <c r="AF30" i="23"/>
  <c r="P30" i="23"/>
  <c r="Q30" i="23" s="1"/>
  <c r="AE30" i="23" s="1"/>
  <c r="O93" i="23"/>
  <c r="AJ76" i="23"/>
  <c r="P76" i="23"/>
  <c r="Q76" i="23" s="1"/>
  <c r="AE76" i="23" s="1"/>
  <c r="B131" i="2"/>
  <c r="B211" i="2"/>
  <c r="B207" i="2"/>
  <c r="F3" i="17" s="1"/>
  <c r="B186" i="2"/>
  <c r="B191" i="2"/>
  <c r="B225" i="2"/>
  <c r="D97" i="2"/>
  <c r="D101" i="2" s="1"/>
  <c r="D105" i="2" s="1"/>
  <c r="J21" i="1" s="1"/>
  <c r="D65" i="2"/>
  <c r="D60" i="2"/>
  <c r="D67" i="2"/>
  <c r="D79" i="2"/>
  <c r="D88" i="2" s="1"/>
  <c r="J18" i="1" s="1"/>
  <c r="P9" i="23"/>
  <c r="Q9" i="23" s="1"/>
  <c r="AE9" i="23" s="1"/>
  <c r="O9" i="23"/>
  <c r="AB9" i="23"/>
  <c r="AC9" i="23" s="1"/>
  <c r="B153" i="2"/>
  <c r="B69" i="2"/>
  <c r="B148" i="2"/>
  <c r="B147" i="2"/>
  <c r="B62" i="2"/>
  <c r="B99" i="2"/>
  <c r="B103" i="2" s="1"/>
  <c r="B112" i="2"/>
  <c r="B133" i="2"/>
  <c r="B80" i="2"/>
  <c r="B61" i="2"/>
  <c r="B132" i="2"/>
  <c r="B127" i="2"/>
  <c r="E38" i="1" s="1"/>
  <c r="B123" i="2"/>
  <c r="B120" i="2"/>
  <c r="B121" i="2" s="1"/>
  <c r="B79" i="21"/>
  <c r="B81" i="2"/>
  <c r="B70" i="21"/>
  <c r="B98" i="2"/>
  <c r="B102" i="2" s="1"/>
  <c r="V81" i="21"/>
  <c r="O81" i="21"/>
  <c r="P81" i="21"/>
  <c r="Q81" i="21" s="1"/>
  <c r="AE81" i="21" s="1"/>
  <c r="V35" i="21"/>
  <c r="O35" i="21"/>
  <c r="P35" i="21"/>
  <c r="Q35" i="21" s="1"/>
  <c r="AE35" i="21" s="1"/>
  <c r="AF99" i="21"/>
  <c r="O99" i="21"/>
  <c r="P99" i="21"/>
  <c r="Q99" i="21" s="1"/>
  <c r="AE99" i="21" s="1"/>
  <c r="V66" i="21"/>
  <c r="P66" i="21"/>
  <c r="Q66" i="21" s="1"/>
  <c r="AE66" i="21" s="1"/>
  <c r="O66" i="21"/>
  <c r="AF54" i="21"/>
  <c r="P54" i="21"/>
  <c r="Q54" i="21" s="1"/>
  <c r="AE54" i="21" s="1"/>
  <c r="O54" i="21"/>
  <c r="AF53" i="21"/>
  <c r="O53" i="21"/>
  <c r="P53" i="21"/>
  <c r="Q53" i="21" s="1"/>
  <c r="AE53" i="21" s="1"/>
  <c r="AF20" i="21"/>
  <c r="O20" i="21"/>
  <c r="P20" i="21"/>
  <c r="Q20" i="21" s="1"/>
  <c r="AE20" i="21" s="1"/>
  <c r="V84" i="21"/>
  <c r="O84" i="21"/>
  <c r="P84" i="21"/>
  <c r="Q84" i="21" s="1"/>
  <c r="AE84" i="21" s="1"/>
  <c r="AF95" i="21"/>
  <c r="P95" i="21"/>
  <c r="Q95" i="21" s="1"/>
  <c r="AE95" i="21" s="1"/>
  <c r="O95" i="21"/>
  <c r="V25" i="21"/>
  <c r="O25" i="21"/>
  <c r="P25" i="21"/>
  <c r="Q25" i="21" s="1"/>
  <c r="AE25" i="21" s="1"/>
  <c r="AF89" i="21"/>
  <c r="O89" i="21"/>
  <c r="P89" i="21"/>
  <c r="Q89" i="21" s="1"/>
  <c r="AE89" i="21" s="1"/>
  <c r="AF56" i="21"/>
  <c r="P56" i="21"/>
  <c r="Q56" i="21" s="1"/>
  <c r="AE56" i="21" s="1"/>
  <c r="O56" i="21"/>
  <c r="AF15" i="21"/>
  <c r="P15" i="21"/>
  <c r="Q15" i="21" s="1"/>
  <c r="AE15" i="21" s="1"/>
  <c r="O15" i="21"/>
  <c r="V62" i="21"/>
  <c r="P62" i="21"/>
  <c r="Q62" i="21" s="1"/>
  <c r="AE62" i="21" s="1"/>
  <c r="O62" i="21"/>
  <c r="AF58" i="21"/>
  <c r="P58" i="21"/>
  <c r="Q58" i="21" s="1"/>
  <c r="AE58" i="21" s="1"/>
  <c r="O58" i="21"/>
  <c r="AF30" i="21"/>
  <c r="P30" i="21"/>
  <c r="Q30" i="21" s="1"/>
  <c r="AE30" i="21" s="1"/>
  <c r="O30" i="21"/>
  <c r="V107" i="21"/>
  <c r="O107" i="21"/>
  <c r="P107" i="21"/>
  <c r="Q107" i="21" s="1"/>
  <c r="AE107" i="21" s="1"/>
  <c r="AF74" i="21"/>
  <c r="P74" i="21"/>
  <c r="Q74" i="21" s="1"/>
  <c r="AE74" i="21" s="1"/>
  <c r="O74" i="21"/>
  <c r="V78" i="21"/>
  <c r="P78" i="21"/>
  <c r="Q78" i="21" s="1"/>
  <c r="AE78" i="21" s="1"/>
  <c r="O78" i="21"/>
  <c r="AF61" i="21"/>
  <c r="O61" i="21"/>
  <c r="P61" i="21"/>
  <c r="Q61" i="21" s="1"/>
  <c r="AE61" i="21" s="1"/>
  <c r="AF28" i="21"/>
  <c r="O28" i="21"/>
  <c r="P28" i="21"/>
  <c r="Q28" i="21" s="1"/>
  <c r="AE28" i="21" s="1"/>
  <c r="AF92" i="21"/>
  <c r="O92" i="21"/>
  <c r="P92" i="21"/>
  <c r="Q92" i="21" s="1"/>
  <c r="AE92" i="21" s="1"/>
  <c r="V10" i="21"/>
  <c r="O10" i="21"/>
  <c r="P10" i="21"/>
  <c r="Q10" i="21" s="1"/>
  <c r="AE10" i="21" s="1"/>
  <c r="AF33" i="21"/>
  <c r="O33" i="21"/>
  <c r="P33" i="21"/>
  <c r="Q33" i="21" s="1"/>
  <c r="AE33" i="21" s="1"/>
  <c r="AF97" i="21"/>
  <c r="P97" i="21"/>
  <c r="Q97" i="21" s="1"/>
  <c r="AE97" i="21" s="1"/>
  <c r="O97" i="21"/>
  <c r="AF64" i="21"/>
  <c r="P64" i="21"/>
  <c r="Q64" i="21" s="1"/>
  <c r="AE64" i="21" s="1"/>
  <c r="O64" i="21"/>
  <c r="V94" i="21"/>
  <c r="P94" i="21"/>
  <c r="Q94" i="21" s="1"/>
  <c r="AE94" i="21" s="1"/>
  <c r="O94" i="21"/>
  <c r="AF27" i="21"/>
  <c r="O27" i="21"/>
  <c r="P27" i="21"/>
  <c r="Q27" i="21" s="1"/>
  <c r="AE27" i="21" s="1"/>
  <c r="R51" i="21"/>
  <c r="O51" i="21"/>
  <c r="P51" i="21"/>
  <c r="Q51" i="21" s="1"/>
  <c r="AE51" i="21" s="1"/>
  <c r="V69" i="21"/>
  <c r="O69" i="21"/>
  <c r="P69" i="21"/>
  <c r="Q69" i="21" s="1"/>
  <c r="AE69" i="21" s="1"/>
  <c r="V36" i="21"/>
  <c r="O36" i="21"/>
  <c r="P36" i="21"/>
  <c r="Q36" i="21" s="1"/>
  <c r="AE36" i="21" s="1"/>
  <c r="V100" i="21"/>
  <c r="O100" i="21"/>
  <c r="P100" i="21"/>
  <c r="Q100" i="21" s="1"/>
  <c r="AE100" i="21" s="1"/>
  <c r="V41" i="21"/>
  <c r="O41" i="21"/>
  <c r="P41" i="21"/>
  <c r="Q41" i="21" s="1"/>
  <c r="AE41" i="21" s="1"/>
  <c r="V72" i="21"/>
  <c r="P72" i="21"/>
  <c r="Q72" i="21" s="1"/>
  <c r="AE72" i="21" s="1"/>
  <c r="O72" i="21"/>
  <c r="AF48" i="21"/>
  <c r="P48" i="21"/>
  <c r="Q48" i="21" s="1"/>
  <c r="AE48" i="21" s="1"/>
  <c r="O48" i="21"/>
  <c r="AF59" i="21"/>
  <c r="O59" i="21"/>
  <c r="P59" i="21"/>
  <c r="Q59" i="21" s="1"/>
  <c r="AE59" i="21" s="1"/>
  <c r="AF90" i="21"/>
  <c r="O90" i="21"/>
  <c r="P90" i="21"/>
  <c r="Q90" i="21" s="1"/>
  <c r="AE90" i="21" s="1"/>
  <c r="V13" i="21"/>
  <c r="O13" i="21"/>
  <c r="P13" i="21"/>
  <c r="Q13" i="21" s="1"/>
  <c r="AE13" i="21" s="1"/>
  <c r="AF44" i="21"/>
  <c r="O44" i="21"/>
  <c r="P44" i="21"/>
  <c r="Q44" i="21" s="1"/>
  <c r="AE44" i="21" s="1"/>
  <c r="V71" i="21"/>
  <c r="P71" i="21"/>
  <c r="Q71" i="21" s="1"/>
  <c r="AE71" i="21" s="1"/>
  <c r="O71" i="21"/>
  <c r="V79" i="21"/>
  <c r="O79" i="21"/>
  <c r="P79" i="21"/>
  <c r="Q79" i="21" s="1"/>
  <c r="AE79" i="21" s="1"/>
  <c r="AF67" i="21"/>
  <c r="O67" i="21"/>
  <c r="P67" i="21"/>
  <c r="Q67" i="21" s="1"/>
  <c r="AE67" i="21" s="1"/>
  <c r="V34" i="21"/>
  <c r="O34" i="21"/>
  <c r="P34" i="21"/>
  <c r="Q34" i="21" s="1"/>
  <c r="AE34" i="21" s="1"/>
  <c r="V98" i="21"/>
  <c r="P98" i="21"/>
  <c r="Q98" i="21" s="1"/>
  <c r="AE98" i="21" s="1"/>
  <c r="O98" i="21"/>
  <c r="AF21" i="21"/>
  <c r="O21" i="21"/>
  <c r="P21" i="21"/>
  <c r="Q21" i="21" s="1"/>
  <c r="AE21" i="21" s="1"/>
  <c r="AF85" i="21"/>
  <c r="O85" i="21"/>
  <c r="P85" i="21"/>
  <c r="Q85" i="21" s="1"/>
  <c r="AE85" i="21" s="1"/>
  <c r="AF52" i="21"/>
  <c r="O52" i="21"/>
  <c r="P52" i="21"/>
  <c r="Q52" i="21" s="1"/>
  <c r="AE52" i="21" s="1"/>
  <c r="AF23" i="21"/>
  <c r="O23" i="21"/>
  <c r="P23" i="21"/>
  <c r="Q23" i="21" s="1"/>
  <c r="AE23" i="21" s="1"/>
  <c r="V70" i="21"/>
  <c r="P70" i="21"/>
  <c r="Q70" i="21" s="1"/>
  <c r="AE70" i="21" s="1"/>
  <c r="O70" i="21"/>
  <c r="AF57" i="21"/>
  <c r="O57" i="21"/>
  <c r="P57" i="21"/>
  <c r="Q57" i="21" s="1"/>
  <c r="AE57" i="21" s="1"/>
  <c r="V24" i="21"/>
  <c r="P24" i="21"/>
  <c r="Q24" i="21" s="1"/>
  <c r="AE24" i="21" s="1"/>
  <c r="O24" i="21"/>
  <c r="AF88" i="21"/>
  <c r="P88" i="21"/>
  <c r="Q88" i="21" s="1"/>
  <c r="AE88" i="21" s="1"/>
  <c r="O88" i="21"/>
  <c r="AF87" i="21"/>
  <c r="P87" i="21"/>
  <c r="Q87" i="21" s="1"/>
  <c r="AE87" i="21" s="1"/>
  <c r="O87" i="21"/>
  <c r="AF91" i="21"/>
  <c r="O91" i="21"/>
  <c r="P91" i="21"/>
  <c r="Q91" i="21" s="1"/>
  <c r="AE91" i="21" s="1"/>
  <c r="V45" i="21"/>
  <c r="O45" i="21"/>
  <c r="P45" i="21"/>
  <c r="Q45" i="21" s="1"/>
  <c r="AE45" i="21" s="1"/>
  <c r="AF42" i="21"/>
  <c r="P42" i="21"/>
  <c r="Q42" i="21" s="1"/>
  <c r="AE42" i="21" s="1"/>
  <c r="O42" i="21"/>
  <c r="V106" i="21"/>
  <c r="P106" i="21"/>
  <c r="Q106" i="21" s="1"/>
  <c r="AE106" i="21" s="1"/>
  <c r="O106" i="21"/>
  <c r="V29" i="21"/>
  <c r="O29" i="21"/>
  <c r="P29" i="21"/>
  <c r="Q29" i="21" s="1"/>
  <c r="AE29" i="21" s="1"/>
  <c r="AF93" i="21"/>
  <c r="O93" i="21"/>
  <c r="P93" i="21"/>
  <c r="Q93" i="21" s="1"/>
  <c r="AE93" i="21" s="1"/>
  <c r="AF60" i="21"/>
  <c r="O60" i="21"/>
  <c r="P60" i="21"/>
  <c r="Q60" i="21" s="1"/>
  <c r="AE60" i="21" s="1"/>
  <c r="V86" i="21"/>
  <c r="P86" i="21"/>
  <c r="Q86" i="21" s="1"/>
  <c r="AE86" i="21" s="1"/>
  <c r="O86" i="21"/>
  <c r="AF65" i="21"/>
  <c r="O65" i="21"/>
  <c r="P65" i="21"/>
  <c r="Q65" i="21" s="1"/>
  <c r="AE65" i="21" s="1"/>
  <c r="V32" i="21"/>
  <c r="P32" i="21"/>
  <c r="Q32" i="21" s="1"/>
  <c r="AE32" i="21" s="1"/>
  <c r="O32" i="21"/>
  <c r="AF96" i="21"/>
  <c r="P96" i="21"/>
  <c r="Q96" i="21" s="1"/>
  <c r="AE96" i="21" s="1"/>
  <c r="O96" i="21"/>
  <c r="V11" i="21"/>
  <c r="O11" i="21"/>
  <c r="P11" i="21"/>
  <c r="Q11" i="21" s="1"/>
  <c r="AE11" i="21" s="1"/>
  <c r="AF19" i="21"/>
  <c r="O19" i="21"/>
  <c r="P19" i="21"/>
  <c r="Q19" i="21" s="1"/>
  <c r="AE19" i="21" s="1"/>
  <c r="R83" i="21"/>
  <c r="O83" i="21"/>
  <c r="P83" i="21"/>
  <c r="Q83" i="21" s="1"/>
  <c r="AE83" i="21" s="1"/>
  <c r="V50" i="21"/>
  <c r="O50" i="21"/>
  <c r="P50" i="21"/>
  <c r="Q50" i="21" s="1"/>
  <c r="AE50" i="21" s="1"/>
  <c r="AF63" i="21"/>
  <c r="P63" i="21"/>
  <c r="Q63" i="21" s="1"/>
  <c r="AE63" i="21" s="1"/>
  <c r="O63" i="21"/>
  <c r="V101" i="21"/>
  <c r="P101" i="21"/>
  <c r="Q101" i="21" s="1"/>
  <c r="AE101" i="21" s="1"/>
  <c r="O101" i="21"/>
  <c r="V68" i="21"/>
  <c r="O68" i="21"/>
  <c r="P68" i="21"/>
  <c r="Q68" i="21" s="1"/>
  <c r="AE68" i="21" s="1"/>
  <c r="AF55" i="21"/>
  <c r="O55" i="21"/>
  <c r="P55" i="21"/>
  <c r="Q55" i="21" s="1"/>
  <c r="AE55" i="21" s="1"/>
  <c r="V12" i="21"/>
  <c r="O12" i="21"/>
  <c r="P12" i="21"/>
  <c r="Q12" i="21" s="1"/>
  <c r="AE12" i="21" s="1"/>
  <c r="AF73" i="21"/>
  <c r="O73" i="21"/>
  <c r="P73" i="21"/>
  <c r="Q73" i="21" s="1"/>
  <c r="AE73" i="21" s="1"/>
  <c r="V40" i="21"/>
  <c r="P40" i="21"/>
  <c r="Q40" i="21" s="1"/>
  <c r="AE40" i="21" s="1"/>
  <c r="O40" i="21"/>
  <c r="V104" i="21"/>
  <c r="P104" i="21"/>
  <c r="Q104" i="21" s="1"/>
  <c r="AE104" i="21" s="1"/>
  <c r="O104" i="21"/>
  <c r="B382" i="2"/>
  <c r="B381" i="2"/>
  <c r="B97" i="2"/>
  <c r="B101" i="2" s="1"/>
  <c r="B60" i="2"/>
  <c r="B67" i="2"/>
  <c r="B79" i="2"/>
  <c r="E623" i="25"/>
  <c r="F623" i="25"/>
  <c r="S9" i="21"/>
  <c r="B111" i="2"/>
  <c r="E110" i="17"/>
  <c r="F329" i="17"/>
  <c r="E203" i="17"/>
  <c r="Y9" i="23"/>
  <c r="Z9" i="23" s="1"/>
  <c r="AA9" i="23" s="1"/>
  <c r="AF72" i="21"/>
  <c r="AF62" i="21"/>
  <c r="AF107" i="21"/>
  <c r="AF100" i="21"/>
  <c r="AH9" i="23"/>
  <c r="AI9" i="23" s="1"/>
  <c r="AF41" i="21"/>
  <c r="AF69" i="21"/>
  <c r="AF101" i="21"/>
  <c r="AF12" i="21"/>
  <c r="AF68" i="21"/>
  <c r="AF86" i="21"/>
  <c r="AF25" i="21"/>
  <c r="AF40" i="21"/>
  <c r="AF104" i="21"/>
  <c r="AF36" i="21"/>
  <c r="AF24" i="21"/>
  <c r="AF94" i="21"/>
  <c r="AF106" i="21"/>
  <c r="AJ9" i="23"/>
  <c r="AF9" i="23"/>
  <c r="V9" i="23"/>
  <c r="W9" i="23" s="1"/>
  <c r="X9" i="23" s="1"/>
  <c r="R9" i="23"/>
  <c r="W82" i="23"/>
  <c r="X82" i="23" s="1"/>
  <c r="W75" i="23"/>
  <c r="X75" i="23" s="1"/>
  <c r="W107" i="23"/>
  <c r="X107" i="23" s="1"/>
  <c r="W59" i="23"/>
  <c r="X59" i="23" s="1"/>
  <c r="W43" i="23"/>
  <c r="X43" i="23" s="1"/>
  <c r="W100" i="23"/>
  <c r="X100" i="23" s="1"/>
  <c r="W10" i="23"/>
  <c r="X10" i="23" s="1"/>
  <c r="W102" i="23"/>
  <c r="X102" i="23" s="1"/>
  <c r="W83" i="23"/>
  <c r="X83" i="23" s="1"/>
  <c r="W36" i="23"/>
  <c r="X36" i="23" s="1"/>
  <c r="W105" i="23"/>
  <c r="X105" i="23" s="1"/>
  <c r="W88" i="23"/>
  <c r="X88" i="23" s="1"/>
  <c r="W34" i="23"/>
  <c r="X34" i="23" s="1"/>
  <c r="W17" i="23"/>
  <c r="X17" i="23" s="1"/>
  <c r="W101" i="23"/>
  <c r="X101" i="23" s="1"/>
  <c r="W91" i="23"/>
  <c r="X91" i="23" s="1"/>
  <c r="W64" i="23"/>
  <c r="X64" i="23" s="1"/>
  <c r="W72" i="23"/>
  <c r="X72" i="23" s="1"/>
  <c r="W80" i="23"/>
  <c r="X80" i="23" s="1"/>
  <c r="W93" i="23"/>
  <c r="X93" i="23" s="1"/>
  <c r="W29" i="23"/>
  <c r="X29" i="23" s="1"/>
  <c r="W18" i="23"/>
  <c r="X18" i="23" s="1"/>
  <c r="V71" i="23"/>
  <c r="V77" i="23"/>
  <c r="V60" i="23"/>
  <c r="V28" i="23"/>
  <c r="V20" i="23"/>
  <c r="V61" i="23"/>
  <c r="R61" i="23"/>
  <c r="V70" i="23"/>
  <c r="V79" i="23"/>
  <c r="V47" i="23"/>
  <c r="V57" i="23"/>
  <c r="V62" i="23"/>
  <c r="R62" i="23"/>
  <c r="V26" i="23"/>
  <c r="V84" i="23"/>
  <c r="V97" i="23"/>
  <c r="R24" i="23"/>
  <c r="AH52" i="23"/>
  <c r="AI52" i="23" s="1"/>
  <c r="AK52" i="23" s="1"/>
  <c r="AH11" i="23"/>
  <c r="AI11" i="23" s="1"/>
  <c r="AK11" i="23" s="1"/>
  <c r="AH99" i="23"/>
  <c r="AI99" i="23" s="1"/>
  <c r="AK99" i="23" s="1"/>
  <c r="AF13" i="21"/>
  <c r="AF71" i="21"/>
  <c r="AH90" i="23"/>
  <c r="AI90" i="23" s="1"/>
  <c r="AK90" i="23" s="1"/>
  <c r="AH39" i="23"/>
  <c r="AI39" i="23" s="1"/>
  <c r="AK39" i="23" s="1"/>
  <c r="AB39" i="23"/>
  <c r="AC39" i="23" s="1"/>
  <c r="Y103" i="23"/>
  <c r="Z103" i="23" s="1"/>
  <c r="AA103" i="23" s="1"/>
  <c r="Y63" i="23"/>
  <c r="Z63" i="23" s="1"/>
  <c r="AA63" i="23" s="1"/>
  <c r="AH105" i="23"/>
  <c r="AI105" i="23" s="1"/>
  <c r="Y105" i="23"/>
  <c r="Z105" i="23" s="1"/>
  <c r="AA105" i="23" s="1"/>
  <c r="AB105" i="23"/>
  <c r="AC105" i="23" s="1"/>
  <c r="R105" i="23"/>
  <c r="R89" i="23"/>
  <c r="AH75" i="23"/>
  <c r="AI75" i="23" s="1"/>
  <c r="AK75" i="23" s="1"/>
  <c r="Y75" i="23"/>
  <c r="Z75" i="23" s="1"/>
  <c r="AA75" i="23" s="1"/>
  <c r="AB75" i="23"/>
  <c r="AC75" i="23" s="1"/>
  <c r="R75" i="23"/>
  <c r="AB86" i="23"/>
  <c r="AC86" i="23" s="1"/>
  <c r="AB68" i="23"/>
  <c r="AC68" i="23" s="1"/>
  <c r="AH68" i="23"/>
  <c r="AI68" i="23" s="1"/>
  <c r="AK68" i="23" s="1"/>
  <c r="AH43" i="23"/>
  <c r="AI43" i="23" s="1"/>
  <c r="AK43" i="23" s="1"/>
  <c r="Y43" i="23"/>
  <c r="Z43" i="23" s="1"/>
  <c r="AA43" i="23" s="1"/>
  <c r="AB43" i="23"/>
  <c r="AC43" i="23" s="1"/>
  <c r="R43" i="23"/>
  <c r="AH41" i="23"/>
  <c r="AI41" i="23" s="1"/>
  <c r="AK41" i="23" s="1"/>
  <c r="AB71" i="23"/>
  <c r="AC71" i="23" s="1"/>
  <c r="AH71" i="23"/>
  <c r="AI71" i="23" s="1"/>
  <c r="AK71" i="23" s="1"/>
  <c r="Y71" i="23"/>
  <c r="Z71" i="23" s="1"/>
  <c r="AA71" i="23" s="1"/>
  <c r="R101" i="23"/>
  <c r="AB54" i="23"/>
  <c r="AC54" i="23" s="1"/>
  <c r="AH22" i="23"/>
  <c r="AI22" i="23" s="1"/>
  <c r="AK22" i="23" s="1"/>
  <c r="R10" i="23"/>
  <c r="Y106" i="23"/>
  <c r="Z106" i="23" s="1"/>
  <c r="AA106" i="23" s="1"/>
  <c r="AB107" i="23"/>
  <c r="AC107" i="23" s="1"/>
  <c r="AH107" i="23"/>
  <c r="AI107" i="23" s="1"/>
  <c r="AK107" i="23" s="1"/>
  <c r="Y107" i="23"/>
  <c r="Z107" i="23" s="1"/>
  <c r="AA107" i="23" s="1"/>
  <c r="AB78" i="23"/>
  <c r="AC78" i="23" s="1"/>
  <c r="AH55" i="23"/>
  <c r="AI55" i="23" s="1"/>
  <c r="AK55" i="23" s="1"/>
  <c r="AH64" i="23"/>
  <c r="AI64" i="23" s="1"/>
  <c r="AK64" i="23" s="1"/>
  <c r="Y64" i="23"/>
  <c r="Z64" i="23" s="1"/>
  <c r="AA64" i="23" s="1"/>
  <c r="AB64" i="23"/>
  <c r="AC64" i="23" s="1"/>
  <c r="R64" i="23"/>
  <c r="AH23" i="23"/>
  <c r="AI23" i="23" s="1"/>
  <c r="AK23" i="23" s="1"/>
  <c r="AB12" i="23"/>
  <c r="AC12" i="23" s="1"/>
  <c r="AH13" i="23"/>
  <c r="AI13" i="23" s="1"/>
  <c r="AK13" i="23" s="1"/>
  <c r="R29" i="23"/>
  <c r="AH102" i="23"/>
  <c r="AI102" i="23" s="1"/>
  <c r="AK102" i="23" s="1"/>
  <c r="Y102" i="23"/>
  <c r="Z102" i="23" s="1"/>
  <c r="AA102" i="23" s="1"/>
  <c r="AB102" i="23"/>
  <c r="AC102" i="23" s="1"/>
  <c r="R102" i="23"/>
  <c r="AH88" i="23"/>
  <c r="AI88" i="23" s="1"/>
  <c r="AK88" i="23" s="1"/>
  <c r="Y88" i="23"/>
  <c r="Z88" i="23" s="1"/>
  <c r="AA88" i="23" s="1"/>
  <c r="AB88" i="23"/>
  <c r="AC88" i="23" s="1"/>
  <c r="R88" i="23"/>
  <c r="R83" i="23"/>
  <c r="AF45" i="21"/>
  <c r="AH63" i="23"/>
  <c r="AI63" i="23" s="1"/>
  <c r="AK63" i="23" s="1"/>
  <c r="Y73" i="23"/>
  <c r="Z73" i="23" s="1"/>
  <c r="AA73" i="23" s="1"/>
  <c r="AH21" i="23"/>
  <c r="AI21" i="23" s="1"/>
  <c r="AK21" i="23" s="1"/>
  <c r="AB98" i="23"/>
  <c r="AC98" i="23" s="1"/>
  <c r="Y86" i="23"/>
  <c r="Z86" i="23" s="1"/>
  <c r="AA86" i="23" s="1"/>
  <c r="Y56" i="23"/>
  <c r="Z56" i="23" s="1"/>
  <c r="AA56" i="23" s="1"/>
  <c r="AH48" i="23"/>
  <c r="AI48" i="23" s="1"/>
  <c r="AK48" i="23" s="1"/>
  <c r="AH58" i="23"/>
  <c r="AI58" i="23" s="1"/>
  <c r="AH16" i="23"/>
  <c r="AI16" i="23" s="1"/>
  <c r="AK16" i="23" s="1"/>
  <c r="R26" i="23"/>
  <c r="R71" i="23"/>
  <c r="AF81" i="21"/>
  <c r="AF32" i="21"/>
  <c r="AF11" i="21"/>
  <c r="AB82" i="23"/>
  <c r="AC82" i="23" s="1"/>
  <c r="Y82" i="23"/>
  <c r="Z82" i="23" s="1"/>
  <c r="AA82" i="23" s="1"/>
  <c r="AH82" i="23"/>
  <c r="AI82" i="23" s="1"/>
  <c r="AK82" i="23" s="1"/>
  <c r="AH47" i="23"/>
  <c r="AI47" i="23" s="1"/>
  <c r="Y47" i="23"/>
  <c r="Z47" i="23" s="1"/>
  <c r="AA47" i="23" s="1"/>
  <c r="AB47" i="23"/>
  <c r="AC47" i="23" s="1"/>
  <c r="R47" i="23"/>
  <c r="AH10" i="23"/>
  <c r="AI10" i="23" s="1"/>
  <c r="AK10" i="23" s="1"/>
  <c r="Y10" i="23"/>
  <c r="Z10" i="23" s="1"/>
  <c r="AA10" i="23" s="1"/>
  <c r="AB10" i="23"/>
  <c r="AC10" i="23" s="1"/>
  <c r="AF29" i="21"/>
  <c r="AF78" i="21"/>
  <c r="Y65" i="23"/>
  <c r="Z65" i="23" s="1"/>
  <c r="AA65" i="23" s="1"/>
  <c r="AH57" i="23"/>
  <c r="AI57" i="23" s="1"/>
  <c r="AK57" i="23" s="1"/>
  <c r="Y57" i="23"/>
  <c r="Z57" i="23" s="1"/>
  <c r="AA57" i="23" s="1"/>
  <c r="AB57" i="23"/>
  <c r="AC57" i="23" s="1"/>
  <c r="R57" i="23"/>
  <c r="AH66" i="23"/>
  <c r="AI66" i="23" s="1"/>
  <c r="AK66" i="23" s="1"/>
  <c r="AB66" i="23"/>
  <c r="AC66" i="23" s="1"/>
  <c r="Y66" i="23"/>
  <c r="Z66" i="23" s="1"/>
  <c r="AA66" i="23" s="1"/>
  <c r="AB29" i="23"/>
  <c r="AC29" i="23" s="1"/>
  <c r="Y29" i="23"/>
  <c r="Z29" i="23" s="1"/>
  <c r="AA29" i="23" s="1"/>
  <c r="AH29" i="23"/>
  <c r="AI29" i="23" s="1"/>
  <c r="AK29" i="23" s="1"/>
  <c r="AH83" i="23"/>
  <c r="AI83" i="23" s="1"/>
  <c r="AK83" i="23" s="1"/>
  <c r="Y83" i="23"/>
  <c r="Z83" i="23" s="1"/>
  <c r="AA83" i="23" s="1"/>
  <c r="AB83" i="23"/>
  <c r="AC83" i="23" s="1"/>
  <c r="AB72" i="23"/>
  <c r="AC72" i="23" s="1"/>
  <c r="AH72" i="23"/>
  <c r="AI72" i="23" s="1"/>
  <c r="AK72" i="23" s="1"/>
  <c r="Y72" i="23"/>
  <c r="Z72" i="23" s="1"/>
  <c r="AA72" i="23" s="1"/>
  <c r="R72" i="23"/>
  <c r="AH34" i="23"/>
  <c r="AI34" i="23" s="1"/>
  <c r="AK34" i="23" s="1"/>
  <c r="AB34" i="23"/>
  <c r="AC34" i="23" s="1"/>
  <c r="Y34" i="23"/>
  <c r="Z34" i="23" s="1"/>
  <c r="AA34" i="23" s="1"/>
  <c r="Y32" i="23"/>
  <c r="Z32" i="23" s="1"/>
  <c r="AA32" i="23" s="1"/>
  <c r="R36" i="23"/>
  <c r="AH94" i="23"/>
  <c r="AI94" i="23" s="1"/>
  <c r="AK94" i="23" s="1"/>
  <c r="AB94" i="23"/>
  <c r="AC94" i="23" s="1"/>
  <c r="AH84" i="23"/>
  <c r="AI84" i="23" s="1"/>
  <c r="AK84" i="23" s="1"/>
  <c r="Y84" i="23"/>
  <c r="Z84" i="23" s="1"/>
  <c r="AA84" i="23" s="1"/>
  <c r="AB84" i="23"/>
  <c r="AC84" i="23" s="1"/>
  <c r="R84" i="23"/>
  <c r="AB80" i="23"/>
  <c r="AC80" i="23" s="1"/>
  <c r="Y80" i="23"/>
  <c r="Z80" i="23" s="1"/>
  <c r="AA80" i="23" s="1"/>
  <c r="AH80" i="23"/>
  <c r="AI80" i="23" s="1"/>
  <c r="AK80" i="23" s="1"/>
  <c r="R80" i="23"/>
  <c r="AH87" i="23"/>
  <c r="Y87" i="23"/>
  <c r="Z87" i="23" s="1"/>
  <c r="AA87" i="23" s="1"/>
  <c r="AB87" i="23"/>
  <c r="AC87" i="23" s="1"/>
  <c r="AB59" i="23"/>
  <c r="AC59" i="23" s="1"/>
  <c r="Y59" i="23"/>
  <c r="Z59" i="23" s="1"/>
  <c r="AA59" i="23" s="1"/>
  <c r="AH59" i="23"/>
  <c r="AI59" i="23" s="1"/>
  <c r="AK59" i="23" s="1"/>
  <c r="R59" i="23"/>
  <c r="AB67" i="23"/>
  <c r="AC67" i="23" s="1"/>
  <c r="AH25" i="23"/>
  <c r="AI25" i="23" s="1"/>
  <c r="AK25" i="23" s="1"/>
  <c r="Y27" i="23"/>
  <c r="Z27" i="23" s="1"/>
  <c r="AA27" i="23" s="1"/>
  <c r="AH17" i="23"/>
  <c r="Y17" i="23"/>
  <c r="Z17" i="23" s="1"/>
  <c r="AA17" i="23" s="1"/>
  <c r="AB17" i="23"/>
  <c r="AC17" i="23" s="1"/>
  <c r="R17" i="23"/>
  <c r="AF79" i="21"/>
  <c r="AF10" i="21"/>
  <c r="AF70" i="21"/>
  <c r="F64" i="17"/>
  <c r="AH93" i="23"/>
  <c r="Y93" i="23"/>
  <c r="Z93" i="23" s="1"/>
  <c r="AA93" i="23" s="1"/>
  <c r="AB93" i="23"/>
  <c r="AC93" i="23" s="1"/>
  <c r="R93" i="23"/>
  <c r="AB89" i="23"/>
  <c r="AC89" i="23" s="1"/>
  <c r="AH89" i="23"/>
  <c r="AI89" i="23" s="1"/>
  <c r="Y89" i="23"/>
  <c r="Z89" i="23" s="1"/>
  <c r="AA89" i="23" s="1"/>
  <c r="AH95" i="23"/>
  <c r="AI95" i="23" s="1"/>
  <c r="AK95" i="23" s="1"/>
  <c r="AB96" i="23"/>
  <c r="AC96" i="23" s="1"/>
  <c r="AH79" i="23"/>
  <c r="AI79" i="23" s="1"/>
  <c r="AK79" i="23" s="1"/>
  <c r="Y79" i="23"/>
  <c r="Z79" i="23" s="1"/>
  <c r="AA79" i="23" s="1"/>
  <c r="AB79" i="23"/>
  <c r="R79" i="23"/>
  <c r="AH62" i="23"/>
  <c r="AI62" i="23" s="1"/>
  <c r="AK62" i="23" s="1"/>
  <c r="Y62" i="23"/>
  <c r="Z62" i="23" s="1"/>
  <c r="AA62" i="23" s="1"/>
  <c r="AB62" i="23"/>
  <c r="AC62" i="23" s="1"/>
  <c r="Y24" i="23"/>
  <c r="Z24" i="23" s="1"/>
  <c r="AA24" i="23" s="1"/>
  <c r="AB24" i="23"/>
  <c r="AC24" i="23" s="1"/>
  <c r="AH24" i="23"/>
  <c r="AI24" i="23" s="1"/>
  <c r="AH20" i="23"/>
  <c r="Y20" i="23"/>
  <c r="Z20" i="23" s="1"/>
  <c r="AA20" i="23" s="1"/>
  <c r="AB20" i="23"/>
  <c r="AC20" i="23" s="1"/>
  <c r="R20" i="23"/>
  <c r="AH26" i="23"/>
  <c r="AI26" i="23" s="1"/>
  <c r="AK26" i="23" s="1"/>
  <c r="AB26" i="23"/>
  <c r="AC26" i="23" s="1"/>
  <c r="Y26" i="23"/>
  <c r="Z26" i="23" s="1"/>
  <c r="AA26" i="23" s="1"/>
  <c r="AB99" i="23"/>
  <c r="AC99" i="23" s="1"/>
  <c r="AB100" i="23"/>
  <c r="AC100" i="23" s="1"/>
  <c r="AH100" i="23"/>
  <c r="AI100" i="23" s="1"/>
  <c r="AK100" i="23" s="1"/>
  <c r="Y100" i="23"/>
  <c r="Z100" i="23" s="1"/>
  <c r="AA100" i="23" s="1"/>
  <c r="R100" i="23"/>
  <c r="R82" i="23"/>
  <c r="AH101" i="23"/>
  <c r="AI101" i="23" s="1"/>
  <c r="AK101" i="23" s="1"/>
  <c r="Y101" i="23"/>
  <c r="Z101" i="23" s="1"/>
  <c r="AA101" i="23" s="1"/>
  <c r="AB101" i="23"/>
  <c r="AC101" i="23" s="1"/>
  <c r="AB50" i="23"/>
  <c r="AC50" i="23" s="1"/>
  <c r="AH50" i="23"/>
  <c r="AI50" i="23" s="1"/>
  <c r="AK50" i="23" s="1"/>
  <c r="AH104" i="23"/>
  <c r="AI104" i="23" s="1"/>
  <c r="AK104" i="23" s="1"/>
  <c r="AB61" i="23"/>
  <c r="AC61" i="23" s="1"/>
  <c r="AH61" i="23"/>
  <c r="Y61" i="23"/>
  <c r="Z61" i="23" s="1"/>
  <c r="AA61" i="23" s="1"/>
  <c r="AB46" i="23"/>
  <c r="AC46" i="23" s="1"/>
  <c r="AH44" i="23"/>
  <c r="AI44" i="23" s="1"/>
  <c r="AK44" i="23" s="1"/>
  <c r="R107" i="23"/>
  <c r="Y92" i="23"/>
  <c r="Z92" i="23" s="1"/>
  <c r="AA92" i="23" s="1"/>
  <c r="Y85" i="23"/>
  <c r="Z85" i="23" s="1"/>
  <c r="AA85" i="23" s="1"/>
  <c r="AH91" i="23"/>
  <c r="Y91" i="23"/>
  <c r="Z91" i="23" s="1"/>
  <c r="AA91" i="23" s="1"/>
  <c r="AB91" i="23"/>
  <c r="AC91" i="23" s="1"/>
  <c r="R91" i="23"/>
  <c r="AB74" i="23"/>
  <c r="AC74" i="23" s="1"/>
  <c r="Y51" i="23"/>
  <c r="Z51" i="23" s="1"/>
  <c r="AA51" i="23" s="1"/>
  <c r="AB33" i="23"/>
  <c r="AC33" i="23" s="1"/>
  <c r="AB70" i="23"/>
  <c r="AC70" i="23" s="1"/>
  <c r="AH70" i="23"/>
  <c r="AI70" i="23" s="1"/>
  <c r="AK70" i="23" s="1"/>
  <c r="Y70" i="23"/>
  <c r="Z70" i="23" s="1"/>
  <c r="AA70" i="23" s="1"/>
  <c r="R70" i="23"/>
  <c r="AB14" i="23"/>
  <c r="AC14" i="23" s="1"/>
  <c r="AB31" i="23"/>
  <c r="AC31" i="23" s="1"/>
  <c r="AF35" i="21"/>
  <c r="AF51" i="21"/>
  <c r="AF83" i="21"/>
  <c r="AF34" i="21"/>
  <c r="AF50" i="21"/>
  <c r="AF66" i="21"/>
  <c r="AF98" i="21"/>
  <c r="AH77" i="23"/>
  <c r="AI77" i="23" s="1"/>
  <c r="AK77" i="23" s="1"/>
  <c r="Y77" i="23"/>
  <c r="Z77" i="23" s="1"/>
  <c r="AA77" i="23" s="1"/>
  <c r="AB77" i="23"/>
  <c r="AC77" i="23" s="1"/>
  <c r="R77" i="23"/>
  <c r="Y60" i="23"/>
  <c r="Z60" i="23" s="1"/>
  <c r="AA60" i="23" s="1"/>
  <c r="AH60" i="23"/>
  <c r="AI60" i="23" s="1"/>
  <c r="AK60" i="23" s="1"/>
  <c r="AB60" i="23"/>
  <c r="AC60" i="23" s="1"/>
  <c r="R60" i="23"/>
  <c r="R34" i="23"/>
  <c r="AH18" i="23"/>
  <c r="AI18" i="23" s="1"/>
  <c r="AK18" i="23" s="1"/>
  <c r="Y18" i="23"/>
  <c r="Z18" i="23" s="1"/>
  <c r="AA18" i="23" s="1"/>
  <c r="AB18" i="23"/>
  <c r="R18" i="23"/>
  <c r="AB37" i="23"/>
  <c r="AC37" i="23" s="1"/>
  <c r="AB36" i="23"/>
  <c r="AC36" i="23" s="1"/>
  <c r="AH36" i="23"/>
  <c r="AI36" i="23" s="1"/>
  <c r="AK36" i="23" s="1"/>
  <c r="Y36" i="23"/>
  <c r="Z36" i="23" s="1"/>
  <c r="AA36" i="23" s="1"/>
  <c r="AB30" i="23"/>
  <c r="AC30" i="23" s="1"/>
  <c r="AF84" i="21"/>
  <c r="Y109" i="23"/>
  <c r="Z109" i="23" s="1"/>
  <c r="AA109" i="23" s="1"/>
  <c r="Y108" i="23"/>
  <c r="Z108" i="23" s="1"/>
  <c r="AA108" i="23" s="1"/>
  <c r="AH97" i="23"/>
  <c r="AI97" i="23" s="1"/>
  <c r="Y97" i="23"/>
  <c r="Z97" i="23" s="1"/>
  <c r="AA97" i="23" s="1"/>
  <c r="AB97" i="23"/>
  <c r="AC97" i="23" s="1"/>
  <c r="R97" i="23"/>
  <c r="AB76" i="23"/>
  <c r="AC76" i="23" s="1"/>
  <c r="R87" i="23"/>
  <c r="AH45" i="23"/>
  <c r="AI45" i="23" s="1"/>
  <c r="AK45" i="23" s="1"/>
  <c r="Y15" i="23"/>
  <c r="Z15" i="23" s="1"/>
  <c r="AA15" i="23" s="1"/>
  <c r="Y40" i="23"/>
  <c r="Z40" i="23" s="1"/>
  <c r="AA40" i="23" s="1"/>
  <c r="AH28" i="23"/>
  <c r="AI28" i="23" s="1"/>
  <c r="AK28" i="23" s="1"/>
  <c r="AB28" i="23"/>
  <c r="Y28" i="23"/>
  <c r="Z28" i="23" s="1"/>
  <c r="AA28" i="23" s="1"/>
  <c r="R28" i="23"/>
  <c r="AH38" i="23"/>
  <c r="AI38" i="23" s="1"/>
  <c r="AK38" i="23" s="1"/>
  <c r="E213" i="17"/>
  <c r="F20" i="17"/>
  <c r="F254" i="17"/>
  <c r="E75" i="17"/>
  <c r="F176" i="17"/>
  <c r="F326" i="17"/>
  <c r="E471" i="17"/>
  <c r="F32" i="17"/>
  <c r="E349" i="17"/>
  <c r="E107" i="17"/>
  <c r="E398" i="17"/>
  <c r="V57" i="21"/>
  <c r="AJ57" i="21"/>
  <c r="AD13" i="21"/>
  <c r="AD17" i="21"/>
  <c r="AD21" i="21"/>
  <c r="AD25" i="21"/>
  <c r="AD29" i="21"/>
  <c r="AD33" i="21"/>
  <c r="AD37" i="21"/>
  <c r="AD41" i="21"/>
  <c r="AD45" i="21"/>
  <c r="AD49" i="21"/>
  <c r="AD53" i="21"/>
  <c r="AD57" i="21"/>
  <c r="AD61" i="21"/>
  <c r="AD65" i="21"/>
  <c r="AD69" i="21"/>
  <c r="AD73" i="21"/>
  <c r="AD77" i="21"/>
  <c r="AD81" i="21"/>
  <c r="AD85" i="21"/>
  <c r="AD89" i="21"/>
  <c r="AD93" i="21"/>
  <c r="AD97" i="21"/>
  <c r="AD101" i="21"/>
  <c r="AD105" i="21"/>
  <c r="AD109" i="21"/>
  <c r="AD15" i="21"/>
  <c r="AD23" i="21"/>
  <c r="AD31" i="21"/>
  <c r="AD39" i="21"/>
  <c r="AD47" i="21"/>
  <c r="AD55" i="21"/>
  <c r="AD63" i="21"/>
  <c r="AD71" i="21"/>
  <c r="AD79" i="21"/>
  <c r="AD87" i="21"/>
  <c r="AD95" i="21"/>
  <c r="AD103" i="21"/>
  <c r="AD12" i="21"/>
  <c r="AD24" i="21"/>
  <c r="AD32" i="21"/>
  <c r="AD40" i="21"/>
  <c r="AD48" i="21"/>
  <c r="AD56" i="21"/>
  <c r="AD64" i="21"/>
  <c r="AD72" i="21"/>
  <c r="AD80" i="21"/>
  <c r="AD88" i="21"/>
  <c r="AD92" i="21"/>
  <c r="AD100" i="21"/>
  <c r="AD108" i="21"/>
  <c r="AD10" i="21"/>
  <c r="AD14" i="21"/>
  <c r="AD18" i="21"/>
  <c r="AD22" i="21"/>
  <c r="AD26" i="21"/>
  <c r="AD30" i="21"/>
  <c r="AD34" i="21"/>
  <c r="AD38" i="21"/>
  <c r="AD42" i="21"/>
  <c r="AD46" i="21"/>
  <c r="AD50" i="21"/>
  <c r="AD54" i="21"/>
  <c r="AD58" i="21"/>
  <c r="AD62" i="21"/>
  <c r="AD66" i="21"/>
  <c r="AD70" i="21"/>
  <c r="AD74" i="21"/>
  <c r="AD78" i="21"/>
  <c r="AD82" i="21"/>
  <c r="AD86" i="21"/>
  <c r="AD90" i="21"/>
  <c r="AD94" i="21"/>
  <c r="AD98" i="21"/>
  <c r="AD102" i="21"/>
  <c r="AD106" i="21"/>
  <c r="AD9" i="21"/>
  <c r="AD11" i="21"/>
  <c r="AD19" i="21"/>
  <c r="AD27" i="21"/>
  <c r="AD35" i="21"/>
  <c r="AD43" i="21"/>
  <c r="AD51" i="21"/>
  <c r="AD59" i="21"/>
  <c r="AD67" i="21"/>
  <c r="AD75" i="21"/>
  <c r="AD83" i="21"/>
  <c r="AD91" i="21"/>
  <c r="AD99" i="21"/>
  <c r="AD107" i="21"/>
  <c r="AD16" i="21"/>
  <c r="AD20" i="21"/>
  <c r="AD28" i="21"/>
  <c r="AD36" i="21"/>
  <c r="AD44" i="21"/>
  <c r="AD52" i="21"/>
  <c r="AD60" i="21"/>
  <c r="AD68" i="21"/>
  <c r="AD76" i="21"/>
  <c r="AD84" i="21"/>
  <c r="AD96" i="21"/>
  <c r="AD104" i="21"/>
  <c r="V96" i="21"/>
  <c r="R96" i="21"/>
  <c r="AN96" i="21" s="1"/>
  <c r="V52" i="21"/>
  <c r="AJ52" i="21"/>
  <c r="V20" i="21"/>
  <c r="AJ20" i="21"/>
  <c r="V56" i="21"/>
  <c r="AJ56" i="21"/>
  <c r="V88" i="21"/>
  <c r="R88" i="21"/>
  <c r="AN88" i="21" s="1"/>
  <c r="AJ88" i="21"/>
  <c r="V61" i="21"/>
  <c r="R61" i="21"/>
  <c r="AN61" i="21" s="1"/>
  <c r="V64" i="21"/>
  <c r="R64" i="21"/>
  <c r="AN64" i="21" s="1"/>
  <c r="V89" i="21"/>
  <c r="R89" i="21"/>
  <c r="AN89" i="21" s="1"/>
  <c r="V67" i="21"/>
  <c r="R67" i="21"/>
  <c r="AN67" i="21" s="1"/>
  <c r="AJ67" i="21"/>
  <c r="V99" i="21"/>
  <c r="R99" i="21"/>
  <c r="AN99" i="21" s="1"/>
  <c r="V30" i="21"/>
  <c r="AJ30" i="21"/>
  <c r="R30" i="21"/>
  <c r="AN30" i="21" s="1"/>
  <c r="AJ35" i="21"/>
  <c r="R35" i="21"/>
  <c r="AN35" i="21" s="1"/>
  <c r="AJ84" i="21"/>
  <c r="AJ25" i="21"/>
  <c r="AJ24" i="21"/>
  <c r="R32" i="21"/>
  <c r="AN32" i="21" s="1"/>
  <c r="R29" i="21"/>
  <c r="AN29" i="21" s="1"/>
  <c r="V19" i="21"/>
  <c r="AJ19" i="21"/>
  <c r="V91" i="21"/>
  <c r="R91" i="21"/>
  <c r="AN91" i="21" s="1"/>
  <c r="AJ91" i="21"/>
  <c r="V21" i="21"/>
  <c r="AJ21" i="21"/>
  <c r="R21" i="21"/>
  <c r="AN21" i="21" s="1"/>
  <c r="V44" i="21"/>
  <c r="R44" i="21"/>
  <c r="AN44" i="21" s="1"/>
  <c r="AJ44" i="21"/>
  <c r="V23" i="21"/>
  <c r="AJ23" i="21"/>
  <c r="R23" i="21"/>
  <c r="AN23" i="21" s="1"/>
  <c r="V97" i="21"/>
  <c r="AJ97" i="21"/>
  <c r="R97" i="21"/>
  <c r="AN97" i="21" s="1"/>
  <c r="V51" i="21"/>
  <c r="AJ51" i="21"/>
  <c r="V42" i="21"/>
  <c r="AJ42" i="21"/>
  <c r="R42" i="21"/>
  <c r="AN42" i="21" s="1"/>
  <c r="V92" i="21"/>
  <c r="R92" i="21"/>
  <c r="AN92" i="21" s="1"/>
  <c r="AJ92" i="21"/>
  <c r="V95" i="21"/>
  <c r="AJ95" i="21"/>
  <c r="R95" i="21"/>
  <c r="AN95" i="21" s="1"/>
  <c r="V33" i="21"/>
  <c r="R33" i="21"/>
  <c r="AN33" i="21" s="1"/>
  <c r="AJ33" i="21"/>
  <c r="V48" i="21"/>
  <c r="R48" i="21"/>
  <c r="AN48" i="21" s="1"/>
  <c r="AJ48" i="21"/>
  <c r="V27" i="21"/>
  <c r="R27" i="21"/>
  <c r="AN27" i="21" s="1"/>
  <c r="AJ27" i="21"/>
  <c r="N43" i="21"/>
  <c r="V83" i="21"/>
  <c r="AJ83" i="21"/>
  <c r="V58" i="21"/>
  <c r="R58" i="21"/>
  <c r="AN58" i="21" s="1"/>
  <c r="AJ58" i="21"/>
  <c r="V54" i="21"/>
  <c r="AJ54" i="21"/>
  <c r="R54" i="21"/>
  <c r="AN54" i="21" s="1"/>
  <c r="V85" i="21"/>
  <c r="AJ85" i="21"/>
  <c r="R85" i="21"/>
  <c r="AN85" i="21" s="1"/>
  <c r="V60" i="21"/>
  <c r="R60" i="21"/>
  <c r="AN60" i="21" s="1"/>
  <c r="AJ60" i="21"/>
  <c r="V73" i="21"/>
  <c r="AJ73" i="21"/>
  <c r="R73" i="21"/>
  <c r="AN73" i="21" s="1"/>
  <c r="V15" i="21"/>
  <c r="AJ15" i="21"/>
  <c r="R15" i="21"/>
  <c r="AN15" i="21" s="1"/>
  <c r="V93" i="21"/>
  <c r="AJ93" i="21"/>
  <c r="R93" i="21"/>
  <c r="AN93" i="21" s="1"/>
  <c r="V55" i="21"/>
  <c r="AJ55" i="21"/>
  <c r="R55" i="21"/>
  <c r="AN55" i="21" s="1"/>
  <c r="V65" i="21"/>
  <c r="AJ65" i="21"/>
  <c r="R65" i="21"/>
  <c r="AN65" i="21" s="1"/>
  <c r="R19" i="21"/>
  <c r="AN19" i="21" s="1"/>
  <c r="V59" i="21"/>
  <c r="R59" i="21"/>
  <c r="AN59" i="21" s="1"/>
  <c r="AJ59" i="21"/>
  <c r="N75" i="21"/>
  <c r="V74" i="21"/>
  <c r="AJ74" i="21"/>
  <c r="R74" i="21"/>
  <c r="AN74" i="21" s="1"/>
  <c r="V90" i="21"/>
  <c r="AJ90" i="21"/>
  <c r="R90" i="21"/>
  <c r="AN90" i="21" s="1"/>
  <c r="V63" i="21"/>
  <c r="AJ63" i="21"/>
  <c r="R63" i="21"/>
  <c r="AN63" i="21" s="1"/>
  <c r="V53" i="21"/>
  <c r="AJ53" i="21"/>
  <c r="R53" i="21"/>
  <c r="AN53" i="21" s="1"/>
  <c r="V28" i="21"/>
  <c r="AJ28" i="21"/>
  <c r="R28" i="21"/>
  <c r="AN28" i="21" s="1"/>
  <c r="V87" i="21"/>
  <c r="R87" i="21"/>
  <c r="AN87" i="21" s="1"/>
  <c r="AJ87" i="21"/>
  <c r="AB35" i="21"/>
  <c r="AH35" i="21"/>
  <c r="Y35" i="21"/>
  <c r="AH67" i="21"/>
  <c r="AB67" i="21"/>
  <c r="Y67" i="21"/>
  <c r="AH99" i="21"/>
  <c r="AB99" i="21"/>
  <c r="Y99" i="21"/>
  <c r="R107" i="21"/>
  <c r="AN107" i="21" s="1"/>
  <c r="R34" i="21"/>
  <c r="AN34" i="21" s="1"/>
  <c r="AH50" i="21"/>
  <c r="AB50" i="21"/>
  <c r="Y50" i="21"/>
  <c r="AJ50" i="21"/>
  <c r="R66" i="21"/>
  <c r="AN66" i="21" s="1"/>
  <c r="R98" i="21"/>
  <c r="AN98" i="21" s="1"/>
  <c r="R106" i="21"/>
  <c r="AN106" i="21" s="1"/>
  <c r="R78" i="21"/>
  <c r="AN78" i="21" s="1"/>
  <c r="AJ13" i="21"/>
  <c r="AH29" i="21"/>
  <c r="Y29" i="21"/>
  <c r="AB29" i="21"/>
  <c r="N37" i="21"/>
  <c r="AJ45" i="21"/>
  <c r="AH61" i="21"/>
  <c r="Y61" i="21"/>
  <c r="AB61" i="21"/>
  <c r="AH69" i="21"/>
  <c r="Y69" i="21"/>
  <c r="AB69" i="21"/>
  <c r="AH101" i="21"/>
  <c r="Y101" i="21"/>
  <c r="AB101" i="21"/>
  <c r="AJ101" i="21"/>
  <c r="R20" i="21"/>
  <c r="AN20" i="21" s="1"/>
  <c r="AH36" i="21"/>
  <c r="AB36" i="21"/>
  <c r="Y36" i="21"/>
  <c r="R52" i="21"/>
  <c r="AN52" i="21" s="1"/>
  <c r="AH68" i="21"/>
  <c r="Y68" i="21"/>
  <c r="AB68" i="21"/>
  <c r="R84" i="21"/>
  <c r="AN84" i="21" s="1"/>
  <c r="AH100" i="21"/>
  <c r="Y100" i="21"/>
  <c r="AB100" i="21"/>
  <c r="AJ79" i="21"/>
  <c r="R10" i="21"/>
  <c r="AN10" i="21" s="1"/>
  <c r="AH86" i="21"/>
  <c r="AB86" i="21"/>
  <c r="Y86" i="21"/>
  <c r="AH12" i="21"/>
  <c r="Y12" i="21"/>
  <c r="AB12" i="21"/>
  <c r="R25" i="21"/>
  <c r="AN25" i="21" s="1"/>
  <c r="AH41" i="21"/>
  <c r="AB41" i="21"/>
  <c r="Y41" i="21"/>
  <c r="R57" i="21"/>
  <c r="AN57" i="21" s="1"/>
  <c r="N105" i="21"/>
  <c r="R24" i="21"/>
  <c r="AN24" i="21" s="1"/>
  <c r="AH40" i="21"/>
  <c r="AB40" i="21"/>
  <c r="Y40" i="21"/>
  <c r="R56" i="21"/>
  <c r="AN56" i="21" s="1"/>
  <c r="AH72" i="21"/>
  <c r="Y72" i="21"/>
  <c r="AB72" i="21"/>
  <c r="AH104" i="21"/>
  <c r="Y104" i="21"/>
  <c r="AB104" i="21"/>
  <c r="AJ11" i="21"/>
  <c r="N47" i="21"/>
  <c r="AJ71" i="21"/>
  <c r="AH94" i="21"/>
  <c r="AB94" i="21"/>
  <c r="Y94" i="21"/>
  <c r="AH90" i="21"/>
  <c r="AB90" i="21"/>
  <c r="Y90" i="21"/>
  <c r="AH55" i="21"/>
  <c r="AB55" i="21"/>
  <c r="Y55" i="21"/>
  <c r="AH73" i="21"/>
  <c r="Y73" i="21"/>
  <c r="AB73" i="21"/>
  <c r="AJ81" i="21"/>
  <c r="AB19" i="21"/>
  <c r="AH19" i="21"/>
  <c r="Y19" i="21"/>
  <c r="AH51" i="21"/>
  <c r="AB51" i="21"/>
  <c r="Y51" i="21"/>
  <c r="AH83" i="21"/>
  <c r="AB83" i="21"/>
  <c r="Y83" i="21"/>
  <c r="AJ99" i="21"/>
  <c r="AH107" i="21"/>
  <c r="AB107" i="21"/>
  <c r="Y107" i="21"/>
  <c r="N18" i="21"/>
  <c r="N26" i="21"/>
  <c r="AH34" i="21"/>
  <c r="Y34" i="21"/>
  <c r="AB34" i="21"/>
  <c r="AJ34" i="21"/>
  <c r="R50" i="21"/>
  <c r="AN50" i="21" s="1"/>
  <c r="AH66" i="21"/>
  <c r="AB66" i="21"/>
  <c r="Y66" i="21"/>
  <c r="AJ66" i="21"/>
  <c r="N82" i="21"/>
  <c r="AH98" i="21"/>
  <c r="AB98" i="21"/>
  <c r="Y98" i="21"/>
  <c r="AJ98" i="21"/>
  <c r="AH30" i="21"/>
  <c r="AB30" i="21"/>
  <c r="Y30" i="21"/>
  <c r="N102" i="21"/>
  <c r="AH13" i="21"/>
  <c r="Y13" i="21"/>
  <c r="AB13" i="21"/>
  <c r="AJ29" i="21"/>
  <c r="AH45" i="21"/>
  <c r="Y45" i="21"/>
  <c r="AB45" i="21"/>
  <c r="AJ61" i="21"/>
  <c r="R69" i="21"/>
  <c r="AN69" i="21" s="1"/>
  <c r="N77" i="21"/>
  <c r="R101" i="21"/>
  <c r="AN101" i="21" s="1"/>
  <c r="N109" i="21"/>
  <c r="AH20" i="21"/>
  <c r="AB20" i="21"/>
  <c r="Y20" i="21"/>
  <c r="R36" i="21"/>
  <c r="AN36" i="21" s="1"/>
  <c r="AH52" i="21"/>
  <c r="Y52" i="21"/>
  <c r="AB52" i="21"/>
  <c r="R68" i="21"/>
  <c r="AN68" i="21" s="1"/>
  <c r="N76" i="21"/>
  <c r="AH84" i="21"/>
  <c r="Y84" i="21"/>
  <c r="AB84" i="21"/>
  <c r="R100" i="21"/>
  <c r="AN100" i="21" s="1"/>
  <c r="N108" i="21"/>
  <c r="AH79" i="21"/>
  <c r="AB79" i="21"/>
  <c r="Y79" i="21"/>
  <c r="N22" i="21"/>
  <c r="AH70" i="21"/>
  <c r="AB70" i="21"/>
  <c r="Y70" i="21"/>
  <c r="AJ70" i="21"/>
  <c r="R12" i="21"/>
  <c r="AN12" i="21" s="1"/>
  <c r="N17" i="21"/>
  <c r="AH25" i="21"/>
  <c r="AB25" i="21"/>
  <c r="Y25" i="21"/>
  <c r="R41" i="21"/>
  <c r="AN41" i="21" s="1"/>
  <c r="N49" i="21"/>
  <c r="AH57" i="21"/>
  <c r="Y57" i="21"/>
  <c r="AB57" i="21"/>
  <c r="AH81" i="21"/>
  <c r="Y81" i="21"/>
  <c r="AB81" i="21"/>
  <c r="AH89" i="21"/>
  <c r="Y89" i="21"/>
  <c r="AB89" i="21"/>
  <c r="AJ89" i="21"/>
  <c r="N16" i="21"/>
  <c r="AH24" i="21"/>
  <c r="AB24" i="21"/>
  <c r="Y24" i="21"/>
  <c r="AJ32" i="21"/>
  <c r="R40" i="21"/>
  <c r="AN40" i="21" s="1"/>
  <c r="AH56" i="21"/>
  <c r="Y56" i="21"/>
  <c r="AB56" i="21"/>
  <c r="AJ64" i="21"/>
  <c r="R72" i="21"/>
  <c r="AN72" i="21" s="1"/>
  <c r="N80" i="21"/>
  <c r="AH88" i="21"/>
  <c r="Y88" i="21"/>
  <c r="AB88" i="21"/>
  <c r="AJ96" i="21"/>
  <c r="R104" i="21"/>
  <c r="AN104" i="21" s="1"/>
  <c r="R11" i="21"/>
  <c r="AN11" i="21" s="1"/>
  <c r="AH71" i="21"/>
  <c r="AB71" i="21"/>
  <c r="Y71" i="21"/>
  <c r="N14" i="21"/>
  <c r="R62" i="21"/>
  <c r="AN62" i="21" s="1"/>
  <c r="AJ62" i="21"/>
  <c r="AH58" i="21"/>
  <c r="AB58" i="21"/>
  <c r="Y58" i="21"/>
  <c r="AH63" i="21"/>
  <c r="AB63" i="21"/>
  <c r="Y63" i="21"/>
  <c r="AH44" i="21"/>
  <c r="Y44" i="21"/>
  <c r="AB44" i="21"/>
  <c r="AH97" i="21"/>
  <c r="Y97" i="21"/>
  <c r="AB97" i="21"/>
  <c r="AH48" i="21"/>
  <c r="AB48" i="21"/>
  <c r="Y48" i="21"/>
  <c r="AB27" i="21"/>
  <c r="AH27" i="21"/>
  <c r="Y27" i="21"/>
  <c r="AH59" i="21"/>
  <c r="AB59" i="21"/>
  <c r="Y59" i="21"/>
  <c r="AH91" i="21"/>
  <c r="AB91" i="21"/>
  <c r="Y91" i="21"/>
  <c r="AJ107" i="21"/>
  <c r="AH42" i="21"/>
  <c r="AB42" i="21"/>
  <c r="Y42" i="21"/>
  <c r="AH74" i="21"/>
  <c r="AB74" i="21"/>
  <c r="Y74" i="21"/>
  <c r="AH106" i="21"/>
  <c r="AB106" i="21"/>
  <c r="Y106" i="21"/>
  <c r="AJ106" i="21"/>
  <c r="AH54" i="21"/>
  <c r="AB54" i="21"/>
  <c r="Y54" i="21"/>
  <c r="AH78" i="21"/>
  <c r="AB78" i="21"/>
  <c r="Y78" i="21"/>
  <c r="AJ78" i="21"/>
  <c r="R13" i="21"/>
  <c r="AN13" i="21" s="1"/>
  <c r="AH21" i="21"/>
  <c r="Y21" i="21"/>
  <c r="AB21" i="21"/>
  <c r="R45" i="21"/>
  <c r="AN45" i="21" s="1"/>
  <c r="AH53" i="21"/>
  <c r="Y53" i="21"/>
  <c r="AB53" i="21"/>
  <c r="AJ69" i="21"/>
  <c r="AH85" i="21"/>
  <c r="Y85" i="21"/>
  <c r="AB85" i="21"/>
  <c r="AH93" i="21"/>
  <c r="Y93" i="21"/>
  <c r="AB93" i="21"/>
  <c r="AH28" i="21"/>
  <c r="Y28" i="21"/>
  <c r="AB28" i="21"/>
  <c r="AJ36" i="21"/>
  <c r="AH60" i="21"/>
  <c r="Y60" i="21"/>
  <c r="AB60" i="21"/>
  <c r="AJ68" i="21"/>
  <c r="AH92" i="21"/>
  <c r="Y92" i="21"/>
  <c r="AB92" i="21"/>
  <c r="AJ100" i="21"/>
  <c r="AB23" i="21"/>
  <c r="AH23" i="21"/>
  <c r="Y23" i="21"/>
  <c r="N39" i="21"/>
  <c r="R79" i="21"/>
  <c r="AN79" i="21" s="1"/>
  <c r="AH95" i="21"/>
  <c r="AB95" i="21"/>
  <c r="Y95" i="21"/>
  <c r="AH10" i="21"/>
  <c r="AB10" i="21"/>
  <c r="Y10" i="21"/>
  <c r="AJ10" i="21"/>
  <c r="N46" i="21"/>
  <c r="R70" i="21"/>
  <c r="AN70" i="21" s="1"/>
  <c r="R86" i="21"/>
  <c r="AN86" i="21" s="1"/>
  <c r="AJ86" i="21"/>
  <c r="AJ12" i="21"/>
  <c r="AH33" i="21"/>
  <c r="Y33" i="21"/>
  <c r="AB33" i="21"/>
  <c r="AJ41" i="21"/>
  <c r="AH65" i="21"/>
  <c r="Y65" i="21"/>
  <c r="AB65" i="21"/>
  <c r="R81" i="21"/>
  <c r="AN81" i="21" s="1"/>
  <c r="AH32" i="21"/>
  <c r="AB32" i="21"/>
  <c r="Y32" i="21"/>
  <c r="AJ40" i="21"/>
  <c r="AH64" i="21"/>
  <c r="AB64" i="21"/>
  <c r="Y64" i="21"/>
  <c r="AJ72" i="21"/>
  <c r="AH96" i="21"/>
  <c r="AB96" i="21"/>
  <c r="Y96" i="21"/>
  <c r="AJ104" i="21"/>
  <c r="AB11" i="21"/>
  <c r="AH11" i="21"/>
  <c r="Y11" i="21"/>
  <c r="AH15" i="21"/>
  <c r="AB15" i="21"/>
  <c r="Y15" i="21"/>
  <c r="N31" i="21"/>
  <c r="R71" i="21"/>
  <c r="AN71" i="21" s="1"/>
  <c r="AH87" i="21"/>
  <c r="AB87" i="21"/>
  <c r="Y87" i="21"/>
  <c r="N103" i="21"/>
  <c r="N38" i="21"/>
  <c r="AH62" i="21"/>
  <c r="AB62" i="21"/>
  <c r="Y62" i="21"/>
  <c r="R94" i="21"/>
  <c r="AN94" i="21" s="1"/>
  <c r="AJ94" i="21"/>
  <c r="D232" i="2"/>
  <c r="O35" i="8"/>
  <c r="C74" i="1" s="1"/>
  <c r="D74" i="1" s="1"/>
  <c r="N35" i="8"/>
  <c r="D195" i="2"/>
  <c r="D198" i="2"/>
  <c r="F7" i="25" s="1"/>
  <c r="F84" i="17"/>
  <c r="E43" i="17"/>
  <c r="F134" i="17"/>
  <c r="E135" i="17"/>
  <c r="E212" i="17"/>
  <c r="F241" i="17"/>
  <c r="F560" i="17"/>
  <c r="F96" i="17"/>
  <c r="F52" i="17"/>
  <c r="F112" i="17"/>
  <c r="E251" i="17"/>
  <c r="E130" i="17"/>
  <c r="F117" i="17"/>
  <c r="F466" i="17"/>
  <c r="F158" i="17"/>
  <c r="E113" i="17"/>
  <c r="F206" i="17"/>
  <c r="F288" i="17"/>
  <c r="E262" i="17"/>
  <c r="F393" i="17"/>
  <c r="F287" i="17"/>
  <c r="F108" i="17"/>
  <c r="F88" i="17"/>
  <c r="E67" i="17"/>
  <c r="F44" i="17"/>
  <c r="F24" i="17"/>
  <c r="F128" i="17"/>
  <c r="F174" i="17"/>
  <c r="E235" i="17"/>
  <c r="E129" i="17"/>
  <c r="E209" i="17"/>
  <c r="F238" i="17"/>
  <c r="E116" i="17"/>
  <c r="E210" i="17"/>
  <c r="E304" i="17"/>
  <c r="F414" i="17"/>
  <c r="F113" i="17"/>
  <c r="F221" i="17"/>
  <c r="E329" i="17"/>
  <c r="E394" i="17"/>
  <c r="F464" i="17"/>
  <c r="F558" i="17"/>
  <c r="E463" i="17"/>
  <c r="F13" i="17"/>
  <c r="E99" i="17"/>
  <c r="F76" i="17"/>
  <c r="F56" i="17"/>
  <c r="E35" i="17"/>
  <c r="F110" i="17"/>
  <c r="F150" i="17"/>
  <c r="F192" i="17"/>
  <c r="E111" i="17"/>
  <c r="E153" i="17"/>
  <c r="E277" i="17"/>
  <c r="F286" i="17"/>
  <c r="E162" i="17"/>
  <c r="E244" i="17"/>
  <c r="F368" i="17"/>
  <c r="F371" i="17"/>
  <c r="F159" i="17"/>
  <c r="F285" i="17"/>
  <c r="E413" i="17"/>
  <c r="E480" i="17"/>
  <c r="F551" i="17"/>
  <c r="F15" i="17"/>
  <c r="E557" i="17"/>
  <c r="E169" i="17"/>
  <c r="E178" i="17"/>
  <c r="F370" i="17"/>
  <c r="F177" i="17"/>
  <c r="E415" i="17"/>
  <c r="E482" i="17"/>
  <c r="F559" i="17"/>
  <c r="F399" i="17"/>
  <c r="F61" i="17"/>
  <c r="F93" i="17"/>
  <c r="F605" i="17"/>
  <c r="E556" i="17"/>
  <c r="E511" i="17"/>
  <c r="E425" i="17"/>
  <c r="F445" i="17"/>
  <c r="F95" i="17"/>
  <c r="E602" i="17"/>
  <c r="E590" i="17"/>
  <c r="F523" i="17"/>
  <c r="E529" i="17"/>
  <c r="F488" i="17"/>
  <c r="F444" i="17"/>
  <c r="E504" i="17"/>
  <c r="E462" i="17"/>
  <c r="E418" i="17"/>
  <c r="E376" i="17"/>
  <c r="E334" i="17"/>
  <c r="E393" i="17"/>
  <c r="E351" i="17"/>
  <c r="F309" i="17"/>
  <c r="F265" i="17"/>
  <c r="F223" i="17"/>
  <c r="F181" i="17"/>
  <c r="F137" i="17"/>
  <c r="E299" i="17"/>
  <c r="F375" i="17"/>
  <c r="F331" i="17"/>
  <c r="F392" i="17"/>
  <c r="F350" i="17"/>
  <c r="E306" i="17"/>
  <c r="E264" i="17"/>
  <c r="E228" i="17"/>
  <c r="E196" i="17"/>
  <c r="E164" i="17"/>
  <c r="E132" i="17"/>
  <c r="F304" i="17"/>
  <c r="F272" i="17"/>
  <c r="F240" i="17"/>
  <c r="F208" i="17"/>
  <c r="E245" i="17"/>
  <c r="E187" i="17"/>
  <c r="E155" i="17"/>
  <c r="E137" i="17"/>
  <c r="E121" i="17"/>
  <c r="E271" i="17"/>
  <c r="E239" i="17"/>
  <c r="E207" i="17"/>
  <c r="F184" i="17"/>
  <c r="F168" i="17"/>
  <c r="F152" i="17"/>
  <c r="F136" i="17"/>
  <c r="F120" i="17"/>
  <c r="E15" i="17"/>
  <c r="E23" i="17"/>
  <c r="E31" i="17"/>
  <c r="E39" i="17"/>
  <c r="E47" i="17"/>
  <c r="E55" i="17"/>
  <c r="E63" i="17"/>
  <c r="E71" i="17"/>
  <c r="E79" i="17"/>
  <c r="E87" i="17"/>
  <c r="E95" i="17"/>
  <c r="E103" i="17"/>
  <c r="F626" i="17"/>
  <c r="F105" i="17"/>
  <c r="F603" i="17"/>
  <c r="E542" i="17"/>
  <c r="E505" i="17"/>
  <c r="E423" i="17"/>
  <c r="F437" i="17"/>
  <c r="F107" i="17"/>
  <c r="E600" i="17"/>
  <c r="E582" i="17"/>
  <c r="F521" i="17"/>
  <c r="E527" i="17"/>
  <c r="F484" i="17"/>
  <c r="F442" i="17"/>
  <c r="E502" i="17"/>
  <c r="E458" i="17"/>
  <c r="E416" i="17"/>
  <c r="E374" i="17"/>
  <c r="E330" i="17"/>
  <c r="E391" i="17"/>
  <c r="F104" i="17"/>
  <c r="F92" i="17"/>
  <c r="E83" i="17"/>
  <c r="F72" i="17"/>
  <c r="F60" i="17"/>
  <c r="E51" i="17"/>
  <c r="F40" i="17"/>
  <c r="F28" i="17"/>
  <c r="E19" i="17"/>
  <c r="F118" i="17"/>
  <c r="F142" i="17"/>
  <c r="F160" i="17"/>
  <c r="F182" i="17"/>
  <c r="E219" i="17"/>
  <c r="E255" i="17"/>
  <c r="E119" i="17"/>
  <c r="E143" i="17"/>
  <c r="E171" i="17"/>
  <c r="E241" i="17"/>
  <c r="F222" i="17"/>
  <c r="F256" i="17"/>
  <c r="F302" i="17"/>
  <c r="E146" i="17"/>
  <c r="E180" i="17"/>
  <c r="E226" i="17"/>
  <c r="E282" i="17"/>
  <c r="F328" i="17"/>
  <c r="F390" i="17"/>
  <c r="F351" i="17"/>
  <c r="F395" i="17"/>
  <c r="F135" i="17"/>
  <c r="F199" i="17"/>
  <c r="F245" i="17"/>
  <c r="F305" i="17"/>
  <c r="E369" i="17"/>
  <c r="E352" i="17"/>
  <c r="E438" i="17"/>
  <c r="F420" i="17"/>
  <c r="F506" i="17"/>
  <c r="F543" i="17"/>
  <c r="E94" i="17"/>
  <c r="F479" i="17"/>
  <c r="F557" i="17"/>
  <c r="E92" i="17"/>
  <c r="F100" i="17"/>
  <c r="E91" i="17"/>
  <c r="F80" i="17"/>
  <c r="F68" i="17"/>
  <c r="E59" i="17"/>
  <c r="F48" i="17"/>
  <c r="F36" i="17"/>
  <c r="E27" i="17"/>
  <c r="F16" i="17"/>
  <c r="F126" i="17"/>
  <c r="F144" i="17"/>
  <c r="F166" i="17"/>
  <c r="F190" i="17"/>
  <c r="E223" i="17"/>
  <c r="E267" i="17"/>
  <c r="E127" i="17"/>
  <c r="E145" i="17"/>
  <c r="E185" i="17"/>
  <c r="E273" i="17"/>
  <c r="F224" i="17"/>
  <c r="F270" i="17"/>
  <c r="E114" i="17"/>
  <c r="E148" i="17"/>
  <c r="E194" i="17"/>
  <c r="E242" i="17"/>
  <c r="E286" i="17"/>
  <c r="F346" i="17"/>
  <c r="F410" i="17"/>
  <c r="F353" i="17"/>
  <c r="E297" i="17"/>
  <c r="F157" i="17"/>
  <c r="F201" i="17"/>
  <c r="F263" i="17"/>
  <c r="E327" i="17"/>
  <c r="E373" i="17"/>
  <c r="E354" i="17"/>
  <c r="E440" i="17"/>
  <c r="F424" i="17"/>
  <c r="F508" i="17"/>
  <c r="E546" i="17"/>
  <c r="E78" i="17"/>
  <c r="F485" i="17"/>
  <c r="F561" i="17"/>
  <c r="E76" i="17"/>
  <c r="E626" i="17"/>
  <c r="F106" i="17"/>
  <c r="F102" i="17"/>
  <c r="F98" i="17"/>
  <c r="F94" i="17"/>
  <c r="F90" i="17"/>
  <c r="F86" i="17"/>
  <c r="F82" i="17"/>
  <c r="F78" i="17"/>
  <c r="F74" i="17"/>
  <c r="F70" i="17"/>
  <c r="F66" i="17"/>
  <c r="F62" i="17"/>
  <c r="F58" i="17"/>
  <c r="F54" i="17"/>
  <c r="F50" i="17"/>
  <c r="F46" i="17"/>
  <c r="F42" i="17"/>
  <c r="F38" i="17"/>
  <c r="F34" i="17"/>
  <c r="F30" i="17"/>
  <c r="F26" i="17"/>
  <c r="F22" i="17"/>
  <c r="F18" i="17"/>
  <c r="F14" i="17"/>
  <c r="F114" i="17"/>
  <c r="F122" i="17"/>
  <c r="F130" i="17"/>
  <c r="F138" i="17"/>
  <c r="F146" i="17"/>
  <c r="F154" i="17"/>
  <c r="F162" i="17"/>
  <c r="F170" i="17"/>
  <c r="F178" i="17"/>
  <c r="F186" i="17"/>
  <c r="E195" i="17"/>
  <c r="E211" i="17"/>
  <c r="E227" i="17"/>
  <c r="E243" i="17"/>
  <c r="E259" i="17"/>
  <c r="E275" i="17"/>
  <c r="E115" i="17"/>
  <c r="E123" i="17"/>
  <c r="E131" i="17"/>
  <c r="E139" i="17"/>
  <c r="E147" i="17"/>
  <c r="E161" i="17"/>
  <c r="E177" i="17"/>
  <c r="E193" i="17"/>
  <c r="E225" i="17"/>
  <c r="E257" i="17"/>
  <c r="F198" i="17"/>
  <c r="F214" i="17"/>
  <c r="F230" i="17"/>
  <c r="F246" i="17"/>
  <c r="F262" i="17"/>
  <c r="F278" i="17"/>
  <c r="F294" i="17"/>
  <c r="F310" i="17"/>
  <c r="E122" i="17"/>
  <c r="E138" i="17"/>
  <c r="E154" i="17"/>
  <c r="E170" i="17"/>
  <c r="E186" i="17"/>
  <c r="E202" i="17"/>
  <c r="E218" i="17"/>
  <c r="E234" i="17"/>
  <c r="E250" i="17"/>
  <c r="E272" i="17"/>
  <c r="E294" i="17"/>
  <c r="E314" i="17"/>
  <c r="F336" i="17"/>
  <c r="F358" i="17"/>
  <c r="F378" i="17"/>
  <c r="F400" i="17"/>
  <c r="F319" i="17"/>
  <c r="F339" i="17"/>
  <c r="F361" i="17"/>
  <c r="F383" i="17"/>
  <c r="E285" i="17"/>
  <c r="E307" i="17"/>
  <c r="F125" i="17"/>
  <c r="F145" i="17"/>
  <c r="F167" i="17"/>
  <c r="F189" i="17"/>
  <c r="F209" i="17"/>
  <c r="F231" i="17"/>
  <c r="F253" i="17"/>
  <c r="F273" i="17"/>
  <c r="F295" i="17"/>
  <c r="E317" i="17"/>
  <c r="E337" i="17"/>
  <c r="E359" i="17"/>
  <c r="E381" i="17"/>
  <c r="E401" i="17"/>
  <c r="E320" i="17"/>
  <c r="E342" i="17"/>
  <c r="E362" i="17"/>
  <c r="E384" i="17"/>
  <c r="E406" i="17"/>
  <c r="E426" i="17"/>
  <c r="E448" i="17"/>
  <c r="E470" i="17"/>
  <c r="E490" i="17"/>
  <c r="E512" i="17"/>
  <c r="F432" i="17"/>
  <c r="F452" i="17"/>
  <c r="F474" i="17"/>
  <c r="F496" i="17"/>
  <c r="F516" i="17"/>
  <c r="E537" i="17"/>
  <c r="F575" i="17"/>
  <c r="F531" i="17"/>
  <c r="E562" i="17"/>
  <c r="F548" i="17"/>
  <c r="F576" i="17"/>
  <c r="E599" i="17"/>
  <c r="E46" i="17"/>
  <c r="F63" i="17"/>
  <c r="F415" i="17"/>
  <c r="F461" i="17"/>
  <c r="F501" i="17"/>
  <c r="E441" i="17"/>
  <c r="E487" i="17"/>
  <c r="F526" i="17"/>
  <c r="F593" i="17"/>
  <c r="E588" i="17"/>
  <c r="E579" i="17"/>
  <c r="F602" i="17"/>
  <c r="E44" i="17"/>
  <c r="F17" i="17"/>
  <c r="F33" i="17"/>
  <c r="F49" i="17"/>
  <c r="F65" i="17"/>
  <c r="F81" i="17"/>
  <c r="F97" i="17"/>
  <c r="E16" i="17"/>
  <c r="E32" i="17"/>
  <c r="E48" i="17"/>
  <c r="E64" i="17"/>
  <c r="E80" i="17"/>
  <c r="E96" i="17"/>
  <c r="C633" i="17"/>
  <c r="F606" i="17"/>
  <c r="F598" i="17"/>
  <c r="F609" i="17"/>
  <c r="F601" i="17"/>
  <c r="E593" i="17"/>
  <c r="E585" i="17"/>
  <c r="E577" i="17"/>
  <c r="E569" i="17"/>
  <c r="E561" i="17"/>
  <c r="E553" i="17"/>
  <c r="E545" i="17"/>
  <c r="E584" i="17"/>
  <c r="E568" i="17"/>
  <c r="E552" i="17"/>
  <c r="E540" i="17"/>
  <c r="E532" i="17"/>
  <c r="E524" i="17"/>
  <c r="F585" i="17"/>
  <c r="F569" i="17"/>
  <c r="F553" i="17"/>
  <c r="F540" i="17"/>
  <c r="F532" i="17"/>
  <c r="F524" i="17"/>
  <c r="E517" i="17"/>
  <c r="E509" i="17"/>
  <c r="E501" i="17"/>
  <c r="E493" i="17"/>
  <c r="E485" i="17"/>
  <c r="E477" i="17"/>
  <c r="E469" i="17"/>
  <c r="E461" i="17"/>
  <c r="E453" i="17"/>
  <c r="E445" i="17"/>
  <c r="E437" i="17"/>
  <c r="E429" i="17"/>
  <c r="E421" i="17"/>
  <c r="F515" i="17"/>
  <c r="F507" i="17"/>
  <c r="F499" i="17"/>
  <c r="F491" i="17"/>
  <c r="F483" i="17"/>
  <c r="F475" i="17"/>
  <c r="F467" i="17"/>
  <c r="F459" i="17"/>
  <c r="F451" i="17"/>
  <c r="F443" i="17"/>
  <c r="F435" i="17"/>
  <c r="F427" i="17"/>
  <c r="F419" i="17"/>
  <c r="F411" i="17"/>
  <c r="F403" i="17"/>
  <c r="F19" i="17"/>
  <c r="F35" i="17"/>
  <c r="F51" i="17"/>
  <c r="F67" i="17"/>
  <c r="F83" i="17"/>
  <c r="F99" i="17"/>
  <c r="E18" i="17"/>
  <c r="E34" i="17"/>
  <c r="E50" i="17"/>
  <c r="E66" i="17"/>
  <c r="E82" i="17"/>
  <c r="E98" i="17"/>
  <c r="E611" i="17"/>
  <c r="E603" i="17"/>
  <c r="A623" i="17"/>
  <c r="E623" i="17" s="1"/>
  <c r="E606" i="17"/>
  <c r="E598" i="17"/>
  <c r="F590" i="17"/>
  <c r="F582" i="17"/>
  <c r="F574" i="17"/>
  <c r="F566" i="17"/>
  <c r="F21" i="17"/>
  <c r="F37" i="17"/>
  <c r="F53" i="17"/>
  <c r="F69" i="17"/>
  <c r="F85" i="17"/>
  <c r="F101" i="17"/>
  <c r="E20" i="17"/>
  <c r="E36" i="17"/>
  <c r="E52" i="17"/>
  <c r="E68" i="17"/>
  <c r="E84" i="17"/>
  <c r="E100" i="17"/>
  <c r="F612" i="17"/>
  <c r="F604" i="17"/>
  <c r="F596" i="17"/>
  <c r="F607" i="17"/>
  <c r="F599" i="17"/>
  <c r="E591" i="17"/>
  <c r="E583" i="17"/>
  <c r="E575" i="17"/>
  <c r="E567" i="17"/>
  <c r="E559" i="17"/>
  <c r="E551" i="17"/>
  <c r="F595" i="17"/>
  <c r="E580" i="17"/>
  <c r="E564" i="17"/>
  <c r="E548" i="17"/>
  <c r="E538" i="17"/>
  <c r="E530" i="17"/>
  <c r="E522" i="17"/>
  <c r="F581" i="17"/>
  <c r="F565" i="17"/>
  <c r="F549" i="17"/>
  <c r="F538" i="17"/>
  <c r="F530" i="17"/>
  <c r="F522" i="17"/>
  <c r="E515" i="17"/>
  <c r="E507" i="17"/>
  <c r="E499" i="17"/>
  <c r="E491" i="17"/>
  <c r="E483" i="17"/>
  <c r="E475" i="17"/>
  <c r="E467" i="17"/>
  <c r="E459" i="17"/>
  <c r="E451" i="17"/>
  <c r="E443" i="17"/>
  <c r="E435" i="17"/>
  <c r="E427" i="17"/>
  <c r="E419" i="17"/>
  <c r="F513" i="17"/>
  <c r="F505" i="17"/>
  <c r="F497" i="17"/>
  <c r="F489" i="17"/>
  <c r="F481" i="17"/>
  <c r="F473" i="17"/>
  <c r="F465" i="17"/>
  <c r="F457" i="17"/>
  <c r="F449" i="17"/>
  <c r="F441" i="17"/>
  <c r="F433" i="17"/>
  <c r="F425" i="17"/>
  <c r="F417" i="17"/>
  <c r="F409" i="17"/>
  <c r="F401" i="17"/>
  <c r="F23" i="17"/>
  <c r="F39" i="17"/>
  <c r="F55" i="17"/>
  <c r="F71" i="17"/>
  <c r="F87" i="17"/>
  <c r="F103" i="17"/>
  <c r="E22" i="17"/>
  <c r="E38" i="17"/>
  <c r="E54" i="17"/>
  <c r="E70" i="17"/>
  <c r="E86" i="17"/>
  <c r="E102" i="17"/>
  <c r="E609" i="17"/>
  <c r="E601" i="17"/>
  <c r="E612" i="17"/>
  <c r="E604" i="17"/>
  <c r="E596" i="17"/>
  <c r="F588" i="17"/>
  <c r="F580" i="17"/>
  <c r="F572" i="17"/>
  <c r="F564" i="17"/>
  <c r="F25" i="17"/>
  <c r="F57" i="17"/>
  <c r="F89" i="17"/>
  <c r="E24" i="17"/>
  <c r="E56" i="17"/>
  <c r="E88" i="17"/>
  <c r="F610" i="17"/>
  <c r="F613" i="17"/>
  <c r="F597" i="17"/>
  <c r="E581" i="17"/>
  <c r="E565" i="17"/>
  <c r="E549" i="17"/>
  <c r="E576" i="17"/>
  <c r="E544" i="17"/>
  <c r="E528" i="17"/>
  <c r="F577" i="17"/>
  <c r="F545" i="17"/>
  <c r="F528" i="17"/>
  <c r="E513" i="17"/>
  <c r="E497" i="17"/>
  <c r="E481" i="17"/>
  <c r="E465" i="17"/>
  <c r="E449" i="17"/>
  <c r="E433" i="17"/>
  <c r="E520" i="17"/>
  <c r="F503" i="17"/>
  <c r="F487" i="17"/>
  <c r="F471" i="17"/>
  <c r="F455" i="17"/>
  <c r="F439" i="17"/>
  <c r="F423" i="17"/>
  <c r="F407" i="17"/>
  <c r="F27" i="17"/>
  <c r="F59" i="17"/>
  <c r="F91" i="17"/>
  <c r="E26" i="17"/>
  <c r="E58" i="17"/>
  <c r="E90" i="17"/>
  <c r="E607" i="17"/>
  <c r="E610" i="17"/>
  <c r="F594" i="17"/>
  <c r="F578" i="17"/>
  <c r="F562" i="17"/>
  <c r="F554" i="17"/>
  <c r="F546" i="17"/>
  <c r="E586" i="17"/>
  <c r="E570" i="17"/>
  <c r="E554" i="17"/>
  <c r="F541" i="17"/>
  <c r="F533" i="17"/>
  <c r="F525" i="17"/>
  <c r="F587" i="17"/>
  <c r="F571" i="17"/>
  <c r="F555" i="17"/>
  <c r="E541" i="17"/>
  <c r="E533" i="17"/>
  <c r="E525" i="17"/>
  <c r="F518" i="17"/>
  <c r="F510" i="17"/>
  <c r="F502" i="17"/>
  <c r="F494" i="17"/>
  <c r="F486" i="17"/>
  <c r="F478" i="17"/>
  <c r="F470" i="17"/>
  <c r="F462" i="17"/>
  <c r="F454" i="17"/>
  <c r="F446" i="17"/>
  <c r="F438" i="17"/>
  <c r="F430" i="17"/>
  <c r="F422" i="17"/>
  <c r="E516" i="17"/>
  <c r="E508" i="17"/>
  <c r="E500" i="17"/>
  <c r="E492" i="17"/>
  <c r="E484" i="17"/>
  <c r="E476" i="17"/>
  <c r="E468" i="17"/>
  <c r="E460" i="17"/>
  <c r="E452" i="17"/>
  <c r="E444" i="17"/>
  <c r="E436" i="17"/>
  <c r="E428" i="17"/>
  <c r="E420" i="17"/>
  <c r="E412" i="17"/>
  <c r="E404" i="17"/>
  <c r="E396" i="17"/>
  <c r="E388" i="17"/>
  <c r="E380" i="17"/>
  <c r="E372" i="17"/>
  <c r="E364" i="17"/>
  <c r="E356" i="17"/>
  <c r="E348" i="17"/>
  <c r="E340" i="17"/>
  <c r="E332" i="17"/>
  <c r="E324" i="17"/>
  <c r="E316" i="17"/>
  <c r="E411" i="17"/>
  <c r="E403" i="17"/>
  <c r="E395" i="17"/>
  <c r="E387" i="17"/>
  <c r="E379" i="17"/>
  <c r="E371" i="17"/>
  <c r="E363" i="17"/>
  <c r="E355" i="17"/>
  <c r="E347" i="17"/>
  <c r="E339" i="17"/>
  <c r="E331" i="17"/>
  <c r="E323" i="17"/>
  <c r="E315" i="17"/>
  <c r="F307" i="17"/>
  <c r="F299" i="17"/>
  <c r="F291" i="17"/>
  <c r="F283" i="17"/>
  <c r="F275" i="17"/>
  <c r="F267" i="17"/>
  <c r="F259" i="17"/>
  <c r="F251" i="17"/>
  <c r="F243" i="17"/>
  <c r="F235" i="17"/>
  <c r="F227" i="17"/>
  <c r="F219" i="17"/>
  <c r="F211" i="17"/>
  <c r="F203" i="17"/>
  <c r="F195" i="17"/>
  <c r="F187" i="17"/>
  <c r="F179" i="17"/>
  <c r="F171" i="17"/>
  <c r="F163" i="17"/>
  <c r="F155" i="17"/>
  <c r="F147" i="17"/>
  <c r="F139" i="17"/>
  <c r="F131" i="17"/>
  <c r="F123" i="17"/>
  <c r="F115" i="17"/>
  <c r="E311" i="17"/>
  <c r="E303" i="17"/>
  <c r="E295" i="17"/>
  <c r="E287" i="17"/>
  <c r="F397" i="17"/>
  <c r="F389" i="17"/>
  <c r="F381" i="17"/>
  <c r="F373" i="17"/>
  <c r="F365" i="17"/>
  <c r="F357" i="17"/>
  <c r="F349" i="17"/>
  <c r="F341" i="17"/>
  <c r="F333" i="17"/>
  <c r="F325" i="17"/>
  <c r="F317" i="17"/>
  <c r="F412" i="17"/>
  <c r="F404" i="17"/>
  <c r="F396" i="17"/>
  <c r="F388" i="17"/>
  <c r="F380" i="17"/>
  <c r="F372" i="17"/>
  <c r="F364" i="17"/>
  <c r="F356" i="17"/>
  <c r="F348" i="17"/>
  <c r="F340" i="17"/>
  <c r="F332" i="17"/>
  <c r="F324" i="17"/>
  <c r="F316" i="17"/>
  <c r="E308" i="17"/>
  <c r="E300" i="17"/>
  <c r="E292" i="17"/>
  <c r="E284" i="17"/>
  <c r="E276" i="17"/>
  <c r="E268" i="17"/>
  <c r="E260" i="17"/>
  <c r="E252" i="17"/>
  <c r="F29" i="17"/>
  <c r="F73" i="17"/>
  <c r="F109" i="17"/>
  <c r="E60" i="17"/>
  <c r="E104" i="17"/>
  <c r="F600" i="17"/>
  <c r="E595" i="17"/>
  <c r="E573" i="17"/>
  <c r="E555" i="17"/>
  <c r="E572" i="17"/>
  <c r="E536" i="17"/>
  <c r="F589" i="17"/>
  <c r="F542" i="17"/>
  <c r="F520" i="17"/>
  <c r="E503" i="17"/>
  <c r="E479" i="17"/>
  <c r="E457" i="17"/>
  <c r="E439" i="17"/>
  <c r="F517" i="17"/>
  <c r="F495" i="17"/>
  <c r="F477" i="17"/>
  <c r="F453" i="17"/>
  <c r="F431" i="17"/>
  <c r="F413" i="17"/>
  <c r="F31" i="17"/>
  <c r="F75" i="17"/>
  <c r="E14" i="17"/>
  <c r="E62" i="17"/>
  <c r="E106" i="17"/>
  <c r="E597" i="17"/>
  <c r="F592" i="17"/>
  <c r="F570" i="17"/>
  <c r="F556" i="17"/>
  <c r="F544" i="17"/>
  <c r="E578" i="17"/>
  <c r="E558" i="17"/>
  <c r="F539" i="17"/>
  <c r="F529" i="17"/>
  <c r="F591" i="17"/>
  <c r="F567" i="17"/>
  <c r="F547" i="17"/>
  <c r="E535" i="17"/>
  <c r="E523" i="17"/>
  <c r="F514" i="17"/>
  <c r="F504" i="17"/>
  <c r="F492" i="17"/>
  <c r="F482" i="17"/>
  <c r="F472" i="17"/>
  <c r="F460" i="17"/>
  <c r="F450" i="17"/>
  <c r="F440" i="17"/>
  <c r="F428" i="17"/>
  <c r="F418" i="17"/>
  <c r="E510" i="17"/>
  <c r="E498" i="17"/>
  <c r="E488" i="17"/>
  <c r="E478" i="17"/>
  <c r="E466" i="17"/>
  <c r="E456" i="17"/>
  <c r="E446" i="17"/>
  <c r="E434" i="17"/>
  <c r="E424" i="17"/>
  <c r="E414" i="17"/>
  <c r="E402" i="17"/>
  <c r="E392" i="17"/>
  <c r="E382" i="17"/>
  <c r="E370" i="17"/>
  <c r="E360" i="17"/>
  <c r="E350" i="17"/>
  <c r="E338" i="17"/>
  <c r="E328" i="17"/>
  <c r="E318" i="17"/>
  <c r="E409" i="17"/>
  <c r="E399" i="17"/>
  <c r="E389" i="17"/>
  <c r="E377" i="17"/>
  <c r="E367" i="17"/>
  <c r="E357" i="17"/>
  <c r="E345" i="17"/>
  <c r="E335" i="17"/>
  <c r="E325" i="17"/>
  <c r="F313" i="17"/>
  <c r="F303" i="17"/>
  <c r="F293" i="17"/>
  <c r="F281" i="17"/>
  <c r="F271" i="17"/>
  <c r="F261" i="17"/>
  <c r="F249" i="17"/>
  <c r="F239" i="17"/>
  <c r="F229" i="17"/>
  <c r="F217" i="17"/>
  <c r="F207" i="17"/>
  <c r="F197" i="17"/>
  <c r="F185" i="17"/>
  <c r="F175" i="17"/>
  <c r="F165" i="17"/>
  <c r="F153" i="17"/>
  <c r="F143" i="17"/>
  <c r="F133" i="17"/>
  <c r="F121" i="17"/>
  <c r="F111" i="17"/>
  <c r="E305" i="17"/>
  <c r="E293" i="17"/>
  <c r="E283" i="17"/>
  <c r="F391" i="17"/>
  <c r="F379" i="17"/>
  <c r="F369" i="17"/>
  <c r="F359" i="17"/>
  <c r="F347" i="17"/>
  <c r="F337" i="17"/>
  <c r="F327" i="17"/>
  <c r="F315" i="17"/>
  <c r="F408" i="17"/>
  <c r="F398" i="17"/>
  <c r="F386" i="17"/>
  <c r="F376" i="17"/>
  <c r="F366" i="17"/>
  <c r="F354" i="17"/>
  <c r="F344" i="17"/>
  <c r="F334" i="17"/>
  <c r="F322" i="17"/>
  <c r="E312" i="17"/>
  <c r="E302" i="17"/>
  <c r="E290" i="17"/>
  <c r="E280" i="17"/>
  <c r="E270" i="17"/>
  <c r="E258" i="17"/>
  <c r="E248" i="17"/>
  <c r="E240" i="17"/>
  <c r="E232" i="17"/>
  <c r="E224" i="17"/>
  <c r="E216" i="17"/>
  <c r="E208" i="17"/>
  <c r="E200" i="17"/>
  <c r="E192" i="17"/>
  <c r="E184" i="17"/>
  <c r="E176" i="17"/>
  <c r="E168" i="17"/>
  <c r="E160" i="17"/>
  <c r="E152" i="17"/>
  <c r="E144" i="17"/>
  <c r="E136" i="17"/>
  <c r="E128" i="17"/>
  <c r="E120" i="17"/>
  <c r="E112" i="17"/>
  <c r="F308" i="17"/>
  <c r="F300" i="17"/>
  <c r="F292" i="17"/>
  <c r="F284" i="17"/>
  <c r="F276" i="17"/>
  <c r="F268" i="17"/>
  <c r="F260" i="17"/>
  <c r="F252" i="17"/>
  <c r="F244" i="17"/>
  <c r="F236" i="17"/>
  <c r="F228" i="17"/>
  <c r="F220" i="17"/>
  <c r="F212" i="17"/>
  <c r="F204" i="17"/>
  <c r="F196" i="17"/>
  <c r="E269" i="17"/>
  <c r="E253" i="17"/>
  <c r="E237" i="17"/>
  <c r="E221" i="17"/>
  <c r="E205" i="17"/>
  <c r="E191" i="17"/>
  <c r="E183" i="17"/>
  <c r="E175" i="17"/>
  <c r="E167" i="17"/>
  <c r="E159" i="17"/>
  <c r="E151" i="17"/>
  <c r="F41" i="17"/>
  <c r="F77" i="17"/>
  <c r="E28" i="17"/>
  <c r="E72" i="17"/>
  <c r="E108" i="17"/>
  <c r="F611" i="17"/>
  <c r="E589" i="17"/>
  <c r="E571" i="17"/>
  <c r="E547" i="17"/>
  <c r="E560" i="17"/>
  <c r="E534" i="17"/>
  <c r="F573" i="17"/>
  <c r="F536" i="17"/>
  <c r="F519" i="17"/>
  <c r="E495" i="17"/>
  <c r="E473" i="17"/>
  <c r="E455" i="17"/>
  <c r="E431" i="17"/>
  <c r="F511" i="17"/>
  <c r="F493" i="17"/>
  <c r="F469" i="17"/>
  <c r="F447" i="17"/>
  <c r="F429" i="17"/>
  <c r="F405" i="17"/>
  <c r="F43" i="17"/>
  <c r="F79" i="17"/>
  <c r="E30" i="17"/>
  <c r="E74" i="17"/>
  <c r="E613" i="17"/>
  <c r="E608" i="17"/>
  <c r="F586" i="17"/>
  <c r="F568" i="17"/>
  <c r="F552" i="17"/>
  <c r="E594" i="17"/>
  <c r="E574" i="17"/>
  <c r="E550" i="17"/>
  <c r="F537" i="17"/>
  <c r="F527" i="17"/>
  <c r="F583" i="17"/>
  <c r="F563" i="17"/>
  <c r="E543" i="17"/>
  <c r="E531" i="17"/>
  <c r="E521" i="17"/>
  <c r="F512" i="17"/>
  <c r="F500" i="17"/>
  <c r="F490" i="17"/>
  <c r="F480" i="17"/>
  <c r="F468" i="17"/>
  <c r="F458" i="17"/>
  <c r="F448" i="17"/>
  <c r="F436" i="17"/>
  <c r="F426" i="17"/>
  <c r="E518" i="17"/>
  <c r="E506" i="17"/>
  <c r="E496" i="17"/>
  <c r="E486" i="17"/>
  <c r="E474" i="17"/>
  <c r="E464" i="17"/>
  <c r="E454" i="17"/>
  <c r="E442" i="17"/>
  <c r="E432" i="17"/>
  <c r="E422" i="17"/>
  <c r="E410" i="17"/>
  <c r="E400" i="17"/>
  <c r="E390" i="17"/>
  <c r="E378" i="17"/>
  <c r="E368" i="17"/>
  <c r="E358" i="17"/>
  <c r="E346" i="17"/>
  <c r="E336" i="17"/>
  <c r="E326" i="17"/>
  <c r="E417" i="17"/>
  <c r="E407" i="17"/>
  <c r="E397" i="17"/>
  <c r="E385" i="17"/>
  <c r="E375" i="17"/>
  <c r="E365" i="17"/>
  <c r="E353" i="17"/>
  <c r="E343" i="17"/>
  <c r="E333" i="17"/>
  <c r="E321" i="17"/>
  <c r="F311" i="17"/>
  <c r="F301" i="17"/>
  <c r="F289" i="17"/>
  <c r="F279" i="17"/>
  <c r="F269" i="17"/>
  <c r="F257" i="17"/>
  <c r="F247" i="17"/>
  <c r="F237" i="17"/>
  <c r="F225" i="17"/>
  <c r="F215" i="17"/>
  <c r="F205" i="17"/>
  <c r="F193" i="17"/>
  <c r="F183" i="17"/>
  <c r="F173" i="17"/>
  <c r="F161" i="17"/>
  <c r="F151" i="17"/>
  <c r="F141" i="17"/>
  <c r="F129" i="17"/>
  <c r="F119" i="17"/>
  <c r="E313" i="17"/>
  <c r="E301" i="17"/>
  <c r="E291" i="17"/>
  <c r="E281" i="17"/>
  <c r="F387" i="17"/>
  <c r="F377" i="17"/>
  <c r="F367" i="17"/>
  <c r="F355" i="17"/>
  <c r="F345" i="17"/>
  <c r="F335" i="17"/>
  <c r="F323" i="17"/>
  <c r="F416" i="17"/>
  <c r="F406" i="17"/>
  <c r="F394" i="17"/>
  <c r="F384" i="17"/>
  <c r="F374" i="17"/>
  <c r="F362" i="17"/>
  <c r="F352" i="17"/>
  <c r="F342" i="17"/>
  <c r="F330" i="17"/>
  <c r="F320" i="17"/>
  <c r="E310" i="17"/>
  <c r="E298" i="17"/>
  <c r="E288" i="17"/>
  <c r="E278" i="17"/>
  <c r="E266" i="17"/>
  <c r="E256" i="17"/>
  <c r="E246" i="17"/>
  <c r="E238" i="17"/>
  <c r="E230" i="17"/>
  <c r="E222" i="17"/>
  <c r="E214" i="17"/>
  <c r="E206" i="17"/>
  <c r="E198" i="17"/>
  <c r="E190" i="17"/>
  <c r="E182" i="17"/>
  <c r="E174" i="17"/>
  <c r="E166" i="17"/>
  <c r="E158" i="17"/>
  <c r="E150" i="17"/>
  <c r="E142" i="17"/>
  <c r="E134" i="17"/>
  <c r="E126" i="17"/>
  <c r="E118" i="17"/>
  <c r="F314" i="17"/>
  <c r="F306" i="17"/>
  <c r="F298" i="17"/>
  <c r="F290" i="17"/>
  <c r="F282" i="17"/>
  <c r="F274" i="17"/>
  <c r="F266" i="17"/>
  <c r="F258" i="17"/>
  <c r="F250" i="17"/>
  <c r="F242" i="17"/>
  <c r="F234" i="17"/>
  <c r="F226" i="17"/>
  <c r="F218" i="17"/>
  <c r="F210" i="17"/>
  <c r="F202" i="17"/>
  <c r="F194" i="17"/>
  <c r="E265" i="17"/>
  <c r="E249" i="17"/>
  <c r="E233" i="17"/>
  <c r="E217" i="17"/>
  <c r="E201" i="17"/>
  <c r="E189" i="17"/>
  <c r="E181" i="17"/>
  <c r="E173" i="17"/>
  <c r="E165" i="17"/>
  <c r="E157" i="17"/>
  <c r="E109" i="17"/>
  <c r="E105" i="17"/>
  <c r="E101" i="17"/>
  <c r="E97" i="17"/>
  <c r="E93" i="17"/>
  <c r="E89" i="17"/>
  <c r="E85" i="17"/>
  <c r="E81" i="17"/>
  <c r="E77" i="17"/>
  <c r="E73" i="17"/>
  <c r="E69" i="17"/>
  <c r="E65" i="17"/>
  <c r="E61" i="17"/>
  <c r="E57" i="17"/>
  <c r="E53" i="17"/>
  <c r="E49" i="17"/>
  <c r="E45" i="17"/>
  <c r="E41" i="17"/>
  <c r="E37" i="17"/>
  <c r="E33" i="17"/>
  <c r="E29" i="17"/>
  <c r="E25" i="17"/>
  <c r="E21" i="17"/>
  <c r="E17" i="17"/>
  <c r="E13" i="17"/>
  <c r="F116" i="17"/>
  <c r="F124" i="17"/>
  <c r="F132" i="17"/>
  <c r="F140" i="17"/>
  <c r="F148" i="17"/>
  <c r="F156" i="17"/>
  <c r="F164" i="17"/>
  <c r="F172" i="17"/>
  <c r="F180" i="17"/>
  <c r="F188" i="17"/>
  <c r="E199" i="17"/>
  <c r="E215" i="17"/>
  <c r="E231" i="17"/>
  <c r="E247" i="17"/>
  <c r="E263" i="17"/>
  <c r="E279" i="17"/>
  <c r="E117" i="17"/>
  <c r="E125" i="17"/>
  <c r="E133" i="17"/>
  <c r="E141" i="17"/>
  <c r="E149" i="17"/>
  <c r="E163" i="17"/>
  <c r="E179" i="17"/>
  <c r="E197" i="17"/>
  <c r="E229" i="17"/>
  <c r="E261" i="17"/>
  <c r="F200" i="17"/>
  <c r="F216" i="17"/>
  <c r="F232" i="17"/>
  <c r="F248" i="17"/>
  <c r="F264" i="17"/>
  <c r="F280" i="17"/>
  <c r="F296" i="17"/>
  <c r="F312" i="17"/>
  <c r="E124" i="17"/>
  <c r="E140" i="17"/>
  <c r="E156" i="17"/>
  <c r="E172" i="17"/>
  <c r="E188" i="17"/>
  <c r="E204" i="17"/>
  <c r="E220" i="17"/>
  <c r="E236" i="17"/>
  <c r="E254" i="17"/>
  <c r="E274" i="17"/>
  <c r="E296" i="17"/>
  <c r="F318" i="17"/>
  <c r="F338" i="17"/>
  <c r="F360" i="17"/>
  <c r="F382" i="17"/>
  <c r="F402" i="17"/>
  <c r="F321" i="17"/>
  <c r="F343" i="17"/>
  <c r="F363" i="17"/>
  <c r="F385" i="17"/>
  <c r="E289" i="17"/>
  <c r="E309" i="17"/>
  <c r="F127" i="17"/>
  <c r="F149" i="17"/>
  <c r="F169" i="17"/>
  <c r="F191" i="17"/>
  <c r="F213" i="17"/>
  <c r="F233" i="17"/>
  <c r="F255" i="17"/>
  <c r="F277" i="17"/>
  <c r="F297" i="17"/>
  <c r="E319" i="17"/>
  <c r="E341" i="17"/>
  <c r="E361" i="17"/>
  <c r="E383" i="17"/>
  <c r="E405" i="17"/>
  <c r="E322" i="17"/>
  <c r="E344" i="17"/>
  <c r="E366" i="17"/>
  <c r="E386" i="17"/>
  <c r="E408" i="17"/>
  <c r="E430" i="17"/>
  <c r="E450" i="17"/>
  <c r="E472" i="17"/>
  <c r="E494" i="17"/>
  <c r="E514" i="17"/>
  <c r="F434" i="17"/>
  <c r="F456" i="17"/>
  <c r="F476" i="17"/>
  <c r="F498" i="17"/>
  <c r="E519" i="17"/>
  <c r="E539" i="17"/>
  <c r="F579" i="17"/>
  <c r="F535" i="17"/>
  <c r="E566" i="17"/>
  <c r="F550" i="17"/>
  <c r="F584" i="17"/>
  <c r="E605" i="17"/>
  <c r="E42" i="17"/>
  <c r="F47" i="17"/>
  <c r="F421" i="17"/>
  <c r="F463" i="17"/>
  <c r="F509" i="17"/>
  <c r="E447" i="17"/>
  <c r="E489" i="17"/>
  <c r="F534" i="17"/>
  <c r="E526" i="17"/>
  <c r="E592" i="17"/>
  <c r="E587" i="17"/>
  <c r="F608" i="17"/>
  <c r="E40" i="17"/>
  <c r="F45" i="17"/>
  <c r="B364" i="2"/>
  <c r="B163" i="2"/>
  <c r="AS88" i="21"/>
  <c r="AS36" i="21"/>
  <c r="AS54" i="21"/>
  <c r="AS22" i="21"/>
  <c r="AS72" i="21"/>
  <c r="AS61" i="21"/>
  <c r="AS68" i="21"/>
  <c r="AS19" i="21"/>
  <c r="AS20" i="21"/>
  <c r="AS46" i="21"/>
  <c r="AS97" i="21"/>
  <c r="AS105" i="21"/>
  <c r="AS74" i="21"/>
  <c r="AS86" i="21"/>
  <c r="AS35" i="21"/>
  <c r="AS34" i="21"/>
  <c r="AS81" i="21"/>
  <c r="AS64" i="21"/>
  <c r="AS31" i="21"/>
  <c r="AS41" i="21"/>
  <c r="AS25" i="21"/>
  <c r="AS12" i="21"/>
  <c r="AS32" i="21"/>
  <c r="AS94" i="21"/>
  <c r="AS102" i="21"/>
  <c r="AS70" i="21"/>
  <c r="AS84" i="21"/>
  <c r="AS49" i="21"/>
  <c r="AS27" i="21"/>
  <c r="AS47" i="21"/>
  <c r="AS28" i="21"/>
  <c r="AS87" i="21"/>
  <c r="AS77" i="21"/>
  <c r="AS67" i="21"/>
  <c r="AS63" i="21"/>
  <c r="AS58" i="21"/>
  <c r="AS30" i="21"/>
  <c r="AS52" i="21"/>
  <c r="AS37" i="21"/>
  <c r="AS23" i="21"/>
  <c r="AS15" i="21"/>
  <c r="AS11" i="21"/>
  <c r="AS17" i="21"/>
  <c r="AS42" i="21"/>
  <c r="AS91" i="21"/>
  <c r="AS95" i="21"/>
  <c r="AS99" i="21"/>
  <c r="AS103" i="21"/>
  <c r="AS107" i="21"/>
  <c r="AS71" i="21"/>
  <c r="AS78" i="21"/>
  <c r="AS80" i="21"/>
  <c r="AS39" i="21"/>
  <c r="AS83" i="21"/>
  <c r="AS65" i="21"/>
  <c r="AS38" i="21"/>
  <c r="AS45" i="21"/>
  <c r="AS29" i="21"/>
  <c r="AS13" i="21"/>
  <c r="AS59" i="21"/>
  <c r="AS93" i="21"/>
  <c r="AS101" i="21"/>
  <c r="AS109" i="21"/>
  <c r="AS55" i="21"/>
  <c r="AS50" i="21"/>
  <c r="AS89" i="21"/>
  <c r="AS69" i="21"/>
  <c r="AS60" i="21"/>
  <c r="AS56" i="21"/>
  <c r="AS16" i="21"/>
  <c r="AS18" i="21"/>
  <c r="AS51" i="21"/>
  <c r="AS98" i="21"/>
  <c r="AS106" i="21"/>
  <c r="AS76" i="21"/>
  <c r="AS90" i="21"/>
  <c r="AS82" i="21"/>
  <c r="AS40" i="21"/>
  <c r="AS57" i="21"/>
  <c r="AS43" i="21"/>
  <c r="AS26" i="21"/>
  <c r="AS85" i="21"/>
  <c r="AS75" i="21"/>
  <c r="AS66" i="21"/>
  <c r="AS62" i="21"/>
  <c r="AS53" i="21"/>
  <c r="AS24" i="21"/>
  <c r="AS48" i="21"/>
  <c r="AS33" i="21"/>
  <c r="AS21" i="21"/>
  <c r="AS14" i="21"/>
  <c r="AS9" i="21"/>
  <c r="AS10" i="21"/>
  <c r="AS44" i="21"/>
  <c r="AS92" i="21"/>
  <c r="AS96" i="21"/>
  <c r="AS100" i="21"/>
  <c r="AS104" i="21"/>
  <c r="AS108" i="21"/>
  <c r="AS73" i="21"/>
  <c r="AS79" i="21"/>
  <c r="B371" i="2"/>
  <c r="A362" i="2"/>
  <c r="C51" i="16"/>
  <c r="D51" i="16" s="1"/>
  <c r="B157" i="2"/>
  <c r="A371" i="2"/>
  <c r="B246" i="2"/>
  <c r="B245" i="2"/>
  <c r="B247" i="2"/>
  <c r="B15" i="6"/>
  <c r="B3" i="6"/>
  <c r="B16" i="6"/>
  <c r="E66" i="1"/>
  <c r="AK89" i="23" l="1"/>
  <c r="AK47" i="23"/>
  <c r="AK58" i="23"/>
  <c r="AK97" i="23"/>
  <c r="AK24" i="23"/>
  <c r="J22" i="1"/>
  <c r="F230" i="2"/>
  <c r="B227" i="2"/>
  <c r="B226" i="2"/>
  <c r="B194" i="2"/>
  <c r="B197" i="2"/>
  <c r="F6" i="17" s="1"/>
  <c r="S70" i="23"/>
  <c r="U70" i="23" s="1"/>
  <c r="AN70" i="23"/>
  <c r="BE70" i="23" s="1"/>
  <c r="S88" i="23"/>
  <c r="U88" i="23" s="1"/>
  <c r="AN88" i="23"/>
  <c r="BE88" i="23" s="1"/>
  <c r="S29" i="23"/>
  <c r="AN29" i="23"/>
  <c r="BE29" i="23" s="1"/>
  <c r="S24" i="23"/>
  <c r="AN24" i="23"/>
  <c r="BE24" i="23" s="1"/>
  <c r="S83" i="23"/>
  <c r="U83" i="23" s="1"/>
  <c r="AN83" i="23"/>
  <c r="BE83" i="23" s="1"/>
  <c r="S82" i="23"/>
  <c r="U82" i="23" s="1"/>
  <c r="AN82" i="23"/>
  <c r="BE82" i="23" s="1"/>
  <c r="S47" i="23"/>
  <c r="U47" i="23" s="1"/>
  <c r="AN47" i="23"/>
  <c r="BE47" i="23" s="1"/>
  <c r="S101" i="23"/>
  <c r="U101" i="23" s="1"/>
  <c r="AN101" i="23"/>
  <c r="BE101" i="23" s="1"/>
  <c r="S89" i="23"/>
  <c r="U89" i="23" s="1"/>
  <c r="AN89" i="23"/>
  <c r="BE89" i="23" s="1"/>
  <c r="S18" i="23"/>
  <c r="U18" i="23" s="1"/>
  <c r="AN18" i="23"/>
  <c r="BE18" i="23" s="1"/>
  <c r="S100" i="23"/>
  <c r="U100" i="23" s="1"/>
  <c r="AN100" i="23"/>
  <c r="BE100" i="23" s="1"/>
  <c r="S20" i="23"/>
  <c r="U20" i="23" s="1"/>
  <c r="AN20" i="23"/>
  <c r="BE20" i="23" s="1"/>
  <c r="S72" i="23"/>
  <c r="U72" i="23" s="1"/>
  <c r="AN72" i="23"/>
  <c r="BE72" i="23" s="1"/>
  <c r="S105" i="23"/>
  <c r="U105" i="23" s="1"/>
  <c r="AN105" i="23"/>
  <c r="S61" i="23"/>
  <c r="AN61" i="23"/>
  <c r="BE61" i="23" s="1"/>
  <c r="S9" i="23"/>
  <c r="AN9" i="23"/>
  <c r="BE9" i="23" s="1"/>
  <c r="S77" i="23"/>
  <c r="U77" i="23" s="1"/>
  <c r="AN77" i="23"/>
  <c r="BE77" i="23" s="1"/>
  <c r="S80" i="23"/>
  <c r="U80" i="23" s="1"/>
  <c r="AN80" i="23"/>
  <c r="BE80" i="23" s="1"/>
  <c r="S71" i="23"/>
  <c r="U71" i="23" s="1"/>
  <c r="AN71" i="23"/>
  <c r="BE71" i="23" s="1"/>
  <c r="S91" i="23"/>
  <c r="U91" i="23" s="1"/>
  <c r="AN91" i="23"/>
  <c r="BE91" i="23" s="1"/>
  <c r="S87" i="23"/>
  <c r="U87" i="23" s="1"/>
  <c r="AN87" i="23"/>
  <c r="BE87" i="23" s="1"/>
  <c r="S79" i="23"/>
  <c r="U79" i="23" s="1"/>
  <c r="AN79" i="23"/>
  <c r="BE79" i="23" s="1"/>
  <c r="S59" i="23"/>
  <c r="U59" i="23" s="1"/>
  <c r="AN59" i="23"/>
  <c r="BE59" i="23" s="1"/>
  <c r="S26" i="23"/>
  <c r="U26" i="23" s="1"/>
  <c r="AN26" i="23"/>
  <c r="BE26" i="23" s="1"/>
  <c r="S102" i="23"/>
  <c r="U102" i="23" s="1"/>
  <c r="AN102" i="23"/>
  <c r="BE102" i="23" s="1"/>
  <c r="S64" i="23"/>
  <c r="U64" i="23" s="1"/>
  <c r="AN64" i="23"/>
  <c r="BE64" i="23" s="1"/>
  <c r="S62" i="23"/>
  <c r="AN62" i="23"/>
  <c r="BE62" i="23" s="1"/>
  <c r="S60" i="23"/>
  <c r="U60" i="23" s="1"/>
  <c r="AN60" i="23"/>
  <c r="BE60" i="23" s="1"/>
  <c r="S57" i="23"/>
  <c r="U57" i="23" s="1"/>
  <c r="AN57" i="23"/>
  <c r="BE57" i="23" s="1"/>
  <c r="S28" i="23"/>
  <c r="U28" i="23" s="1"/>
  <c r="AN28" i="23"/>
  <c r="BE28" i="23" s="1"/>
  <c r="S107" i="23"/>
  <c r="U107" i="23" s="1"/>
  <c r="AN107" i="23"/>
  <c r="BE107" i="23" s="1"/>
  <c r="S93" i="23"/>
  <c r="U93" i="23" s="1"/>
  <c r="AN93" i="23"/>
  <c r="BE93" i="23" s="1"/>
  <c r="S17" i="23"/>
  <c r="U17" i="23" s="1"/>
  <c r="AN17" i="23"/>
  <c r="BE17" i="23" s="1"/>
  <c r="S36" i="23"/>
  <c r="U36" i="23" s="1"/>
  <c r="AN36" i="23"/>
  <c r="BE36" i="23" s="1"/>
  <c r="S75" i="23"/>
  <c r="U75" i="23" s="1"/>
  <c r="AN75" i="23"/>
  <c r="BE75" i="23" s="1"/>
  <c r="S84" i="23"/>
  <c r="U84" i="23" s="1"/>
  <c r="AN84" i="23"/>
  <c r="BE84" i="23" s="1"/>
  <c r="S97" i="23"/>
  <c r="U97" i="23" s="1"/>
  <c r="AN97" i="23"/>
  <c r="BE97" i="23" s="1"/>
  <c r="S34" i="23"/>
  <c r="U34" i="23" s="1"/>
  <c r="AN34" i="23"/>
  <c r="BE34" i="23" s="1"/>
  <c r="S10" i="23"/>
  <c r="U10" i="23" s="1"/>
  <c r="AN10" i="23"/>
  <c r="BE10" i="23" s="1"/>
  <c r="S43" i="23"/>
  <c r="U43" i="23" s="1"/>
  <c r="AN43" i="23"/>
  <c r="BE43" i="23" s="1"/>
  <c r="AN51" i="21"/>
  <c r="BE51" i="21" s="1"/>
  <c r="AN83" i="21"/>
  <c r="BE83" i="21" s="1"/>
  <c r="E355" i="2"/>
  <c r="C49" i="16" s="1"/>
  <c r="D355" i="2"/>
  <c r="E52" i="1"/>
  <c r="C54" i="16" s="1"/>
  <c r="D54" i="16" s="1"/>
  <c r="B134" i="2"/>
  <c r="B138" i="2" s="1"/>
  <c r="E48" i="1" s="1"/>
  <c r="S51" i="21"/>
  <c r="S83" i="21"/>
  <c r="P31" i="21"/>
  <c r="Q31" i="21" s="1"/>
  <c r="AE31" i="21" s="1"/>
  <c r="O31" i="21"/>
  <c r="P39" i="21"/>
  <c r="Q39" i="21" s="1"/>
  <c r="AE39" i="21" s="1"/>
  <c r="O39" i="21"/>
  <c r="AF16" i="21"/>
  <c r="P16" i="21"/>
  <c r="Q16" i="21" s="1"/>
  <c r="AE16" i="21" s="1"/>
  <c r="O16" i="21"/>
  <c r="AF17" i="21"/>
  <c r="O17" i="21"/>
  <c r="P17" i="21"/>
  <c r="Q17" i="21" s="1"/>
  <c r="AE17" i="21" s="1"/>
  <c r="AF109" i="21"/>
  <c r="O109" i="21"/>
  <c r="P109" i="21"/>
  <c r="Q109" i="21" s="1"/>
  <c r="AE109" i="21" s="1"/>
  <c r="O105" i="21"/>
  <c r="P105" i="21"/>
  <c r="Q105" i="21" s="1"/>
  <c r="AE105" i="21" s="1"/>
  <c r="O43" i="21"/>
  <c r="P43" i="21"/>
  <c r="Q43" i="21" s="1"/>
  <c r="AE43" i="21" s="1"/>
  <c r="P38" i="21"/>
  <c r="Q38" i="21" s="1"/>
  <c r="AE38" i="21" s="1"/>
  <c r="O38" i="21"/>
  <c r="O108" i="21"/>
  <c r="P108" i="21"/>
  <c r="Q108" i="21" s="1"/>
  <c r="AE108" i="21" s="1"/>
  <c r="P77" i="21"/>
  <c r="Q77" i="21" s="1"/>
  <c r="AE77" i="21" s="1"/>
  <c r="O77" i="21"/>
  <c r="AF103" i="21"/>
  <c r="P103" i="21"/>
  <c r="Q103" i="21" s="1"/>
  <c r="AE103" i="21" s="1"/>
  <c r="O103" i="21"/>
  <c r="P14" i="21"/>
  <c r="Q14" i="21" s="1"/>
  <c r="AE14" i="21" s="1"/>
  <c r="O14" i="21"/>
  <c r="O49" i="21"/>
  <c r="P49" i="21"/>
  <c r="Q49" i="21" s="1"/>
  <c r="AE49" i="21" s="1"/>
  <c r="P47" i="21"/>
  <c r="Q47" i="21" s="1"/>
  <c r="AE47" i="21" s="1"/>
  <c r="O47" i="21"/>
  <c r="AF102" i="21"/>
  <c r="P102" i="21"/>
  <c r="Q102" i="21" s="1"/>
  <c r="AE102" i="21" s="1"/>
  <c r="O102" i="21"/>
  <c r="AF82" i="21"/>
  <c r="O82" i="21"/>
  <c r="P82" i="21"/>
  <c r="Q82" i="21" s="1"/>
  <c r="AE82" i="21" s="1"/>
  <c r="AF80" i="21"/>
  <c r="P80" i="21"/>
  <c r="Q80" i="21" s="1"/>
  <c r="AE80" i="21" s="1"/>
  <c r="O80" i="21"/>
  <c r="O37" i="21"/>
  <c r="P37" i="21"/>
  <c r="Q37" i="21" s="1"/>
  <c r="AE37" i="21" s="1"/>
  <c r="P22" i="21"/>
  <c r="Q22" i="21" s="1"/>
  <c r="AE22" i="21" s="1"/>
  <c r="O22" i="21"/>
  <c r="P26" i="21"/>
  <c r="Q26" i="21" s="1"/>
  <c r="AE26" i="21" s="1"/>
  <c r="O26" i="21"/>
  <c r="AF46" i="21"/>
  <c r="P46" i="21"/>
  <c r="Q46" i="21" s="1"/>
  <c r="AE46" i="21" s="1"/>
  <c r="O46" i="21"/>
  <c r="O76" i="21"/>
  <c r="P76" i="21"/>
  <c r="Q76" i="21" s="1"/>
  <c r="AE76" i="21" s="1"/>
  <c r="P18" i="21"/>
  <c r="Q18" i="21" s="1"/>
  <c r="AE18" i="21" s="1"/>
  <c r="O18" i="21"/>
  <c r="O75" i="21"/>
  <c r="P75" i="21"/>
  <c r="Q75" i="21" s="1"/>
  <c r="AE75" i="21" s="1"/>
  <c r="B75" i="21"/>
  <c r="B76" i="21" s="1"/>
  <c r="D209" i="2"/>
  <c r="D208" i="2"/>
  <c r="D199" i="2"/>
  <c r="BE86" i="21"/>
  <c r="S86" i="21"/>
  <c r="BE101" i="21"/>
  <c r="S101" i="21"/>
  <c r="BE50" i="21"/>
  <c r="S50" i="21"/>
  <c r="BE57" i="21"/>
  <c r="S57" i="21"/>
  <c r="BE52" i="21"/>
  <c r="S52" i="21"/>
  <c r="BE66" i="21"/>
  <c r="S66" i="21"/>
  <c r="BE59" i="21"/>
  <c r="S59" i="21"/>
  <c r="BE54" i="21"/>
  <c r="S54" i="21"/>
  <c r="BE58" i="21"/>
  <c r="S58" i="21"/>
  <c r="BE42" i="21"/>
  <c r="S42" i="21"/>
  <c r="BE23" i="21"/>
  <c r="S23" i="21"/>
  <c r="BE44" i="21"/>
  <c r="S44" i="21"/>
  <c r="BE99" i="21"/>
  <c r="S99" i="21"/>
  <c r="BE96" i="21"/>
  <c r="S96" i="21"/>
  <c r="BE94" i="21"/>
  <c r="S94" i="21"/>
  <c r="BE62" i="21"/>
  <c r="S62" i="21"/>
  <c r="BE72" i="21"/>
  <c r="S72" i="21"/>
  <c r="BE87" i="21"/>
  <c r="S87" i="21"/>
  <c r="BE93" i="21"/>
  <c r="S93" i="21"/>
  <c r="BE48" i="21"/>
  <c r="S48" i="21"/>
  <c r="BE97" i="21"/>
  <c r="S97" i="21"/>
  <c r="BE30" i="21"/>
  <c r="S30" i="21"/>
  <c r="BE61" i="21"/>
  <c r="S61" i="21"/>
  <c r="BE71" i="21"/>
  <c r="S71" i="21"/>
  <c r="BE81" i="21"/>
  <c r="S81" i="21"/>
  <c r="BE79" i="21"/>
  <c r="S79" i="21"/>
  <c r="BE11" i="21"/>
  <c r="S11" i="21"/>
  <c r="BE40" i="21"/>
  <c r="S40" i="21"/>
  <c r="BE100" i="21"/>
  <c r="S100" i="21"/>
  <c r="BE69" i="21"/>
  <c r="S69" i="21"/>
  <c r="BE56" i="21"/>
  <c r="S56" i="21"/>
  <c r="BE24" i="21"/>
  <c r="S24" i="21"/>
  <c r="BE106" i="21"/>
  <c r="S106" i="21"/>
  <c r="BE107" i="21"/>
  <c r="S107" i="21"/>
  <c r="BE53" i="21"/>
  <c r="S53" i="21"/>
  <c r="BE19" i="21"/>
  <c r="S19" i="21"/>
  <c r="BE55" i="21"/>
  <c r="S55" i="21"/>
  <c r="BE27" i="21"/>
  <c r="S27" i="21"/>
  <c r="BE95" i="21"/>
  <c r="S95" i="21"/>
  <c r="BE92" i="21"/>
  <c r="S92" i="21"/>
  <c r="BE21" i="21"/>
  <c r="S21" i="21"/>
  <c r="BE91" i="21"/>
  <c r="S91" i="21"/>
  <c r="BE29" i="21"/>
  <c r="S29" i="21"/>
  <c r="BE12" i="21"/>
  <c r="S12" i="21"/>
  <c r="BE25" i="21"/>
  <c r="S25" i="21"/>
  <c r="BE84" i="21"/>
  <c r="S84" i="21"/>
  <c r="BE20" i="21"/>
  <c r="S20" i="21"/>
  <c r="BE90" i="21"/>
  <c r="S90" i="21"/>
  <c r="BE15" i="21"/>
  <c r="S15" i="21"/>
  <c r="BE33" i="21"/>
  <c r="S33" i="21"/>
  <c r="BE88" i="21"/>
  <c r="S88" i="21"/>
  <c r="BE70" i="21"/>
  <c r="S70" i="21"/>
  <c r="BE45" i="21"/>
  <c r="S45" i="21"/>
  <c r="BE13" i="21"/>
  <c r="S13" i="21"/>
  <c r="BE78" i="21"/>
  <c r="S78" i="21"/>
  <c r="BE34" i="21"/>
  <c r="S34" i="21"/>
  <c r="BE63" i="21"/>
  <c r="S63" i="21"/>
  <c r="BE85" i="21"/>
  <c r="S85" i="21"/>
  <c r="BE89" i="21"/>
  <c r="S89" i="21"/>
  <c r="BE104" i="21"/>
  <c r="S104" i="21"/>
  <c r="BE41" i="21"/>
  <c r="S41" i="21"/>
  <c r="BE68" i="21"/>
  <c r="S68" i="21"/>
  <c r="BE36" i="21"/>
  <c r="S36" i="21"/>
  <c r="BE10" i="21"/>
  <c r="S10" i="21"/>
  <c r="BE98" i="21"/>
  <c r="S98" i="21"/>
  <c r="BE28" i="21"/>
  <c r="S28" i="21"/>
  <c r="BE74" i="21"/>
  <c r="S74" i="21"/>
  <c r="BE65" i="21"/>
  <c r="S65" i="21"/>
  <c r="BE73" i="21"/>
  <c r="S73" i="21"/>
  <c r="BE60" i="21"/>
  <c r="S60" i="21"/>
  <c r="BE32" i="21"/>
  <c r="S32" i="21"/>
  <c r="BE35" i="21"/>
  <c r="S35" i="21"/>
  <c r="BE67" i="21"/>
  <c r="S67" i="21"/>
  <c r="BE64" i="21"/>
  <c r="S64" i="21"/>
  <c r="AK9" i="23"/>
  <c r="BD9" i="23" s="1"/>
  <c r="AX9" i="23" s="1"/>
  <c r="BD72" i="23"/>
  <c r="AX72" i="23" s="1"/>
  <c r="AK105" i="23"/>
  <c r="BD105" i="23" s="1"/>
  <c r="AX105" i="23" s="1"/>
  <c r="D220" i="2"/>
  <c r="AI61" i="23"/>
  <c r="AI93" i="23"/>
  <c r="AI17" i="23"/>
  <c r="BE105" i="23"/>
  <c r="W79" i="23"/>
  <c r="X79" i="23" s="1"/>
  <c r="W20" i="23"/>
  <c r="X20" i="23" s="1"/>
  <c r="W71" i="23"/>
  <c r="X71" i="23" s="1"/>
  <c r="AC18" i="23"/>
  <c r="AI91" i="23"/>
  <c r="AI20" i="23"/>
  <c r="AC79" i="23"/>
  <c r="W97" i="23"/>
  <c r="X97" i="23" s="1"/>
  <c r="W62" i="23"/>
  <c r="X62" i="23" s="1"/>
  <c r="W70" i="23"/>
  <c r="X70" i="23" s="1"/>
  <c r="W28" i="23"/>
  <c r="X28" i="23" s="1"/>
  <c r="AI87" i="23"/>
  <c r="U29" i="23"/>
  <c r="W84" i="23"/>
  <c r="X84" i="23" s="1"/>
  <c r="W57" i="23"/>
  <c r="X57" i="23" s="1"/>
  <c r="W60" i="23"/>
  <c r="X60" i="23" s="1"/>
  <c r="AC28" i="23"/>
  <c r="W26" i="23"/>
  <c r="X26" i="23" s="1"/>
  <c r="W47" i="23"/>
  <c r="X47" i="23" s="1"/>
  <c r="W61" i="23"/>
  <c r="X61" i="23" s="1"/>
  <c r="W77" i="23"/>
  <c r="X77" i="23" s="1"/>
  <c r="BD97" i="23"/>
  <c r="AX97" i="23" s="1"/>
  <c r="B73" i="23"/>
  <c r="B45" i="23"/>
  <c r="B72" i="23"/>
  <c r="BD71" i="23"/>
  <c r="AX71" i="23" s="1"/>
  <c r="BD101" i="23"/>
  <c r="AX101" i="23" s="1"/>
  <c r="BD62" i="23"/>
  <c r="AX62" i="23" s="1"/>
  <c r="BD28" i="23"/>
  <c r="AX28" i="23" s="1"/>
  <c r="AH27" i="23"/>
  <c r="AI27" i="23" s="1"/>
  <c r="AK27" i="23" s="1"/>
  <c r="Y50" i="23"/>
  <c r="Z50" i="23" s="1"/>
  <c r="AA50" i="23" s="1"/>
  <c r="Y96" i="23"/>
  <c r="Z96" i="23" s="1"/>
  <c r="AA96" i="23" s="1"/>
  <c r="Y44" i="23"/>
  <c r="Z44" i="23" s="1"/>
  <c r="AA44" i="23" s="1"/>
  <c r="Y48" i="23"/>
  <c r="Z48" i="23" s="1"/>
  <c r="AA48" i="23" s="1"/>
  <c r="Y39" i="23"/>
  <c r="Z39" i="23" s="1"/>
  <c r="AA39" i="23" s="1"/>
  <c r="AB16" i="23"/>
  <c r="AC16" i="23" s="1"/>
  <c r="AH56" i="23"/>
  <c r="AI56" i="23" s="1"/>
  <c r="AH67" i="23"/>
  <c r="AI67" i="23" s="1"/>
  <c r="AK67" i="23" s="1"/>
  <c r="Y95" i="23"/>
  <c r="Z95" i="23" s="1"/>
  <c r="AA95" i="23" s="1"/>
  <c r="BD84" i="23"/>
  <c r="AX84" i="23" s="1"/>
  <c r="BD82" i="23"/>
  <c r="AX82" i="23" s="1"/>
  <c r="BD26" i="23"/>
  <c r="AX26" i="23" s="1"/>
  <c r="Y45" i="23"/>
  <c r="Z45" i="23" s="1"/>
  <c r="AA45" i="23" s="1"/>
  <c r="AH32" i="23"/>
  <c r="AI32" i="23" s="1"/>
  <c r="AK32" i="23" s="1"/>
  <c r="AB95" i="23"/>
  <c r="AC95" i="23" s="1"/>
  <c r="AH31" i="23"/>
  <c r="AI31" i="23" s="1"/>
  <c r="AH85" i="23"/>
  <c r="AI85" i="23" s="1"/>
  <c r="AK85" i="23" s="1"/>
  <c r="Y12" i="23"/>
  <c r="Z12" i="23" s="1"/>
  <c r="AA12" i="23" s="1"/>
  <c r="Y37" i="23"/>
  <c r="Z37" i="23" s="1"/>
  <c r="AA37" i="23" s="1"/>
  <c r="Y25" i="23"/>
  <c r="Z25" i="23" s="1"/>
  <c r="AA25" i="23" s="1"/>
  <c r="Y52" i="23"/>
  <c r="Z52" i="23" s="1"/>
  <c r="AA52" i="23" s="1"/>
  <c r="AH30" i="23"/>
  <c r="AI30" i="23" s="1"/>
  <c r="BD18" i="23"/>
  <c r="AX18" i="23" s="1"/>
  <c r="BD64" i="23"/>
  <c r="AX64" i="23" s="1"/>
  <c r="BD107" i="23"/>
  <c r="AX107" i="23" s="1"/>
  <c r="BD24" i="23"/>
  <c r="AX24" i="23" s="1"/>
  <c r="AB25" i="23"/>
  <c r="AC25" i="23" s="1"/>
  <c r="Y94" i="23"/>
  <c r="Z94" i="23" s="1"/>
  <c r="AA94" i="23" s="1"/>
  <c r="AH108" i="23"/>
  <c r="AI108" i="23" s="1"/>
  <c r="AH98" i="23"/>
  <c r="AI98" i="23" s="1"/>
  <c r="AK98" i="23" s="1"/>
  <c r="AB38" i="23"/>
  <c r="AC38" i="23" s="1"/>
  <c r="AH33" i="23"/>
  <c r="AI33" i="23" s="1"/>
  <c r="Y41" i="23"/>
  <c r="Z41" i="23" s="1"/>
  <c r="AA41" i="23" s="1"/>
  <c r="AB21" i="23"/>
  <c r="AC21" i="23" s="1"/>
  <c r="Y67" i="23"/>
  <c r="Z67" i="23" s="1"/>
  <c r="AA67" i="23" s="1"/>
  <c r="AB103" i="23"/>
  <c r="AC103" i="23" s="1"/>
  <c r="AB22" i="23"/>
  <c r="AC22" i="23" s="1"/>
  <c r="Y11" i="23"/>
  <c r="Z11" i="23" s="1"/>
  <c r="AA11" i="23" s="1"/>
  <c r="Y58" i="23"/>
  <c r="Z58" i="23" s="1"/>
  <c r="AA58" i="23" s="1"/>
  <c r="BD47" i="23"/>
  <c r="AX47" i="23" s="1"/>
  <c r="AB27" i="23"/>
  <c r="AC27" i="23" s="1"/>
  <c r="AH12" i="23"/>
  <c r="AI12" i="23" s="1"/>
  <c r="AK12" i="23" s="1"/>
  <c r="BD70" i="23"/>
  <c r="AX70" i="23" s="1"/>
  <c r="Y31" i="23"/>
  <c r="Z31" i="23" s="1"/>
  <c r="AA31" i="23" s="1"/>
  <c r="AB44" i="23"/>
  <c r="AC44" i="23" s="1"/>
  <c r="Y21" i="23"/>
  <c r="Z21" i="23" s="1"/>
  <c r="AA21" i="23" s="1"/>
  <c r="AB63" i="23"/>
  <c r="AC63" i="23" s="1"/>
  <c r="Y13" i="23"/>
  <c r="Z13" i="23" s="1"/>
  <c r="AA13" i="23" s="1"/>
  <c r="AH65" i="23"/>
  <c r="AI65" i="23" s="1"/>
  <c r="AH106" i="23"/>
  <c r="AI106" i="23" s="1"/>
  <c r="AK106" i="23" s="1"/>
  <c r="Y22" i="23"/>
  <c r="Z22" i="23" s="1"/>
  <c r="AA22" i="23" s="1"/>
  <c r="BD10" i="23"/>
  <c r="AX10" i="23" s="1"/>
  <c r="AH76" i="21"/>
  <c r="AF76" i="21"/>
  <c r="AB18" i="21"/>
  <c r="AF18" i="21"/>
  <c r="AB75" i="21"/>
  <c r="AF75" i="21"/>
  <c r="V53" i="23"/>
  <c r="R53" i="23"/>
  <c r="V35" i="23"/>
  <c r="R35" i="23"/>
  <c r="Y35" i="23"/>
  <c r="Z35" i="23" s="1"/>
  <c r="AA35" i="23" s="1"/>
  <c r="V81" i="23"/>
  <c r="R81" i="23"/>
  <c r="V49" i="23"/>
  <c r="R49" i="23"/>
  <c r="V19" i="23"/>
  <c r="R19" i="23"/>
  <c r="V69" i="23"/>
  <c r="R69" i="23"/>
  <c r="AH81" i="23"/>
  <c r="AI81" i="23" s="1"/>
  <c r="AK81" i="23" s="1"/>
  <c r="Y69" i="23"/>
  <c r="Z69" i="23" s="1"/>
  <c r="AA69" i="23" s="1"/>
  <c r="Y39" i="21"/>
  <c r="AF39" i="21"/>
  <c r="Y105" i="21"/>
  <c r="AF105" i="21"/>
  <c r="V15" i="23"/>
  <c r="R15" i="23"/>
  <c r="AB109" i="23"/>
  <c r="AC109" i="23" s="1"/>
  <c r="BD83" i="23"/>
  <c r="AX83" i="23" s="1"/>
  <c r="V14" i="23"/>
  <c r="R14" i="23"/>
  <c r="AB51" i="23"/>
  <c r="AC51" i="23" s="1"/>
  <c r="AH35" i="23"/>
  <c r="AI35" i="23" s="1"/>
  <c r="AK35" i="23" s="1"/>
  <c r="Y14" i="23"/>
  <c r="Z14" i="23" s="1"/>
  <c r="AA14" i="23" s="1"/>
  <c r="V23" i="23"/>
  <c r="BD23" i="23"/>
  <c r="AX23" i="23" s="1"/>
  <c r="R23" i="23"/>
  <c r="V55" i="23"/>
  <c r="R55" i="23"/>
  <c r="BD55" i="23"/>
  <c r="AX55" i="23" s="1"/>
  <c r="Y90" i="23"/>
  <c r="Z90" i="23" s="1"/>
  <c r="AA90" i="23" s="1"/>
  <c r="AB69" i="23"/>
  <c r="AC69" i="23" s="1"/>
  <c r="AB37" i="21"/>
  <c r="AF37" i="21"/>
  <c r="AB43" i="21"/>
  <c r="AF43" i="21"/>
  <c r="V38" i="23"/>
  <c r="BD38" i="23"/>
  <c r="AX38" i="23" s="1"/>
  <c r="R38" i="23"/>
  <c r="V40" i="23"/>
  <c r="R40" i="23"/>
  <c r="V108" i="23"/>
  <c r="R108" i="23"/>
  <c r="V30" i="23"/>
  <c r="R30" i="23"/>
  <c r="V37" i="23"/>
  <c r="R37" i="23"/>
  <c r="BD29" i="23"/>
  <c r="AX29" i="23" s="1"/>
  <c r="V46" i="23"/>
  <c r="R46" i="23"/>
  <c r="V104" i="23"/>
  <c r="BD104" i="23"/>
  <c r="AX104" i="23" s="1"/>
  <c r="R104" i="23"/>
  <c r="V99" i="23"/>
  <c r="BD99" i="23"/>
  <c r="AX99" i="23" s="1"/>
  <c r="R99" i="23"/>
  <c r="Y53" i="23"/>
  <c r="Z53" i="23" s="1"/>
  <c r="AA53" i="23" s="1"/>
  <c r="V32" i="23"/>
  <c r="R32" i="23"/>
  <c r="BD88" i="23"/>
  <c r="AX88" i="23" s="1"/>
  <c r="V58" i="23"/>
  <c r="R58" i="23"/>
  <c r="BD58" i="23"/>
  <c r="AX58" i="23" s="1"/>
  <c r="V56" i="23"/>
  <c r="R56" i="23"/>
  <c r="BD79" i="23"/>
  <c r="AX79" i="23" s="1"/>
  <c r="V73" i="23"/>
  <c r="R73" i="23"/>
  <c r="AH14" i="23"/>
  <c r="AI14" i="23" s="1"/>
  <c r="AK14" i="23" s="1"/>
  <c r="Y19" i="23"/>
  <c r="Z19" i="23" s="1"/>
  <c r="AA19" i="23" s="1"/>
  <c r="AB55" i="23"/>
  <c r="AC55" i="23" s="1"/>
  <c r="V78" i="23"/>
  <c r="R78" i="23"/>
  <c r="Y46" i="23"/>
  <c r="Z46" i="23" s="1"/>
  <c r="AA46" i="23" s="1"/>
  <c r="AB104" i="23"/>
  <c r="AC104" i="23" s="1"/>
  <c r="V54" i="23"/>
  <c r="R54" i="23"/>
  <c r="BD100" i="23"/>
  <c r="AX100" i="23" s="1"/>
  <c r="V41" i="23"/>
  <c r="BD41" i="23"/>
  <c r="AX41" i="23" s="1"/>
  <c r="R41" i="23"/>
  <c r="Y81" i="23"/>
  <c r="Z81" i="23" s="1"/>
  <c r="AA81" i="23" s="1"/>
  <c r="AH40" i="23"/>
  <c r="AI40" i="23" s="1"/>
  <c r="AK40" i="23" s="1"/>
  <c r="AH73" i="23"/>
  <c r="AI73" i="23" s="1"/>
  <c r="AK73" i="23" s="1"/>
  <c r="AH49" i="23"/>
  <c r="AI49" i="23" s="1"/>
  <c r="AK49" i="23" s="1"/>
  <c r="BD102" i="23"/>
  <c r="AX102" i="23" s="1"/>
  <c r="Y23" i="23"/>
  <c r="Z23" i="23" s="1"/>
  <c r="AA23" i="23" s="1"/>
  <c r="Y78" i="23"/>
  <c r="Z78" i="23" s="1"/>
  <c r="AA78" i="23" s="1"/>
  <c r="Y54" i="23"/>
  <c r="Z54" i="23" s="1"/>
  <c r="AA54" i="23" s="1"/>
  <c r="V11" i="23"/>
  <c r="BD11" i="23"/>
  <c r="AX11" i="23" s="1"/>
  <c r="R11" i="23"/>
  <c r="V52" i="23"/>
  <c r="BD52" i="23"/>
  <c r="AX52" i="23" s="1"/>
  <c r="R52" i="23"/>
  <c r="BD75" i="23"/>
  <c r="AX75" i="23" s="1"/>
  <c r="Y14" i="21"/>
  <c r="AF14" i="21"/>
  <c r="AH49" i="21"/>
  <c r="AF49" i="21"/>
  <c r="AH47" i="21"/>
  <c r="AF47" i="21"/>
  <c r="V42" i="23"/>
  <c r="R42" i="23"/>
  <c r="V76" i="23"/>
  <c r="R76" i="23"/>
  <c r="V109" i="23"/>
  <c r="R109" i="23"/>
  <c r="V51" i="23"/>
  <c r="R51" i="23"/>
  <c r="V92" i="23"/>
  <c r="R92" i="23"/>
  <c r="BD77" i="23"/>
  <c r="AX77" i="23" s="1"/>
  <c r="Y42" i="23"/>
  <c r="Z42" i="23" s="1"/>
  <c r="AA42" i="23" s="1"/>
  <c r="AB49" i="23"/>
  <c r="AC49" i="23" s="1"/>
  <c r="AH76" i="23"/>
  <c r="AI76" i="23" s="1"/>
  <c r="AK76" i="23" s="1"/>
  <c r="V90" i="23"/>
  <c r="BD90" i="23"/>
  <c r="AX90" i="23" s="1"/>
  <c r="R90" i="23"/>
  <c r="AH31" i="21"/>
  <c r="AF31" i="21"/>
  <c r="V33" i="23"/>
  <c r="R33" i="23"/>
  <c r="V74" i="23"/>
  <c r="R74" i="23"/>
  <c r="AB92" i="23"/>
  <c r="AC92" i="23" s="1"/>
  <c r="BD43" i="23"/>
  <c r="AX43" i="23" s="1"/>
  <c r="V96" i="23"/>
  <c r="R96" i="23"/>
  <c r="AH15" i="23"/>
  <c r="AI15" i="23" s="1"/>
  <c r="AK15" i="23" s="1"/>
  <c r="AB53" i="23"/>
  <c r="AC53" i="23" s="1"/>
  <c r="V65" i="23"/>
  <c r="R65" i="23"/>
  <c r="V98" i="23"/>
  <c r="R98" i="23"/>
  <c r="AH42" i="23"/>
  <c r="AI42" i="23" s="1"/>
  <c r="AK42" i="23" s="1"/>
  <c r="AB19" i="23"/>
  <c r="AC19" i="23" s="1"/>
  <c r="AH74" i="23"/>
  <c r="AI74" i="23" s="1"/>
  <c r="AK74" i="23" s="1"/>
  <c r="V68" i="23"/>
  <c r="R68" i="23"/>
  <c r="BD68" i="23"/>
  <c r="AX68" i="23" s="1"/>
  <c r="Y49" i="23"/>
  <c r="Z49" i="23" s="1"/>
  <c r="AA49" i="23" s="1"/>
  <c r="Y76" i="23"/>
  <c r="Z76" i="23" s="1"/>
  <c r="AA76" i="23" s="1"/>
  <c r="V103" i="23"/>
  <c r="R103" i="23"/>
  <c r="AB23" i="23"/>
  <c r="AC23" i="23" s="1"/>
  <c r="AH38" i="21"/>
  <c r="AF38" i="21"/>
  <c r="AH22" i="21"/>
  <c r="AF22" i="21"/>
  <c r="AH108" i="21"/>
  <c r="AF108" i="21"/>
  <c r="AH77" i="21"/>
  <c r="AF77" i="21"/>
  <c r="AB26" i="21"/>
  <c r="AF26" i="21"/>
  <c r="V45" i="23"/>
  <c r="BD45" i="23"/>
  <c r="AX45" i="23" s="1"/>
  <c r="R45" i="23"/>
  <c r="AH109" i="23"/>
  <c r="AI109" i="23" s="1"/>
  <c r="AK109" i="23" s="1"/>
  <c r="Y30" i="23"/>
  <c r="Z30" i="23" s="1"/>
  <c r="AA30" i="23" s="1"/>
  <c r="AH37" i="23"/>
  <c r="AI37" i="23" s="1"/>
  <c r="AK37" i="23" s="1"/>
  <c r="V31" i="23"/>
  <c r="R31" i="23"/>
  <c r="AH51" i="23"/>
  <c r="AI51" i="23" s="1"/>
  <c r="AK51" i="23" s="1"/>
  <c r="V85" i="23"/>
  <c r="R85" i="23"/>
  <c r="AH92" i="23"/>
  <c r="AI92" i="23" s="1"/>
  <c r="AK92" i="23" s="1"/>
  <c r="V44" i="23"/>
  <c r="BD44" i="23"/>
  <c r="AX44" i="23" s="1"/>
  <c r="R44" i="23"/>
  <c r="V50" i="23"/>
  <c r="BD50" i="23"/>
  <c r="AX50" i="23" s="1"/>
  <c r="R50" i="23"/>
  <c r="V95" i="23"/>
  <c r="BD95" i="23"/>
  <c r="AX95" i="23" s="1"/>
  <c r="R95" i="23"/>
  <c r="V27" i="23"/>
  <c r="R27" i="23"/>
  <c r="AB15" i="23"/>
  <c r="AC15" i="23" s="1"/>
  <c r="V25" i="23"/>
  <c r="BD25" i="23"/>
  <c r="AX25" i="23" s="1"/>
  <c r="R25" i="23"/>
  <c r="AB45" i="23"/>
  <c r="AC45" i="23" s="1"/>
  <c r="V67" i="23"/>
  <c r="R67" i="23"/>
  <c r="AH53" i="23"/>
  <c r="AI53" i="23" s="1"/>
  <c r="AK53" i="23" s="1"/>
  <c r="V94" i="23"/>
  <c r="BD94" i="23"/>
  <c r="AX94" i="23" s="1"/>
  <c r="R94" i="23"/>
  <c r="AB108" i="23"/>
  <c r="AC108" i="23" s="1"/>
  <c r="BD34" i="23"/>
  <c r="AX34" i="23" s="1"/>
  <c r="BD60" i="23"/>
  <c r="AX60" i="23" s="1"/>
  <c r="V66" i="23"/>
  <c r="R66" i="23"/>
  <c r="BD66" i="23"/>
  <c r="AX66" i="23" s="1"/>
  <c r="AB35" i="23"/>
  <c r="AC35" i="23" s="1"/>
  <c r="V16" i="23"/>
  <c r="R16" i="23"/>
  <c r="BD16" i="23"/>
  <c r="AX16" i="23" s="1"/>
  <c r="V48" i="23"/>
  <c r="R48" i="23"/>
  <c r="BD48" i="23"/>
  <c r="AX48" i="23" s="1"/>
  <c r="V86" i="23"/>
  <c r="R86" i="23"/>
  <c r="AH96" i="23"/>
  <c r="AI96" i="23" s="1"/>
  <c r="AK96" i="23" s="1"/>
  <c r="Y98" i="23"/>
  <c r="Z98" i="23" s="1"/>
  <c r="AA98" i="23" s="1"/>
  <c r="Y38" i="23"/>
  <c r="Z38" i="23" s="1"/>
  <c r="AA38" i="23" s="1"/>
  <c r="AB42" i="23"/>
  <c r="AC42" i="23" s="1"/>
  <c r="V21" i="23"/>
  <c r="BD21" i="23"/>
  <c r="AX21" i="23" s="1"/>
  <c r="R21" i="23"/>
  <c r="BD59" i="23"/>
  <c r="AX59" i="23" s="1"/>
  <c r="V63" i="23"/>
  <c r="BD63" i="23"/>
  <c r="AX63" i="23" s="1"/>
  <c r="R63" i="23"/>
  <c r="BD80" i="23"/>
  <c r="AX80" i="23" s="1"/>
  <c r="AB32" i="23"/>
  <c r="AC32" i="23" s="1"/>
  <c r="V13" i="23"/>
  <c r="R13" i="23"/>
  <c r="BD13" i="23"/>
  <c r="AX13" i="23" s="1"/>
  <c r="V12" i="23"/>
  <c r="R12" i="23"/>
  <c r="AH19" i="23"/>
  <c r="AI19" i="23" s="1"/>
  <c r="AK19" i="23" s="1"/>
  <c r="Y33" i="23"/>
  <c r="Z33" i="23" s="1"/>
  <c r="AA33" i="23" s="1"/>
  <c r="BD57" i="23"/>
  <c r="AX57" i="23" s="1"/>
  <c r="Y55" i="23"/>
  <c r="Z55" i="23" s="1"/>
  <c r="AA55" i="23" s="1"/>
  <c r="Y74" i="23"/>
  <c r="Z74" i="23" s="1"/>
  <c r="AA74" i="23" s="1"/>
  <c r="AB85" i="23"/>
  <c r="AC85" i="23" s="1"/>
  <c r="V106" i="23"/>
  <c r="R106" i="23"/>
  <c r="AH46" i="23"/>
  <c r="AI46" i="23" s="1"/>
  <c r="AK46" i="23" s="1"/>
  <c r="V22" i="23"/>
  <c r="BD22" i="23"/>
  <c r="AX22" i="23" s="1"/>
  <c r="R22" i="23"/>
  <c r="Y104" i="23"/>
  <c r="Z104" i="23" s="1"/>
  <c r="AA104" i="23" s="1"/>
  <c r="AB41" i="23"/>
  <c r="AC41" i="23" s="1"/>
  <c r="Y68" i="23"/>
  <c r="Z68" i="23" s="1"/>
  <c r="AA68" i="23" s="1"/>
  <c r="AB48" i="23"/>
  <c r="AC48" i="23" s="1"/>
  <c r="AB56" i="23"/>
  <c r="AC56" i="23" s="1"/>
  <c r="AH86" i="23"/>
  <c r="AI86" i="23" s="1"/>
  <c r="AK86" i="23" s="1"/>
  <c r="AB81" i="23"/>
  <c r="AC81" i="23" s="1"/>
  <c r="AB40" i="23"/>
  <c r="AC40" i="23" s="1"/>
  <c r="AB73" i="23"/>
  <c r="AC73" i="23" s="1"/>
  <c r="AH103" i="23"/>
  <c r="AI103" i="23" s="1"/>
  <c r="AK103" i="23" s="1"/>
  <c r="BD36" i="23"/>
  <c r="AX36" i="23" s="1"/>
  <c r="AB13" i="23"/>
  <c r="AC13" i="23" s="1"/>
  <c r="V39" i="23"/>
  <c r="BD39" i="23"/>
  <c r="AX39" i="23" s="1"/>
  <c r="R39" i="23"/>
  <c r="AB65" i="23"/>
  <c r="AC65" i="23" s="1"/>
  <c r="AH78" i="23"/>
  <c r="AI78" i="23" s="1"/>
  <c r="AK78" i="23" s="1"/>
  <c r="AB90" i="23"/>
  <c r="AC90" i="23" s="1"/>
  <c r="AB106" i="23"/>
  <c r="AC106" i="23" s="1"/>
  <c r="AH54" i="23"/>
  <c r="AI54" i="23" s="1"/>
  <c r="AK54" i="23" s="1"/>
  <c r="Y99" i="23"/>
  <c r="Z99" i="23" s="1"/>
  <c r="AA99" i="23" s="1"/>
  <c r="AH69" i="23"/>
  <c r="AI69" i="23" s="1"/>
  <c r="AK69" i="23" s="1"/>
  <c r="Y16" i="23"/>
  <c r="Z16" i="23" s="1"/>
  <c r="AA16" i="23" s="1"/>
  <c r="AB11" i="23"/>
  <c r="AC11" i="23" s="1"/>
  <c r="AB58" i="23"/>
  <c r="AC58" i="23" s="1"/>
  <c r="AB52" i="23"/>
  <c r="AC52" i="23" s="1"/>
  <c r="BD89" i="23"/>
  <c r="AX89" i="23" s="1"/>
  <c r="D319" i="2"/>
  <c r="D318" i="2"/>
  <c r="AH75" i="21"/>
  <c r="Y75" i="21"/>
  <c r="V103" i="21"/>
  <c r="AJ103" i="21"/>
  <c r="R103" i="21"/>
  <c r="AN103" i="21" s="1"/>
  <c r="V46" i="21"/>
  <c r="AJ46" i="21"/>
  <c r="R46" i="21"/>
  <c r="AN46" i="21" s="1"/>
  <c r="V16" i="21"/>
  <c r="R16" i="21"/>
  <c r="AN16" i="21" s="1"/>
  <c r="AJ16" i="21"/>
  <c r="V17" i="21"/>
  <c r="R17" i="21"/>
  <c r="AN17" i="21" s="1"/>
  <c r="AJ17" i="21"/>
  <c r="V109" i="21"/>
  <c r="AJ109" i="21"/>
  <c r="R109" i="21"/>
  <c r="AN109" i="21" s="1"/>
  <c r="V102" i="21"/>
  <c r="R102" i="21"/>
  <c r="AN102" i="21" s="1"/>
  <c r="AJ102" i="21"/>
  <c r="V82" i="21"/>
  <c r="R82" i="21"/>
  <c r="AN82" i="21" s="1"/>
  <c r="AJ82" i="21"/>
  <c r="Y16" i="21"/>
  <c r="Y49" i="21"/>
  <c r="AH17" i="21"/>
  <c r="AB76" i="21"/>
  <c r="Y109" i="21"/>
  <c r="Y26" i="21"/>
  <c r="AH14" i="21"/>
  <c r="AB102" i="21"/>
  <c r="AH18" i="21"/>
  <c r="Y38" i="21"/>
  <c r="AB105" i="21"/>
  <c r="Y22" i="21"/>
  <c r="Y43" i="21"/>
  <c r="V31" i="21"/>
  <c r="R31" i="21"/>
  <c r="AN31" i="21" s="1"/>
  <c r="AJ31" i="21"/>
  <c r="V39" i="21"/>
  <c r="R39" i="21"/>
  <c r="AN39" i="21" s="1"/>
  <c r="AJ39" i="21"/>
  <c r="Y46" i="21"/>
  <c r="V80" i="21"/>
  <c r="R80" i="21"/>
  <c r="AN80" i="21" s="1"/>
  <c r="AJ80" i="21"/>
  <c r="Y103" i="21"/>
  <c r="AB16" i="21"/>
  <c r="Y76" i="21"/>
  <c r="AH109" i="21"/>
  <c r="AB31" i="21"/>
  <c r="AH39" i="21"/>
  <c r="AH102" i="21"/>
  <c r="Y82" i="21"/>
  <c r="Y80" i="21"/>
  <c r="AH43" i="21"/>
  <c r="AB46" i="21"/>
  <c r="V22" i="21"/>
  <c r="AJ22" i="21"/>
  <c r="R22" i="21"/>
  <c r="AN22" i="21" s="1"/>
  <c r="V108" i="21"/>
  <c r="R108" i="21"/>
  <c r="AN108" i="21" s="1"/>
  <c r="AJ108" i="21"/>
  <c r="V77" i="21"/>
  <c r="R77" i="21"/>
  <c r="AN77" i="21" s="1"/>
  <c r="AJ77" i="21"/>
  <c r="V26" i="21"/>
  <c r="R26" i="21"/>
  <c r="AN26" i="21" s="1"/>
  <c r="AJ26" i="21"/>
  <c r="AB103" i="21"/>
  <c r="AH16" i="21"/>
  <c r="AB17" i="21"/>
  <c r="AB77" i="21"/>
  <c r="AH26" i="21"/>
  <c r="V47" i="21"/>
  <c r="AJ47" i="21"/>
  <c r="R47" i="21"/>
  <c r="AN47" i="21" s="1"/>
  <c r="V105" i="21"/>
  <c r="R105" i="21"/>
  <c r="AN105" i="21" s="1"/>
  <c r="AJ105" i="21"/>
  <c r="AB39" i="21"/>
  <c r="V37" i="21"/>
  <c r="AJ37" i="21"/>
  <c r="R37" i="21"/>
  <c r="AN37" i="21" s="1"/>
  <c r="AB82" i="21"/>
  <c r="Y47" i="21"/>
  <c r="AB80" i="21"/>
  <c r="AH105" i="21"/>
  <c r="AB108" i="21"/>
  <c r="Y37" i="21"/>
  <c r="V75" i="21"/>
  <c r="AJ75" i="21"/>
  <c r="R75" i="21"/>
  <c r="AN75" i="21" s="1"/>
  <c r="V38" i="21"/>
  <c r="AJ38" i="21"/>
  <c r="R38" i="21"/>
  <c r="AN38" i="21" s="1"/>
  <c r="AH46" i="21"/>
  <c r="V14" i="21"/>
  <c r="R14" i="21"/>
  <c r="AN14" i="21" s="1"/>
  <c r="AJ14" i="21"/>
  <c r="V49" i="21"/>
  <c r="R49" i="21"/>
  <c r="AN49" i="21" s="1"/>
  <c r="AJ49" i="21"/>
  <c r="V76" i="21"/>
  <c r="R76" i="21"/>
  <c r="AN76" i="21" s="1"/>
  <c r="AJ76" i="21"/>
  <c r="V18" i="21"/>
  <c r="AJ18" i="21"/>
  <c r="R18" i="21"/>
  <c r="AN18" i="21" s="1"/>
  <c r="AH103" i="21"/>
  <c r="AB49" i="21"/>
  <c r="Y17" i="21"/>
  <c r="AB109" i="21"/>
  <c r="Y77" i="21"/>
  <c r="AB14" i="21"/>
  <c r="Y31" i="21"/>
  <c r="Y102" i="21"/>
  <c r="AH82" i="21"/>
  <c r="Y18" i="21"/>
  <c r="AB38" i="21"/>
  <c r="AB47" i="21"/>
  <c r="AH80" i="21"/>
  <c r="AB22" i="21"/>
  <c r="Y108" i="21"/>
  <c r="AH37" i="21"/>
  <c r="V43" i="21"/>
  <c r="AJ43" i="21"/>
  <c r="R43" i="21"/>
  <c r="AN43" i="21" s="1"/>
  <c r="D216" i="2"/>
  <c r="D217" i="2" s="1"/>
  <c r="F623" i="17"/>
  <c r="B90" i="2"/>
  <c r="B107" i="2"/>
  <c r="B105" i="2"/>
  <c r="E21" i="1" s="1"/>
  <c r="A364" i="2"/>
  <c r="C68" i="16"/>
  <c r="D68" i="16" s="1"/>
  <c r="B328" i="2"/>
  <c r="B329" i="2" s="1"/>
  <c r="B198" i="2" l="1"/>
  <c r="B195" i="2"/>
  <c r="S48" i="23"/>
  <c r="AN48" i="23"/>
  <c r="BE48" i="23" s="1"/>
  <c r="S96" i="23"/>
  <c r="U96" i="23" s="1"/>
  <c r="AN96" i="23"/>
  <c r="BE96" i="23" s="1"/>
  <c r="S78" i="23"/>
  <c r="U78" i="23" s="1"/>
  <c r="AN78" i="23"/>
  <c r="BE78" i="23" s="1"/>
  <c r="S56" i="23"/>
  <c r="U56" i="23" s="1"/>
  <c r="AN56" i="23"/>
  <c r="BE56" i="23" s="1"/>
  <c r="S40" i="23"/>
  <c r="U40" i="23" s="1"/>
  <c r="AN40" i="23"/>
  <c r="BE40" i="23" s="1"/>
  <c r="S15" i="23"/>
  <c r="U15" i="23" s="1"/>
  <c r="AN15" i="23"/>
  <c r="BE15" i="23" s="1"/>
  <c r="S69" i="23"/>
  <c r="U69" i="23" s="1"/>
  <c r="AN69" i="23"/>
  <c r="BE69" i="23" s="1"/>
  <c r="S39" i="23"/>
  <c r="AN39" i="23"/>
  <c r="BE39" i="23" s="1"/>
  <c r="S67" i="23"/>
  <c r="U67" i="23" s="1"/>
  <c r="AN67" i="23"/>
  <c r="BE67" i="23" s="1"/>
  <c r="S103" i="23"/>
  <c r="U103" i="23" s="1"/>
  <c r="AN103" i="23"/>
  <c r="BE103" i="23" s="1"/>
  <c r="S63" i="23"/>
  <c r="U63" i="23" s="1"/>
  <c r="AN63" i="23"/>
  <c r="BE63" i="23" s="1"/>
  <c r="S92" i="23"/>
  <c r="U92" i="23" s="1"/>
  <c r="AN92" i="23"/>
  <c r="BE92" i="23" s="1"/>
  <c r="S42" i="23"/>
  <c r="U42" i="23" s="1"/>
  <c r="AN42" i="23"/>
  <c r="BE42" i="23" s="1"/>
  <c r="S99" i="23"/>
  <c r="U99" i="23" s="1"/>
  <c r="AN99" i="23"/>
  <c r="BE99" i="23" s="1"/>
  <c r="S35" i="23"/>
  <c r="U35" i="23" s="1"/>
  <c r="AN35" i="23"/>
  <c r="BE35" i="23" s="1"/>
  <c r="S95" i="23"/>
  <c r="U95" i="23" s="1"/>
  <c r="AN95" i="23"/>
  <c r="BE95" i="23" s="1"/>
  <c r="S41" i="23"/>
  <c r="U41" i="23" s="1"/>
  <c r="AN41" i="23"/>
  <c r="BE41" i="23" s="1"/>
  <c r="S106" i="23"/>
  <c r="U106" i="23" s="1"/>
  <c r="AN106" i="23"/>
  <c r="BE106" i="23" s="1"/>
  <c r="S12" i="23"/>
  <c r="U12" i="23" s="1"/>
  <c r="AN12" i="23"/>
  <c r="BE12" i="23" s="1"/>
  <c r="S16" i="23"/>
  <c r="U16" i="23" s="1"/>
  <c r="AN16" i="23"/>
  <c r="BE16" i="23" s="1"/>
  <c r="S25" i="23"/>
  <c r="U25" i="23" s="1"/>
  <c r="AN25" i="23"/>
  <c r="BE25" i="23" s="1"/>
  <c r="S85" i="23"/>
  <c r="U85" i="23" s="1"/>
  <c r="AN85" i="23"/>
  <c r="BE85" i="23" s="1"/>
  <c r="S45" i="23"/>
  <c r="U45" i="23" s="1"/>
  <c r="AN45" i="23"/>
  <c r="BE45" i="23" s="1"/>
  <c r="S98" i="23"/>
  <c r="AN98" i="23"/>
  <c r="BE98" i="23" s="1"/>
  <c r="S90" i="23"/>
  <c r="AN90" i="23"/>
  <c r="S52" i="23"/>
  <c r="U52" i="23" s="1"/>
  <c r="AN52" i="23"/>
  <c r="BE52" i="23" s="1"/>
  <c r="S37" i="23"/>
  <c r="U37" i="23" s="1"/>
  <c r="AN37" i="23"/>
  <c r="BE37" i="23" s="1"/>
  <c r="S38" i="23"/>
  <c r="U38" i="23" s="1"/>
  <c r="AN38" i="23"/>
  <c r="BE38" i="23" s="1"/>
  <c r="S19" i="23"/>
  <c r="U19" i="23" s="1"/>
  <c r="AN19" i="23"/>
  <c r="BE19" i="23" s="1"/>
  <c r="S76" i="23"/>
  <c r="U76" i="23" s="1"/>
  <c r="AN76" i="23"/>
  <c r="BE76" i="23" s="1"/>
  <c r="S46" i="23"/>
  <c r="U46" i="23" s="1"/>
  <c r="AN46" i="23"/>
  <c r="BE46" i="23" s="1"/>
  <c r="S94" i="23"/>
  <c r="U94" i="23" s="1"/>
  <c r="AN94" i="23"/>
  <c r="BE94" i="23" s="1"/>
  <c r="S50" i="23"/>
  <c r="U50" i="23" s="1"/>
  <c r="AN50" i="23"/>
  <c r="BE50" i="23" s="1"/>
  <c r="S51" i="23"/>
  <c r="U51" i="23" s="1"/>
  <c r="AN51" i="23"/>
  <c r="BE51" i="23" s="1"/>
  <c r="S58" i="23"/>
  <c r="U58" i="23" s="1"/>
  <c r="AN58" i="23"/>
  <c r="BE58" i="23" s="1"/>
  <c r="S53" i="23"/>
  <c r="AN53" i="23"/>
  <c r="BE53" i="23" s="1"/>
  <c r="S86" i="23"/>
  <c r="U86" i="23" s="1"/>
  <c r="AN86" i="23"/>
  <c r="S65" i="23"/>
  <c r="U65" i="23" s="1"/>
  <c r="AN65" i="23"/>
  <c r="BE65" i="23" s="1"/>
  <c r="S74" i="23"/>
  <c r="U74" i="23" s="1"/>
  <c r="AN74" i="23"/>
  <c r="BE74" i="23" s="1"/>
  <c r="S54" i="23"/>
  <c r="U54" i="23" s="1"/>
  <c r="AN54" i="23"/>
  <c r="BE54" i="23" s="1"/>
  <c r="S104" i="23"/>
  <c r="U104" i="23" s="1"/>
  <c r="AN104" i="23"/>
  <c r="BE104" i="23" s="1"/>
  <c r="S30" i="23"/>
  <c r="U30" i="23" s="1"/>
  <c r="AN30" i="23"/>
  <c r="BE30" i="23" s="1"/>
  <c r="S55" i="23"/>
  <c r="U55" i="23" s="1"/>
  <c r="AN55" i="23"/>
  <c r="BE55" i="23" s="1"/>
  <c r="S14" i="23"/>
  <c r="U14" i="23" s="1"/>
  <c r="AN14" i="23"/>
  <c r="BE14" i="23" s="1"/>
  <c r="S49" i="23"/>
  <c r="U49" i="23" s="1"/>
  <c r="AN49" i="23"/>
  <c r="BE49" i="23" s="1"/>
  <c r="S13" i="23"/>
  <c r="U13" i="23" s="1"/>
  <c r="AN13" i="23"/>
  <c r="BE13" i="23" s="1"/>
  <c r="S21" i="23"/>
  <c r="U21" i="23" s="1"/>
  <c r="AN21" i="23"/>
  <c r="BE21" i="23" s="1"/>
  <c r="S31" i="23"/>
  <c r="U31" i="23" s="1"/>
  <c r="AN31" i="23"/>
  <c r="BE31" i="23" s="1"/>
  <c r="S68" i="23"/>
  <c r="U68" i="23" s="1"/>
  <c r="AN68" i="23"/>
  <c r="S109" i="23"/>
  <c r="U109" i="23" s="1"/>
  <c r="AN109" i="23"/>
  <c r="BE109" i="23" s="1"/>
  <c r="S11" i="23"/>
  <c r="U11" i="23" s="1"/>
  <c r="AN11" i="23"/>
  <c r="BE11" i="23" s="1"/>
  <c r="S73" i="23"/>
  <c r="U73" i="23" s="1"/>
  <c r="AN73" i="23"/>
  <c r="BE73" i="23" s="1"/>
  <c r="S22" i="23"/>
  <c r="U22" i="23" s="1"/>
  <c r="AN22" i="23"/>
  <c r="BE22" i="23" s="1"/>
  <c r="S66" i="23"/>
  <c r="U66" i="23" s="1"/>
  <c r="AN66" i="23"/>
  <c r="BE66" i="23" s="1"/>
  <c r="S27" i="23"/>
  <c r="U27" i="23" s="1"/>
  <c r="AN27" i="23"/>
  <c r="BE27" i="23" s="1"/>
  <c r="S44" i="23"/>
  <c r="U44" i="23" s="1"/>
  <c r="AN44" i="23"/>
  <c r="BE44" i="23" s="1"/>
  <c r="S33" i="23"/>
  <c r="U33" i="23" s="1"/>
  <c r="AN33" i="23"/>
  <c r="BE33" i="23" s="1"/>
  <c r="S32" i="23"/>
  <c r="U32" i="23" s="1"/>
  <c r="AN32" i="23"/>
  <c r="BE32" i="23" s="1"/>
  <c r="S108" i="23"/>
  <c r="U108" i="23" s="1"/>
  <c r="AN108" i="23"/>
  <c r="BE108" i="23" s="1"/>
  <c r="S23" i="23"/>
  <c r="U23" i="23" s="1"/>
  <c r="AN23" i="23"/>
  <c r="BE23" i="23" s="1"/>
  <c r="S81" i="23"/>
  <c r="U81" i="23" s="1"/>
  <c r="AN81" i="23"/>
  <c r="BE81" i="23" s="1"/>
  <c r="N4" i="25"/>
  <c r="P628" i="25"/>
  <c r="F5" i="25"/>
  <c r="O628" i="25"/>
  <c r="P626" i="25"/>
  <c r="O626" i="25"/>
  <c r="P623" i="25"/>
  <c r="O623" i="25"/>
  <c r="Q3" i="25"/>
  <c r="F4" i="25"/>
  <c r="J61" i="1"/>
  <c r="K4" i="25"/>
  <c r="F75" i="1"/>
  <c r="C7" i="25"/>
  <c r="BE49" i="21"/>
  <c r="S49" i="21"/>
  <c r="BE18" i="21"/>
  <c r="S18" i="21"/>
  <c r="BE80" i="21"/>
  <c r="S80" i="21"/>
  <c r="BE17" i="21"/>
  <c r="S17" i="21"/>
  <c r="BE43" i="21"/>
  <c r="S43" i="21"/>
  <c r="BE38" i="21"/>
  <c r="S38" i="21"/>
  <c r="BE37" i="21"/>
  <c r="S37" i="21"/>
  <c r="BE26" i="21"/>
  <c r="S26" i="21"/>
  <c r="BE22" i="21"/>
  <c r="S22" i="21"/>
  <c r="BE46" i="21"/>
  <c r="S46" i="21"/>
  <c r="BE108" i="21"/>
  <c r="S108" i="21"/>
  <c r="BE31" i="21"/>
  <c r="S31" i="21"/>
  <c r="BE82" i="21"/>
  <c r="S82" i="21"/>
  <c r="BE16" i="21"/>
  <c r="S16" i="21"/>
  <c r="BE76" i="21"/>
  <c r="S76" i="21"/>
  <c r="BE75" i="21"/>
  <c r="S75" i="21"/>
  <c r="BE47" i="21"/>
  <c r="S47" i="21"/>
  <c r="U47" i="21" s="1"/>
  <c r="BE77" i="21"/>
  <c r="S77" i="21"/>
  <c r="BE39" i="21"/>
  <c r="S39" i="21"/>
  <c r="BE109" i="21"/>
  <c r="S109" i="21"/>
  <c r="U109" i="21" s="1"/>
  <c r="BE103" i="21"/>
  <c r="S103" i="21"/>
  <c r="BE14" i="21"/>
  <c r="S14" i="21"/>
  <c r="BE105" i="21"/>
  <c r="S105" i="21"/>
  <c r="U105" i="21" s="1"/>
  <c r="BE102" i="21"/>
  <c r="S102" i="21"/>
  <c r="U62" i="23"/>
  <c r="BA62" i="23" s="1"/>
  <c r="AK30" i="23"/>
  <c r="BD30" i="23" s="1"/>
  <c r="AX30" i="23" s="1"/>
  <c r="AK91" i="23"/>
  <c r="BD91" i="23" s="1"/>
  <c r="AX91" i="23" s="1"/>
  <c r="AK56" i="23"/>
  <c r="BD56" i="23" s="1"/>
  <c r="AX56" i="23" s="1"/>
  <c r="AK65" i="23"/>
  <c r="BD65" i="23" s="1"/>
  <c r="AX65" i="23" s="1"/>
  <c r="AK108" i="23"/>
  <c r="BD108" i="23" s="1"/>
  <c r="AX108" i="23" s="1"/>
  <c r="U61" i="23"/>
  <c r="BA61" i="23" s="1"/>
  <c r="AK87" i="23"/>
  <c r="BD87" i="23" s="1"/>
  <c r="AX87" i="23" s="1"/>
  <c r="AK20" i="23"/>
  <c r="BD20" i="23" s="1"/>
  <c r="AX20" i="23" s="1"/>
  <c r="U24" i="23"/>
  <c r="BA24" i="23" s="1"/>
  <c r="AK17" i="23"/>
  <c r="BD17" i="23" s="1"/>
  <c r="AX17" i="23" s="1"/>
  <c r="AK61" i="23"/>
  <c r="BD61" i="23" s="1"/>
  <c r="AX61" i="23" s="1"/>
  <c r="U9" i="23"/>
  <c r="BA9" i="23" s="1"/>
  <c r="AK33" i="23"/>
  <c r="BD33" i="23" s="1"/>
  <c r="AX33" i="23" s="1"/>
  <c r="AK31" i="23"/>
  <c r="BD31" i="23" s="1"/>
  <c r="AX31" i="23" s="1"/>
  <c r="AK93" i="23"/>
  <c r="BD93" i="23" s="1"/>
  <c r="AX93" i="23" s="1"/>
  <c r="D231" i="2"/>
  <c r="AD9" i="23"/>
  <c r="AG9" i="23" s="1"/>
  <c r="AD49" i="23"/>
  <c r="AG49" i="23" s="1"/>
  <c r="AD108" i="23"/>
  <c r="AG108" i="23" s="1"/>
  <c r="AD76" i="23"/>
  <c r="AG76" i="23" s="1"/>
  <c r="AD91" i="23"/>
  <c r="AG91" i="23" s="1"/>
  <c r="AD93" i="23"/>
  <c r="AG93" i="23" s="1"/>
  <c r="AD34" i="23"/>
  <c r="AG34" i="23" s="1"/>
  <c r="AD66" i="23"/>
  <c r="AG66" i="23" s="1"/>
  <c r="AD89" i="23"/>
  <c r="AG89" i="23" s="1"/>
  <c r="AD100" i="23"/>
  <c r="AG100" i="23" s="1"/>
  <c r="AD29" i="23"/>
  <c r="AG29" i="23" s="1"/>
  <c r="AD83" i="23"/>
  <c r="AG83" i="23" s="1"/>
  <c r="AD30" i="23"/>
  <c r="AG30" i="23" s="1"/>
  <c r="AD90" i="23"/>
  <c r="AG90" i="23" s="1"/>
  <c r="AD65" i="23"/>
  <c r="AG65" i="23" s="1"/>
  <c r="AD45" i="23"/>
  <c r="AG45" i="23" s="1"/>
  <c r="AD92" i="23"/>
  <c r="AG92" i="23" s="1"/>
  <c r="AD50" i="23"/>
  <c r="AG50" i="23" s="1"/>
  <c r="AD41" i="23"/>
  <c r="AG41" i="23" s="1"/>
  <c r="AD109" i="23"/>
  <c r="AG109" i="23" s="1"/>
  <c r="AD98" i="23"/>
  <c r="AG98" i="23" s="1"/>
  <c r="AD87" i="23"/>
  <c r="AG87" i="23" s="1"/>
  <c r="AD14" i="23"/>
  <c r="AG14" i="23" s="1"/>
  <c r="AD105" i="23"/>
  <c r="AG105" i="23" s="1"/>
  <c r="AD38" i="23"/>
  <c r="AG38" i="23" s="1"/>
  <c r="AD54" i="23"/>
  <c r="AG54" i="23" s="1"/>
  <c r="AD53" i="23"/>
  <c r="AG53" i="23" s="1"/>
  <c r="AD11" i="23"/>
  <c r="AG11" i="23" s="1"/>
  <c r="AD47" i="23"/>
  <c r="AG47" i="23" s="1"/>
  <c r="AD26" i="23"/>
  <c r="AG26" i="23" s="1"/>
  <c r="AD25" i="23"/>
  <c r="AG25" i="23" s="1"/>
  <c r="AD44" i="23"/>
  <c r="AG44" i="23" s="1"/>
  <c r="AD52" i="23"/>
  <c r="AG52" i="23" s="1"/>
  <c r="AD51" i="23"/>
  <c r="AG51" i="23" s="1"/>
  <c r="AD16" i="23"/>
  <c r="AG16" i="23" s="1"/>
  <c r="AD73" i="23"/>
  <c r="AG73" i="23" s="1"/>
  <c r="AD85" i="23"/>
  <c r="AG85" i="23" s="1"/>
  <c r="AD64" i="23"/>
  <c r="AG64" i="23" s="1"/>
  <c r="AD12" i="23"/>
  <c r="AG12" i="23" s="1"/>
  <c r="AD81" i="23"/>
  <c r="AG81" i="23" s="1"/>
  <c r="AD86" i="23"/>
  <c r="AG86" i="23" s="1"/>
  <c r="AD19" i="23"/>
  <c r="AG19" i="23" s="1"/>
  <c r="AD78" i="23"/>
  <c r="AG78" i="23" s="1"/>
  <c r="AD70" i="23"/>
  <c r="AG70" i="23" s="1"/>
  <c r="AD97" i="23"/>
  <c r="AG97" i="23" s="1"/>
  <c r="AD21" i="23"/>
  <c r="AG21" i="23" s="1"/>
  <c r="AD56" i="23"/>
  <c r="AG56" i="23" s="1"/>
  <c r="AD39" i="23"/>
  <c r="AG39" i="23" s="1"/>
  <c r="AD84" i="23"/>
  <c r="AG84" i="23" s="1"/>
  <c r="AD106" i="23"/>
  <c r="AG106" i="23" s="1"/>
  <c r="AD33" i="23"/>
  <c r="AG33" i="23" s="1"/>
  <c r="AD96" i="23"/>
  <c r="AG96" i="23" s="1"/>
  <c r="AD63" i="23"/>
  <c r="AD42" i="23"/>
  <c r="AG42" i="23" s="1"/>
  <c r="AD75" i="23"/>
  <c r="AG75" i="23" s="1"/>
  <c r="AD40" i="23"/>
  <c r="AG40" i="23" s="1"/>
  <c r="AD77" i="23"/>
  <c r="AG77" i="23" s="1"/>
  <c r="AD43" i="23"/>
  <c r="AG43" i="23" s="1"/>
  <c r="AD88" i="23"/>
  <c r="AG88" i="23" s="1"/>
  <c r="AD35" i="23"/>
  <c r="AG35" i="23" s="1"/>
  <c r="AD57" i="23"/>
  <c r="AG57" i="23" s="1"/>
  <c r="AD17" i="23"/>
  <c r="AG17" i="23" s="1"/>
  <c r="AD68" i="23"/>
  <c r="AG68" i="23" s="1"/>
  <c r="AD67" i="23"/>
  <c r="AG67" i="23" s="1"/>
  <c r="AD48" i="23"/>
  <c r="AG48" i="23" s="1"/>
  <c r="AD27" i="23"/>
  <c r="AG27" i="23" s="1"/>
  <c r="AD60" i="23"/>
  <c r="AG60" i="23" s="1"/>
  <c r="AD104" i="23"/>
  <c r="AG104" i="23" s="1"/>
  <c r="AD72" i="23"/>
  <c r="AD55" i="23"/>
  <c r="AG55" i="23" s="1"/>
  <c r="AD36" i="23"/>
  <c r="AG36" i="23" s="1"/>
  <c r="AD82" i="23"/>
  <c r="AG82" i="23" s="1"/>
  <c r="AD31" i="23"/>
  <c r="AG31" i="23" s="1"/>
  <c r="AD102" i="23"/>
  <c r="AG102" i="23" s="1"/>
  <c r="AD99" i="23"/>
  <c r="AG99" i="23" s="1"/>
  <c r="AD101" i="23"/>
  <c r="AG101" i="23" s="1"/>
  <c r="AD80" i="23"/>
  <c r="AG80" i="23" s="1"/>
  <c r="AD94" i="23"/>
  <c r="AG94" i="23" s="1"/>
  <c r="AD95" i="23"/>
  <c r="AG95" i="23" s="1"/>
  <c r="AD28" i="23"/>
  <c r="AG28" i="23" s="1"/>
  <c r="AD10" i="23"/>
  <c r="AG10" i="23" s="1"/>
  <c r="AD107" i="23"/>
  <c r="AG107" i="23" s="1"/>
  <c r="AD59" i="23"/>
  <c r="AG59" i="23" s="1"/>
  <c r="AD24" i="23"/>
  <c r="AG24" i="23" s="1"/>
  <c r="AD37" i="23"/>
  <c r="AG37" i="23" s="1"/>
  <c r="AD74" i="23"/>
  <c r="AG74" i="23" s="1"/>
  <c r="AD103" i="23"/>
  <c r="AG103" i="23" s="1"/>
  <c r="AD20" i="23"/>
  <c r="AG20" i="23" s="1"/>
  <c r="AD32" i="23"/>
  <c r="AG32" i="23" s="1"/>
  <c r="AD15" i="23"/>
  <c r="AG15" i="23" s="1"/>
  <c r="AD13" i="23"/>
  <c r="AG13" i="23" s="1"/>
  <c r="AD58" i="23"/>
  <c r="AG58" i="23" s="1"/>
  <c r="AD79" i="23"/>
  <c r="AG79" i="23" s="1"/>
  <c r="AD23" i="23"/>
  <c r="AG23" i="23" s="1"/>
  <c r="AD22" i="23"/>
  <c r="AG22" i="23" s="1"/>
  <c r="AD71" i="23"/>
  <c r="AG71" i="23" s="1"/>
  <c r="AD61" i="23"/>
  <c r="AG61" i="23" s="1"/>
  <c r="AD69" i="23"/>
  <c r="AG69" i="23" s="1"/>
  <c r="AD62" i="23"/>
  <c r="AG62" i="23" s="1"/>
  <c r="AD18" i="23"/>
  <c r="AG18" i="23" s="1"/>
  <c r="AD46" i="23"/>
  <c r="AG46" i="23" s="1"/>
  <c r="W106" i="23"/>
  <c r="X106" i="23" s="1"/>
  <c r="W13" i="23"/>
  <c r="X13" i="23" s="1"/>
  <c r="W86" i="23"/>
  <c r="X86" i="23" s="1"/>
  <c r="W94" i="23"/>
  <c r="X94" i="23" s="1"/>
  <c r="W45" i="23"/>
  <c r="X45" i="23" s="1"/>
  <c r="W68" i="23"/>
  <c r="X68" i="23" s="1"/>
  <c r="W98" i="23"/>
  <c r="X98" i="23" s="1"/>
  <c r="W74" i="23"/>
  <c r="X74" i="23" s="1"/>
  <c r="W33" i="23"/>
  <c r="X33" i="23" s="1"/>
  <c r="W76" i="23"/>
  <c r="X76" i="23" s="1"/>
  <c r="W52" i="23"/>
  <c r="X52" i="23" s="1"/>
  <c r="W99" i="23"/>
  <c r="X99" i="23" s="1"/>
  <c r="W46" i="23"/>
  <c r="X46" i="23" s="1"/>
  <c r="W37" i="23"/>
  <c r="X37" i="23" s="1"/>
  <c r="W108" i="23"/>
  <c r="X108" i="23" s="1"/>
  <c r="W40" i="23"/>
  <c r="X40" i="23" s="1"/>
  <c r="W38" i="23"/>
  <c r="X38" i="23" s="1"/>
  <c r="W55" i="23"/>
  <c r="X55" i="23" s="1"/>
  <c r="W15" i="23"/>
  <c r="X15" i="23" s="1"/>
  <c r="W81" i="23"/>
  <c r="X81" i="23" s="1"/>
  <c r="W39" i="23"/>
  <c r="X39" i="23" s="1"/>
  <c r="W22" i="23"/>
  <c r="X22" i="23" s="1"/>
  <c r="W12" i="23"/>
  <c r="X12" i="23" s="1"/>
  <c r="W63" i="23"/>
  <c r="X63" i="23" s="1"/>
  <c r="W21" i="23"/>
  <c r="X21" i="23" s="1"/>
  <c r="W66" i="23"/>
  <c r="X66" i="23" s="1"/>
  <c r="W27" i="23"/>
  <c r="X27" i="23" s="1"/>
  <c r="W95" i="23"/>
  <c r="X95" i="23" s="1"/>
  <c r="W85" i="23"/>
  <c r="X85" i="23" s="1"/>
  <c r="W31" i="23"/>
  <c r="X31" i="23" s="1"/>
  <c r="W65" i="23"/>
  <c r="X65" i="23" s="1"/>
  <c r="W96" i="23"/>
  <c r="X96" i="23" s="1"/>
  <c r="W90" i="23"/>
  <c r="X90" i="23" s="1"/>
  <c r="W51" i="23"/>
  <c r="X51" i="23" s="1"/>
  <c r="W109" i="23"/>
  <c r="X109" i="23" s="1"/>
  <c r="W104" i="23"/>
  <c r="X104" i="23" s="1"/>
  <c r="W30" i="23"/>
  <c r="X30" i="23" s="1"/>
  <c r="W35" i="23"/>
  <c r="X35" i="23" s="1"/>
  <c r="BE86" i="23"/>
  <c r="U48" i="23"/>
  <c r="W16" i="23"/>
  <c r="X16" i="23" s="1"/>
  <c r="W67" i="23"/>
  <c r="X67" i="23" s="1"/>
  <c r="W25" i="23"/>
  <c r="X25" i="23" s="1"/>
  <c r="W50" i="23"/>
  <c r="X50" i="23" s="1"/>
  <c r="W44" i="23"/>
  <c r="X44" i="23" s="1"/>
  <c r="BE68" i="23"/>
  <c r="W42" i="23"/>
  <c r="X42" i="23" s="1"/>
  <c r="W41" i="23"/>
  <c r="X41" i="23" s="1"/>
  <c r="W54" i="23"/>
  <c r="X54" i="23" s="1"/>
  <c r="W58" i="23"/>
  <c r="X58" i="23" s="1"/>
  <c r="W14" i="23"/>
  <c r="X14" i="23" s="1"/>
  <c r="W69" i="23"/>
  <c r="X69" i="23" s="1"/>
  <c r="W19" i="23"/>
  <c r="X19" i="23" s="1"/>
  <c r="W49" i="23"/>
  <c r="X49" i="23" s="1"/>
  <c r="U53" i="23"/>
  <c r="U39" i="23"/>
  <c r="W48" i="23"/>
  <c r="X48" i="23" s="1"/>
  <c r="W103" i="23"/>
  <c r="X103" i="23" s="1"/>
  <c r="U98" i="23"/>
  <c r="BE90" i="23"/>
  <c r="U90" i="23"/>
  <c r="W92" i="23"/>
  <c r="X92" i="23" s="1"/>
  <c r="W11" i="23"/>
  <c r="X11" i="23" s="1"/>
  <c r="W78" i="23"/>
  <c r="X78" i="23" s="1"/>
  <c r="W73" i="23"/>
  <c r="X73" i="23" s="1"/>
  <c r="W56" i="23"/>
  <c r="X56" i="23" s="1"/>
  <c r="W32" i="23"/>
  <c r="X32" i="23" s="1"/>
  <c r="W23" i="23"/>
  <c r="X23" i="23" s="1"/>
  <c r="W53" i="23"/>
  <c r="X53" i="23" s="1"/>
  <c r="BD67" i="23"/>
  <c r="AX67" i="23" s="1"/>
  <c r="BD27" i="23"/>
  <c r="AX27" i="23" s="1"/>
  <c r="BD98" i="23"/>
  <c r="AX98" i="23" s="1"/>
  <c r="BD32" i="23"/>
  <c r="AX32" i="23" s="1"/>
  <c r="BD85" i="23"/>
  <c r="AX85" i="23" s="1"/>
  <c r="BD103" i="23"/>
  <c r="AX103" i="23" s="1"/>
  <c r="BD78" i="23"/>
  <c r="AX78" i="23" s="1"/>
  <c r="BD86" i="23"/>
  <c r="AX86" i="23" s="1"/>
  <c r="BD12" i="23"/>
  <c r="AX12" i="23" s="1"/>
  <c r="BD106" i="23"/>
  <c r="AX106" i="23" s="1"/>
  <c r="BD51" i="23"/>
  <c r="AX51" i="23" s="1"/>
  <c r="BD54" i="23"/>
  <c r="AX54" i="23" s="1"/>
  <c r="BA89" i="23"/>
  <c r="BA97" i="23"/>
  <c r="BA75" i="23"/>
  <c r="BA80" i="23"/>
  <c r="BA36" i="23"/>
  <c r="BD92" i="23"/>
  <c r="AX92" i="23" s="1"/>
  <c r="BD76" i="23"/>
  <c r="AX76" i="23" s="1"/>
  <c r="BA72" i="23"/>
  <c r="BD53" i="23"/>
  <c r="AX53" i="23" s="1"/>
  <c r="BA105" i="23"/>
  <c r="BA91" i="23"/>
  <c r="BA60" i="23"/>
  <c r="BD96" i="23"/>
  <c r="AX96" i="23" s="1"/>
  <c r="BA20" i="23"/>
  <c r="BD74" i="23"/>
  <c r="AX74" i="23" s="1"/>
  <c r="BA70" i="23"/>
  <c r="BD109" i="23"/>
  <c r="AX109" i="23" s="1"/>
  <c r="BA34" i="23"/>
  <c r="BA102" i="23"/>
  <c r="BA79" i="23"/>
  <c r="BA107" i="23"/>
  <c r="BA77" i="23"/>
  <c r="BD15" i="23"/>
  <c r="AX15" i="23" s="1"/>
  <c r="BA10" i="23"/>
  <c r="BA71" i="23"/>
  <c r="BD42" i="23"/>
  <c r="AX42" i="23" s="1"/>
  <c r="BA29" i="23"/>
  <c r="BA47" i="23"/>
  <c r="BA17" i="23"/>
  <c r="BA18" i="23"/>
  <c r="BD37" i="23"/>
  <c r="AX37" i="23" s="1"/>
  <c r="BA43" i="23"/>
  <c r="BA88" i="23"/>
  <c r="BA82" i="23"/>
  <c r="BA83" i="23"/>
  <c r="BA28" i="23"/>
  <c r="BA26" i="23"/>
  <c r="BA101" i="23"/>
  <c r="BD69" i="23"/>
  <c r="AX69" i="23" s="1"/>
  <c r="BD35" i="23"/>
  <c r="AX35" i="23" s="1"/>
  <c r="BA84" i="23"/>
  <c r="BA59" i="23"/>
  <c r="BA93" i="23"/>
  <c r="BA64" i="23"/>
  <c r="BD73" i="23"/>
  <c r="AX73" i="23" s="1"/>
  <c r="BA57" i="23"/>
  <c r="BA100" i="23"/>
  <c r="BD46" i="23"/>
  <c r="AX46" i="23" s="1"/>
  <c r="BA87" i="23"/>
  <c r="BD40" i="23"/>
  <c r="AX40" i="23" s="1"/>
  <c r="BD14" i="23"/>
  <c r="AX14" i="23" s="1"/>
  <c r="BD19" i="23"/>
  <c r="AX19" i="23" s="1"/>
  <c r="BD49" i="23"/>
  <c r="AX49" i="23" s="1"/>
  <c r="BD81" i="23"/>
  <c r="AX81" i="23" s="1"/>
  <c r="B89" i="2"/>
  <c r="B92" i="2" s="1"/>
  <c r="B106" i="2"/>
  <c r="B88" i="2"/>
  <c r="B63" i="2"/>
  <c r="E30" i="1"/>
  <c r="AC77" i="21"/>
  <c r="AG77" i="21" s="1"/>
  <c r="AC11" i="21"/>
  <c r="AG11" i="21" s="1"/>
  <c r="AC86" i="21"/>
  <c r="AG86" i="21" s="1"/>
  <c r="AI56" i="21"/>
  <c r="Z81" i="21"/>
  <c r="AA81" i="21" s="1"/>
  <c r="U90" i="21"/>
  <c r="AC21" i="21"/>
  <c r="AG21" i="21" s="1"/>
  <c r="Z85" i="21"/>
  <c r="AA85" i="21" s="1"/>
  <c r="B155" i="2"/>
  <c r="E47" i="1" s="1"/>
  <c r="W69" i="21"/>
  <c r="X69" i="21" s="1"/>
  <c r="AI35" i="21"/>
  <c r="AI81" i="21"/>
  <c r="AI68" i="21"/>
  <c r="AK68" i="21" s="1"/>
  <c r="BD68" i="21" s="1"/>
  <c r="AX68" i="21" s="1"/>
  <c r="AI76" i="21"/>
  <c r="AI98" i="21"/>
  <c r="AK98" i="21" s="1"/>
  <c r="BD98" i="21" s="1"/>
  <c r="AX98" i="21" s="1"/>
  <c r="AI101" i="21"/>
  <c r="AI90" i="21"/>
  <c r="AI106" i="21"/>
  <c r="AI45" i="21"/>
  <c r="AC58" i="21"/>
  <c r="AG58" i="21" s="1"/>
  <c r="AC22" i="21"/>
  <c r="AG22" i="21" s="1"/>
  <c r="AC76" i="21"/>
  <c r="AG76" i="21" s="1"/>
  <c r="Z69" i="21"/>
  <c r="AA69" i="21" s="1"/>
  <c r="U58" i="21"/>
  <c r="W75" i="21"/>
  <c r="X75" i="21" s="1"/>
  <c r="AI93" i="21"/>
  <c r="AI55" i="21"/>
  <c r="AI43" i="21"/>
  <c r="AI53" i="21"/>
  <c r="AK53" i="21" s="1"/>
  <c r="BD53" i="21" s="1"/>
  <c r="AX53" i="21" s="1"/>
  <c r="AI102" i="21"/>
  <c r="AK102" i="21" s="1"/>
  <c r="BD102" i="21" s="1"/>
  <c r="AX102" i="21" s="1"/>
  <c r="U84" i="21"/>
  <c r="AC66" i="21"/>
  <c r="AG66" i="21" s="1"/>
  <c r="AC53" i="21"/>
  <c r="AG53" i="21" s="1"/>
  <c r="U94" i="21"/>
  <c r="AC70" i="21"/>
  <c r="AG70" i="21" s="1"/>
  <c r="U66" i="21"/>
  <c r="AI83" i="21"/>
  <c r="AI97" i="21"/>
  <c r="AI105" i="21"/>
  <c r="AI89" i="21"/>
  <c r="AI66" i="21"/>
  <c r="AK66" i="21" s="1"/>
  <c r="BD66" i="21" s="1"/>
  <c r="AX66" i="21" s="1"/>
  <c r="AC9" i="21"/>
  <c r="AG9" i="21" s="1"/>
  <c r="AC44" i="21"/>
  <c r="AG44" i="21" s="1"/>
  <c r="AI44" i="21"/>
  <c r="AK44" i="21" s="1"/>
  <c r="BD44" i="21" s="1"/>
  <c r="AX44" i="21" s="1"/>
  <c r="AI84" i="21"/>
  <c r="AK84" i="21" s="1"/>
  <c r="BD84" i="21" s="1"/>
  <c r="AX84" i="21" s="1"/>
  <c r="AI63" i="21"/>
  <c r="AC30" i="21"/>
  <c r="AG30" i="21" s="1"/>
  <c r="AI109" i="21"/>
  <c r="AC74" i="21"/>
  <c r="AG74" i="21" s="1"/>
  <c r="U70" i="21"/>
  <c r="W89" i="21"/>
  <c r="X89" i="21" s="1"/>
  <c r="AI57" i="21"/>
  <c r="AK57" i="21" s="1"/>
  <c r="BD57" i="21" s="1"/>
  <c r="AX57" i="21" s="1"/>
  <c r="AI58" i="21"/>
  <c r="AK58" i="21" s="1"/>
  <c r="BD58" i="21" s="1"/>
  <c r="AX58" i="21" s="1"/>
  <c r="AI42" i="21"/>
  <c r="Z89" i="21"/>
  <c r="AA89" i="21" s="1"/>
  <c r="AI82" i="21"/>
  <c r="AC55" i="21"/>
  <c r="AG55" i="21" s="1"/>
  <c r="AI62" i="21"/>
  <c r="AC24" i="21"/>
  <c r="AG24" i="21" s="1"/>
  <c r="AI94" i="21"/>
  <c r="AK94" i="21" s="1"/>
  <c r="BD94" i="21" s="1"/>
  <c r="AX94" i="21" s="1"/>
  <c r="AI70" i="21"/>
  <c r="AK70" i="21" s="1"/>
  <c r="BD70" i="21" s="1"/>
  <c r="AX70" i="21" s="1"/>
  <c r="AC36" i="21"/>
  <c r="AG36" i="21" s="1"/>
  <c r="AI47" i="21"/>
  <c r="AI72" i="21"/>
  <c r="AK72" i="21" s="1"/>
  <c r="BD72" i="21" s="1"/>
  <c r="AX72" i="21" s="1"/>
  <c r="AC67" i="21"/>
  <c r="AG67" i="21" s="1"/>
  <c r="AI74" i="21"/>
  <c r="AK74" i="21" s="1"/>
  <c r="BD74" i="21" s="1"/>
  <c r="AX74" i="21" s="1"/>
  <c r="AC47" i="21"/>
  <c r="AG47" i="21" s="1"/>
  <c r="U67" i="21"/>
  <c r="Z48" i="21"/>
  <c r="AA48" i="21" s="1"/>
  <c r="Z21" i="21"/>
  <c r="AA21" i="21" s="1"/>
  <c r="Z9" i="21"/>
  <c r="AA9" i="21" s="1"/>
  <c r="Z96" i="21"/>
  <c r="AA96" i="21" s="1"/>
  <c r="Z104" i="21"/>
  <c r="AA104" i="21" s="1"/>
  <c r="Z73" i="21"/>
  <c r="AA73" i="21" s="1"/>
  <c r="Z84" i="21"/>
  <c r="AA84" i="21" s="1"/>
  <c r="Z27" i="21"/>
  <c r="AA27" i="21" s="1"/>
  <c r="Z28" i="21"/>
  <c r="AA28" i="21" s="1"/>
  <c r="Z78" i="21"/>
  <c r="AA78" i="21" s="1"/>
  <c r="W85" i="21"/>
  <c r="X85" i="21" s="1"/>
  <c r="Z33" i="21"/>
  <c r="AA33" i="21" s="1"/>
  <c r="Z10" i="21"/>
  <c r="AA10" i="21" s="1"/>
  <c r="Z92" i="21"/>
  <c r="AA92" i="21" s="1"/>
  <c r="Z100" i="21"/>
  <c r="AA100" i="21" s="1"/>
  <c r="Z108" i="21"/>
  <c r="AA108" i="21" s="1"/>
  <c r="Z87" i="21"/>
  <c r="AA87" i="21" s="1"/>
  <c r="W81" i="21"/>
  <c r="X81" i="21" s="1"/>
  <c r="AC62" i="21"/>
  <c r="AG62" i="21" s="1"/>
  <c r="Z24" i="21"/>
  <c r="AA24" i="21" s="1"/>
  <c r="Z14" i="21"/>
  <c r="AA14" i="21" s="1"/>
  <c r="AC14" i="21"/>
  <c r="AG14" i="21" s="1"/>
  <c r="Z49" i="21"/>
  <c r="AA49" i="21" s="1"/>
  <c r="Z47" i="21"/>
  <c r="AA47" i="21" s="1"/>
  <c r="Z75" i="21"/>
  <c r="AA75" i="21" s="1"/>
  <c r="W83" i="21"/>
  <c r="X83" i="21" s="1"/>
  <c r="Z83" i="21"/>
  <c r="AA83" i="21" s="1"/>
  <c r="W93" i="21"/>
  <c r="X93" i="21" s="1"/>
  <c r="Z93" i="21"/>
  <c r="AA93" i="21" s="1"/>
  <c r="W97" i="21"/>
  <c r="X97" i="21" s="1"/>
  <c r="Z97" i="21"/>
  <c r="AA97" i="21" s="1"/>
  <c r="W101" i="21"/>
  <c r="X101" i="21" s="1"/>
  <c r="Z101" i="21"/>
  <c r="AA101" i="21" s="1"/>
  <c r="W105" i="21"/>
  <c r="X105" i="21" s="1"/>
  <c r="Z105" i="21"/>
  <c r="AA105" i="21" s="1"/>
  <c r="W109" i="21"/>
  <c r="X109" i="21" s="1"/>
  <c r="Z109" i="21"/>
  <c r="AA109" i="21" s="1"/>
  <c r="U55" i="21"/>
  <c r="AC63" i="21"/>
  <c r="AG63" i="21" s="1"/>
  <c r="U30" i="21"/>
  <c r="U15" i="21"/>
  <c r="AC15" i="21"/>
  <c r="AG15" i="21" s="1"/>
  <c r="U106" i="21"/>
  <c r="Z66" i="21"/>
  <c r="AA66" i="21" s="1"/>
  <c r="Z62" i="21"/>
  <c r="AA62" i="21" s="1"/>
  <c r="Z53" i="21"/>
  <c r="AA53" i="21" s="1"/>
  <c r="Z44" i="21"/>
  <c r="AA44" i="21" s="1"/>
  <c r="Z76" i="21"/>
  <c r="AA76" i="21" s="1"/>
  <c r="W90" i="21"/>
  <c r="X90" i="21" s="1"/>
  <c r="W82" i="21"/>
  <c r="X82" i="21" s="1"/>
  <c r="W40" i="21"/>
  <c r="X40" i="21" s="1"/>
  <c r="W57" i="21"/>
  <c r="X57" i="21" s="1"/>
  <c r="W43" i="21"/>
  <c r="X43" i="21" s="1"/>
  <c r="W26" i="21"/>
  <c r="X26" i="21" s="1"/>
  <c r="AI26" i="21"/>
  <c r="W79" i="21"/>
  <c r="X79" i="21" s="1"/>
  <c r="W67" i="21"/>
  <c r="X67" i="21" s="1"/>
  <c r="W63" i="21"/>
  <c r="X63" i="21" s="1"/>
  <c r="W58" i="21"/>
  <c r="X58" i="21" s="1"/>
  <c r="W30" i="21"/>
  <c r="X30" i="21" s="1"/>
  <c r="AI30" i="21"/>
  <c r="W52" i="21"/>
  <c r="X52" i="21" s="1"/>
  <c r="W37" i="21"/>
  <c r="X37" i="21" s="1"/>
  <c r="W23" i="21"/>
  <c r="X23" i="21" s="1"/>
  <c r="AI23" i="21"/>
  <c r="W15" i="21"/>
  <c r="X15" i="21" s="1"/>
  <c r="AI15" i="21"/>
  <c r="W11" i="21"/>
  <c r="X11" i="21" s="1"/>
  <c r="AI11" i="21"/>
  <c r="W17" i="21"/>
  <c r="X17" i="21" s="1"/>
  <c r="AI17" i="21"/>
  <c r="W42" i="21"/>
  <c r="X42" i="21" s="1"/>
  <c r="W91" i="21"/>
  <c r="X91" i="21" s="1"/>
  <c r="W95" i="21"/>
  <c r="X95" i="21" s="1"/>
  <c r="W99" i="21"/>
  <c r="X99" i="21" s="1"/>
  <c r="W103" i="21"/>
  <c r="X103" i="21" s="1"/>
  <c r="W107" i="21"/>
  <c r="X107" i="21" s="1"/>
  <c r="W71" i="21"/>
  <c r="X71" i="21" s="1"/>
  <c r="W86" i="21"/>
  <c r="X86" i="21" s="1"/>
  <c r="W55" i="21"/>
  <c r="X55" i="21" s="1"/>
  <c r="W35" i="21"/>
  <c r="X35" i="21" s="1"/>
  <c r="W50" i="21"/>
  <c r="X50" i="21" s="1"/>
  <c r="W34" i="21"/>
  <c r="X34" i="21" s="1"/>
  <c r="AI34" i="21"/>
  <c r="W64" i="21"/>
  <c r="X64" i="21" s="1"/>
  <c r="W60" i="21"/>
  <c r="X60" i="21" s="1"/>
  <c r="W31" i="21"/>
  <c r="X31" i="21" s="1"/>
  <c r="AI31" i="21"/>
  <c r="W56" i="21"/>
  <c r="X56" i="21" s="1"/>
  <c r="W41" i="21"/>
  <c r="X41" i="21" s="1"/>
  <c r="W25" i="21"/>
  <c r="X25" i="21" s="1"/>
  <c r="AI25" i="21"/>
  <c r="W16" i="21"/>
  <c r="X16" i="21" s="1"/>
  <c r="AI16" i="21"/>
  <c r="W12" i="21"/>
  <c r="X12" i="21" s="1"/>
  <c r="AI12" i="21"/>
  <c r="W18" i="21"/>
  <c r="X18" i="21" s="1"/>
  <c r="AI18" i="21"/>
  <c r="W32" i="21"/>
  <c r="X32" i="21" s="1"/>
  <c r="AI32" i="21"/>
  <c r="W51" i="21"/>
  <c r="X51" i="21" s="1"/>
  <c r="W94" i="21"/>
  <c r="X94" i="21" s="1"/>
  <c r="W98" i="21"/>
  <c r="X98" i="21" s="1"/>
  <c r="W102" i="21"/>
  <c r="X102" i="21" s="1"/>
  <c r="W106" i="21"/>
  <c r="X106" i="21" s="1"/>
  <c r="W70" i="21"/>
  <c r="X70" i="21" s="1"/>
  <c r="W88" i="21"/>
  <c r="X88" i="21" s="1"/>
  <c r="W80" i="21"/>
  <c r="X80" i="21" s="1"/>
  <c r="W36" i="21"/>
  <c r="X36" i="21" s="1"/>
  <c r="W54" i="21"/>
  <c r="X54" i="21" s="1"/>
  <c r="W39" i="21"/>
  <c r="X39" i="21" s="1"/>
  <c r="W22" i="21"/>
  <c r="X22" i="21" s="1"/>
  <c r="AI22" i="21"/>
  <c r="W72" i="21"/>
  <c r="X72" i="21" s="1"/>
  <c r="W65" i="21"/>
  <c r="X65" i="21" s="1"/>
  <c r="W61" i="21"/>
  <c r="X61" i="21" s="1"/>
  <c r="W38" i="21"/>
  <c r="X38" i="21" s="1"/>
  <c r="W68" i="21"/>
  <c r="X68" i="21" s="1"/>
  <c r="W45" i="21"/>
  <c r="X45" i="21" s="1"/>
  <c r="W29" i="21"/>
  <c r="X29" i="21" s="1"/>
  <c r="AI29" i="21"/>
  <c r="W19" i="21"/>
  <c r="X19" i="21" s="1"/>
  <c r="AI19" i="21"/>
  <c r="W13" i="21"/>
  <c r="X13" i="21" s="1"/>
  <c r="AI13" i="21"/>
  <c r="W20" i="21"/>
  <c r="X20" i="21" s="1"/>
  <c r="AI20" i="21"/>
  <c r="W59" i="21"/>
  <c r="X59" i="21" s="1"/>
  <c r="W46" i="21"/>
  <c r="X46" i="21" s="1"/>
  <c r="Z91" i="21"/>
  <c r="AA91" i="21" s="1"/>
  <c r="Z99" i="21"/>
  <c r="AA99" i="21" s="1"/>
  <c r="Z107" i="21"/>
  <c r="AA107" i="21" s="1"/>
  <c r="W74" i="21"/>
  <c r="X74" i="21" s="1"/>
  <c r="Z90" i="21"/>
  <c r="AA90" i="21" s="1"/>
  <c r="Z82" i="21"/>
  <c r="AA82" i="21" s="1"/>
  <c r="Z40" i="21"/>
  <c r="AA40" i="21" s="1"/>
  <c r="Z57" i="21"/>
  <c r="AA57" i="21" s="1"/>
  <c r="Z43" i="21"/>
  <c r="AA43" i="21" s="1"/>
  <c r="Z26" i="21"/>
  <c r="AA26" i="21" s="1"/>
  <c r="W66" i="21"/>
  <c r="X66" i="21" s="1"/>
  <c r="W62" i="21"/>
  <c r="X62" i="21" s="1"/>
  <c r="W53" i="21"/>
  <c r="X53" i="21" s="1"/>
  <c r="W24" i="21"/>
  <c r="X24" i="21" s="1"/>
  <c r="AI24" i="21"/>
  <c r="W48" i="21"/>
  <c r="X48" i="21" s="1"/>
  <c r="W33" i="21"/>
  <c r="X33" i="21" s="1"/>
  <c r="AI33" i="21"/>
  <c r="W21" i="21"/>
  <c r="X21" i="21" s="1"/>
  <c r="AI21" i="21"/>
  <c r="W14" i="21"/>
  <c r="X14" i="21" s="1"/>
  <c r="W9" i="21"/>
  <c r="X9" i="21" s="1"/>
  <c r="W10" i="21"/>
  <c r="X10" i="21" s="1"/>
  <c r="AI10" i="21"/>
  <c r="W44" i="21"/>
  <c r="X44" i="21" s="1"/>
  <c r="W92" i="21"/>
  <c r="X92" i="21" s="1"/>
  <c r="W96" i="21"/>
  <c r="X96" i="21" s="1"/>
  <c r="W100" i="21"/>
  <c r="X100" i="21" s="1"/>
  <c r="W104" i="21"/>
  <c r="X104" i="21" s="1"/>
  <c r="W108" i="21"/>
  <c r="X108" i="21" s="1"/>
  <c r="W73" i="21"/>
  <c r="X73" i="21" s="1"/>
  <c r="W84" i="21"/>
  <c r="X84" i="21" s="1"/>
  <c r="W49" i="21"/>
  <c r="X49" i="21" s="1"/>
  <c r="W27" i="21"/>
  <c r="X27" i="21" s="1"/>
  <c r="AI27" i="21"/>
  <c r="W47" i="21"/>
  <c r="X47" i="21" s="1"/>
  <c r="W28" i="21"/>
  <c r="X28" i="21" s="1"/>
  <c r="AI28" i="21"/>
  <c r="W87" i="21"/>
  <c r="X87" i="21" s="1"/>
  <c r="W77" i="21"/>
  <c r="X77" i="21" s="1"/>
  <c r="Z67" i="21"/>
  <c r="AA67" i="21" s="1"/>
  <c r="Z63" i="21"/>
  <c r="AA63" i="21" s="1"/>
  <c r="Z58" i="21"/>
  <c r="AA58" i="21" s="1"/>
  <c r="Z30" i="21"/>
  <c r="AA30" i="21" s="1"/>
  <c r="Z52" i="21"/>
  <c r="AA52" i="21" s="1"/>
  <c r="Z37" i="21"/>
  <c r="AA37" i="21" s="1"/>
  <c r="Z23" i="21"/>
  <c r="AA23" i="21" s="1"/>
  <c r="Z15" i="21"/>
  <c r="AA15" i="21" s="1"/>
  <c r="Z11" i="21"/>
  <c r="AA11" i="21" s="1"/>
  <c r="Z17" i="21"/>
  <c r="AA17" i="21" s="1"/>
  <c r="Z42" i="21"/>
  <c r="AA42" i="21" s="1"/>
  <c r="W78" i="21"/>
  <c r="X78" i="21" s="1"/>
  <c r="Z86" i="21"/>
  <c r="AA86" i="21" s="1"/>
  <c r="Z55" i="21"/>
  <c r="AA55" i="21" s="1"/>
  <c r="Z35" i="21"/>
  <c r="AA35" i="21" s="1"/>
  <c r="Z50" i="21"/>
  <c r="AA50" i="21" s="1"/>
  <c r="Z34" i="21"/>
  <c r="AA34" i="21" s="1"/>
  <c r="Z64" i="21"/>
  <c r="AA64" i="21" s="1"/>
  <c r="Z60" i="21"/>
  <c r="AA60" i="21" s="1"/>
  <c r="Z31" i="21"/>
  <c r="AA31" i="21" s="1"/>
  <c r="Z56" i="21"/>
  <c r="AA56" i="21" s="1"/>
  <c r="Z41" i="21"/>
  <c r="AA41" i="21" s="1"/>
  <c r="Z25" i="21"/>
  <c r="AA25" i="21" s="1"/>
  <c r="Z16" i="21"/>
  <c r="AA16" i="21" s="1"/>
  <c r="Z12" i="21"/>
  <c r="AA12" i="21" s="1"/>
  <c r="Z18" i="21"/>
  <c r="AA18" i="21" s="1"/>
  <c r="Z32" i="21"/>
  <c r="AA32" i="21" s="1"/>
  <c r="Z51" i="21"/>
  <c r="AA51" i="21" s="1"/>
  <c r="Z94" i="21"/>
  <c r="AA94" i="21" s="1"/>
  <c r="Z98" i="21"/>
  <c r="AA98" i="21" s="1"/>
  <c r="Z102" i="21"/>
  <c r="AA102" i="21" s="1"/>
  <c r="Z106" i="21"/>
  <c r="AA106" i="21" s="1"/>
  <c r="Z70" i="21"/>
  <c r="AA70" i="21" s="1"/>
  <c r="W76" i="21"/>
  <c r="X76" i="21" s="1"/>
  <c r="Z79" i="21"/>
  <c r="AA79" i="21" s="1"/>
  <c r="Z88" i="21"/>
  <c r="AA88" i="21" s="1"/>
  <c r="Z80" i="21"/>
  <c r="AA80" i="21" s="1"/>
  <c r="Z36" i="21"/>
  <c r="AA36" i="21" s="1"/>
  <c r="Z54" i="21"/>
  <c r="AA54" i="21" s="1"/>
  <c r="Z39" i="21"/>
  <c r="AA39" i="21" s="1"/>
  <c r="Z22" i="21"/>
  <c r="AA22" i="21" s="1"/>
  <c r="Z77" i="21"/>
  <c r="AA77" i="21" s="1"/>
  <c r="Z72" i="21"/>
  <c r="AA72" i="21" s="1"/>
  <c r="Z65" i="21"/>
  <c r="AA65" i="21" s="1"/>
  <c r="Z61" i="21"/>
  <c r="AA61" i="21" s="1"/>
  <c r="Z38" i="21"/>
  <c r="AA38" i="21" s="1"/>
  <c r="Z68" i="21"/>
  <c r="AA68" i="21" s="1"/>
  <c r="Z45" i="21"/>
  <c r="AA45" i="21" s="1"/>
  <c r="Z29" i="21"/>
  <c r="AA29" i="21" s="1"/>
  <c r="Z19" i="21"/>
  <c r="AA19" i="21" s="1"/>
  <c r="Z13" i="21"/>
  <c r="AA13" i="21" s="1"/>
  <c r="Z20" i="21"/>
  <c r="AA20" i="21" s="1"/>
  <c r="Z59" i="21"/>
  <c r="AA59" i="21" s="1"/>
  <c r="Z46" i="21"/>
  <c r="AA46" i="21" s="1"/>
  <c r="Z95" i="21"/>
  <c r="AA95" i="21" s="1"/>
  <c r="Z103" i="21"/>
  <c r="AA103" i="21" s="1"/>
  <c r="Z71" i="21"/>
  <c r="AA71" i="21" s="1"/>
  <c r="Z74" i="21"/>
  <c r="AA74" i="21" s="1"/>
  <c r="U81" i="21"/>
  <c r="U101" i="21"/>
  <c r="U74" i="21"/>
  <c r="AC57" i="21"/>
  <c r="AG57" i="21" s="1"/>
  <c r="AC45" i="21"/>
  <c r="AG45" i="21" s="1"/>
  <c r="U57" i="21"/>
  <c r="AI85" i="21"/>
  <c r="AI61" i="21"/>
  <c r="AI46" i="21"/>
  <c r="AI91" i="21"/>
  <c r="AI99" i="21"/>
  <c r="AI107" i="21"/>
  <c r="AC40" i="21"/>
  <c r="AG40" i="21" s="1"/>
  <c r="AC89" i="21"/>
  <c r="AG89" i="21" s="1"/>
  <c r="AC102" i="21"/>
  <c r="AG102" i="21" s="1"/>
  <c r="AC97" i="21"/>
  <c r="AG97" i="21" s="1"/>
  <c r="AC59" i="21"/>
  <c r="AG59" i="21" s="1"/>
  <c r="AC101" i="21"/>
  <c r="AG101" i="21" s="1"/>
  <c r="AC75" i="21"/>
  <c r="AG75" i="21" s="1"/>
  <c r="AI64" i="21"/>
  <c r="AI87" i="21"/>
  <c r="AC43" i="21"/>
  <c r="AG43" i="21" s="1"/>
  <c r="AC56" i="21"/>
  <c r="AG56" i="21" s="1"/>
  <c r="AC82" i="21"/>
  <c r="AG82" i="21" s="1"/>
  <c r="AC94" i="21"/>
  <c r="AG94" i="21" s="1"/>
  <c r="AC72" i="21"/>
  <c r="AG72" i="21" s="1"/>
  <c r="AC90" i="21"/>
  <c r="AG90" i="21" s="1"/>
  <c r="AC106" i="21"/>
  <c r="AG106" i="21" s="1"/>
  <c r="AC83" i="21"/>
  <c r="AG83" i="21" s="1"/>
  <c r="AC105" i="21"/>
  <c r="AG105" i="21" s="1"/>
  <c r="AC81" i="21"/>
  <c r="AG81" i="21" s="1"/>
  <c r="AC98" i="21"/>
  <c r="AG98" i="21" s="1"/>
  <c r="AC84" i="21"/>
  <c r="AG84" i="21" s="1"/>
  <c r="AC68" i="21"/>
  <c r="AG68" i="21" s="1"/>
  <c r="AC93" i="21"/>
  <c r="AG93" i="21" s="1"/>
  <c r="AC109" i="21"/>
  <c r="AG109" i="21" s="1"/>
  <c r="AC85" i="21"/>
  <c r="AG85" i="21" s="1"/>
  <c r="AC31" i="21"/>
  <c r="AG31" i="21" s="1"/>
  <c r="AC48" i="21"/>
  <c r="AG48" i="21" s="1"/>
  <c r="AC33" i="21"/>
  <c r="AG33" i="21" s="1"/>
  <c r="AC16" i="21"/>
  <c r="AG16" i="21" s="1"/>
  <c r="AC12" i="21"/>
  <c r="AG12" i="21" s="1"/>
  <c r="AC92" i="21"/>
  <c r="AG92" i="21" s="1"/>
  <c r="AC100" i="21"/>
  <c r="AG100" i="21" s="1"/>
  <c r="AC108" i="21"/>
  <c r="AG108" i="21" s="1"/>
  <c r="AC88" i="21"/>
  <c r="AG88" i="21" s="1"/>
  <c r="AC54" i="21"/>
  <c r="AG54" i="21" s="1"/>
  <c r="AC87" i="21"/>
  <c r="AG87" i="21" s="1"/>
  <c r="AC52" i="21"/>
  <c r="AG52" i="21" s="1"/>
  <c r="AC23" i="21"/>
  <c r="AG23" i="21" s="1"/>
  <c r="AC19" i="21"/>
  <c r="AG19" i="21" s="1"/>
  <c r="AC13" i="21"/>
  <c r="AG13" i="21" s="1"/>
  <c r="AC91" i="21"/>
  <c r="AG91" i="21" s="1"/>
  <c r="AC99" i="21"/>
  <c r="AG99" i="21" s="1"/>
  <c r="AC107" i="21"/>
  <c r="AG107" i="21" s="1"/>
  <c r="AC26" i="21"/>
  <c r="AG26" i="21" s="1"/>
  <c r="AC69" i="21"/>
  <c r="AG69" i="21" s="1"/>
  <c r="AC60" i="21"/>
  <c r="AG60" i="21" s="1"/>
  <c r="AC51" i="21"/>
  <c r="AG51" i="21" s="1"/>
  <c r="AC73" i="21"/>
  <c r="AG73" i="21" s="1"/>
  <c r="AC49" i="21"/>
  <c r="AG49" i="21" s="1"/>
  <c r="AC28" i="21"/>
  <c r="AG28" i="21" s="1"/>
  <c r="AC65" i="21"/>
  <c r="AG65" i="21" s="1"/>
  <c r="AC29" i="21"/>
  <c r="AG29" i="21" s="1"/>
  <c r="AC71" i="21"/>
  <c r="AG71" i="21" s="1"/>
  <c r="AC38" i="21"/>
  <c r="AG38" i="21" s="1"/>
  <c r="AC37" i="21"/>
  <c r="AG37" i="21" s="1"/>
  <c r="B80" i="21"/>
  <c r="AC50" i="21"/>
  <c r="AG50" i="21" s="1"/>
  <c r="AC34" i="21"/>
  <c r="AG34" i="21" s="1"/>
  <c r="AC10" i="21"/>
  <c r="AG10" i="21" s="1"/>
  <c r="AC32" i="21"/>
  <c r="AG32" i="21" s="1"/>
  <c r="AC96" i="21"/>
  <c r="AG96" i="21" s="1"/>
  <c r="AC104" i="21"/>
  <c r="AG104" i="21" s="1"/>
  <c r="AC80" i="21"/>
  <c r="AG80" i="21" s="1"/>
  <c r="AC27" i="21"/>
  <c r="AG27" i="21" s="1"/>
  <c r="AC17" i="21"/>
  <c r="AG17" i="21" s="1"/>
  <c r="AC95" i="21"/>
  <c r="AG95" i="21" s="1"/>
  <c r="AC103" i="21"/>
  <c r="AG103" i="21" s="1"/>
  <c r="AC64" i="21"/>
  <c r="AG64" i="21" s="1"/>
  <c r="AC41" i="21"/>
  <c r="AG41" i="21" s="1"/>
  <c r="AC25" i="21"/>
  <c r="AG25" i="21" s="1"/>
  <c r="AC18" i="21"/>
  <c r="AG18" i="21" s="1"/>
  <c r="AC79" i="21"/>
  <c r="AG79" i="21" s="1"/>
  <c r="AC61" i="21"/>
  <c r="AG61" i="21" s="1"/>
  <c r="AC20" i="21"/>
  <c r="AG20" i="21" s="1"/>
  <c r="AC46" i="21"/>
  <c r="AG46" i="21" s="1"/>
  <c r="AC78" i="21"/>
  <c r="AG78" i="21" s="1"/>
  <c r="AC35" i="21"/>
  <c r="AG35" i="21" s="1"/>
  <c r="AC39" i="21"/>
  <c r="AG39" i="21" s="1"/>
  <c r="AC42" i="21"/>
  <c r="AG42" i="21" s="1"/>
  <c r="G594" i="17"/>
  <c r="B149" i="2"/>
  <c r="B150" i="2" s="1"/>
  <c r="B144" i="2"/>
  <c r="B145" i="2" s="1"/>
  <c r="H44" i="17"/>
  <c r="H107" i="17"/>
  <c r="H571" i="17"/>
  <c r="H93" i="17"/>
  <c r="H407" i="17"/>
  <c r="H247" i="17"/>
  <c r="H305" i="17"/>
  <c r="G484" i="17"/>
  <c r="G582" i="17"/>
  <c r="G59" i="17"/>
  <c r="H362" i="17"/>
  <c r="G367" i="17"/>
  <c r="G49" i="17"/>
  <c r="H561" i="17"/>
  <c r="H350" i="17"/>
  <c r="H292" i="17"/>
  <c r="G491" i="17"/>
  <c r="G34" i="17"/>
  <c r="H152" i="17"/>
  <c r="H54" i="17"/>
  <c r="H315" i="17"/>
  <c r="H105" i="17"/>
  <c r="G490" i="17"/>
  <c r="H448" i="17"/>
  <c r="G533" i="17"/>
  <c r="H172" i="17"/>
  <c r="G177" i="17"/>
  <c r="H433" i="17"/>
  <c r="G352" i="17"/>
  <c r="G94" i="17"/>
  <c r="G269" i="17"/>
  <c r="H35" i="17"/>
  <c r="G455" i="17"/>
  <c r="H364" i="17"/>
  <c r="G176" i="17"/>
  <c r="H546" i="17"/>
  <c r="G326" i="17"/>
  <c r="H194" i="17"/>
  <c r="H284" i="17"/>
  <c r="G427" i="17"/>
  <c r="H182" i="17"/>
  <c r="G187" i="17"/>
  <c r="H443" i="17"/>
  <c r="G362" i="17"/>
  <c r="G106" i="17"/>
  <c r="G281" i="17"/>
  <c r="H597" i="17"/>
  <c r="G248" i="17"/>
  <c r="H576" i="17"/>
  <c r="G469" i="17"/>
  <c r="G597" i="17"/>
  <c r="H108" i="17"/>
  <c r="H236" i="17"/>
  <c r="G113" i="17"/>
  <c r="G241" i="17"/>
  <c r="H369" i="17"/>
  <c r="H497" i="17"/>
  <c r="G288" i="17"/>
  <c r="G416" i="17"/>
  <c r="H221" i="17"/>
  <c r="G222" i="17"/>
  <c r="H478" i="17"/>
  <c r="G397" i="17"/>
  <c r="G548" i="17"/>
  <c r="G36" i="17"/>
  <c r="H548" i="17"/>
  <c r="G583" i="17"/>
  <c r="G108" i="17"/>
  <c r="G283" i="17"/>
  <c r="H600" i="17"/>
  <c r="H175" i="17"/>
  <c r="G454" i="17"/>
  <c r="H290" i="17"/>
  <c r="H33" i="17"/>
  <c r="H535" i="17"/>
  <c r="G199" i="17"/>
  <c r="H25" i="17"/>
  <c r="G54" i="17"/>
  <c r="G21" i="17"/>
  <c r="H57" i="17"/>
  <c r="H118" i="17"/>
  <c r="H246" i="17"/>
  <c r="G123" i="17"/>
  <c r="G251" i="17"/>
  <c r="H379" i="17"/>
  <c r="H507" i="17"/>
  <c r="G298" i="17"/>
  <c r="G426" i="17"/>
  <c r="H233" i="17"/>
  <c r="G234" i="17"/>
  <c r="H490" i="17"/>
  <c r="G409" i="17"/>
  <c r="G554" i="17"/>
  <c r="H119" i="17"/>
  <c r="G120" i="17"/>
  <c r="H376" i="17"/>
  <c r="H512" i="17"/>
  <c r="G303" i="17"/>
  <c r="G431" i="17"/>
  <c r="G501" i="17"/>
  <c r="G565" i="17"/>
  <c r="H626" i="17"/>
  <c r="H76" i="17"/>
  <c r="H140" i="17"/>
  <c r="H204" i="17"/>
  <c r="G17" i="17"/>
  <c r="G81" i="17"/>
  <c r="G145" i="17"/>
  <c r="G209" i="17"/>
  <c r="H273" i="17"/>
  <c r="H337" i="17"/>
  <c r="H401" i="17"/>
  <c r="H465" i="17"/>
  <c r="H529" i="17"/>
  <c r="H596" i="17"/>
  <c r="G320" i="17"/>
  <c r="G384" i="17"/>
  <c r="H29" i="17"/>
  <c r="H157" i="17"/>
  <c r="G30" i="17"/>
  <c r="G158" i="17"/>
  <c r="H286" i="17"/>
  <c r="H414" i="17"/>
  <c r="H542" i="17"/>
  <c r="G333" i="17"/>
  <c r="G452" i="17"/>
  <c r="G516" i="17"/>
  <c r="G580" i="17"/>
  <c r="H163" i="17"/>
  <c r="G164" i="17"/>
  <c r="H420" i="17"/>
  <c r="G339" i="17"/>
  <c r="G519" i="17"/>
  <c r="G604" i="17"/>
  <c r="H235" i="17"/>
  <c r="G236" i="17"/>
  <c r="H492" i="17"/>
  <c r="G411" i="17"/>
  <c r="G555" i="17"/>
  <c r="H304" i="17"/>
  <c r="G48" i="17"/>
  <c r="H47" i="17"/>
  <c r="G518" i="17"/>
  <c r="G337" i="17"/>
  <c r="H418" i="17"/>
  <c r="G162" i="17"/>
  <c r="H161" i="17"/>
  <c r="G390" i="17"/>
  <c r="H608" i="17"/>
  <c r="H471" i="17"/>
  <c r="H327" i="17"/>
  <c r="G71" i="17"/>
  <c r="H158" i="17"/>
  <c r="H408" i="17"/>
  <c r="H413" i="17"/>
  <c r="G600" i="17"/>
  <c r="G250" i="17"/>
  <c r="H294" i="17"/>
  <c r="H325" i="17"/>
  <c r="G101" i="17"/>
  <c r="E24" i="1"/>
  <c r="H419" i="17"/>
  <c r="G595" i="17"/>
  <c r="H316" i="17"/>
  <c r="H160" i="17"/>
  <c r="H187" i="17"/>
  <c r="H133" i="17"/>
  <c r="H64" i="17"/>
  <c r="G274" i="17"/>
  <c r="G612" i="17"/>
  <c r="G456" i="17"/>
  <c r="H37" i="17"/>
  <c r="H277" i="17"/>
  <c r="H16" i="17"/>
  <c r="H135" i="17"/>
  <c r="H515" i="17"/>
  <c r="G451" i="17"/>
  <c r="H27" i="17"/>
  <c r="G212" i="17"/>
  <c r="G464" i="17"/>
  <c r="H310" i="17"/>
  <c r="H53" i="17"/>
  <c r="H541" i="17"/>
  <c r="H285" i="17"/>
  <c r="G29" i="17"/>
  <c r="H24" i="17"/>
  <c r="G327" i="17"/>
  <c r="H167" i="17"/>
  <c r="H282" i="17"/>
  <c r="H531" i="17"/>
  <c r="H238" i="17"/>
  <c r="H42" i="17"/>
  <c r="H162" i="17"/>
  <c r="H226" i="17"/>
  <c r="G39" i="17"/>
  <c r="G103" i="17"/>
  <c r="G167" i="17"/>
  <c r="G231" i="17"/>
  <c r="H295" i="17"/>
  <c r="H359" i="17"/>
  <c r="H391" i="17"/>
  <c r="H423" i="17"/>
  <c r="H455" i="17"/>
  <c r="H487" i="17"/>
  <c r="H519" i="17"/>
  <c r="H551" i="17"/>
  <c r="H583" i="17"/>
  <c r="G278" i="17"/>
  <c r="G310" i="17"/>
  <c r="G342" i="17"/>
  <c r="G374" i="17"/>
  <c r="G406" i="17"/>
  <c r="G438" i="17"/>
  <c r="H65" i="17"/>
  <c r="H129" i="17"/>
  <c r="H193" i="17"/>
  <c r="H257" i="17"/>
  <c r="G66" i="17"/>
  <c r="G130" i="17"/>
  <c r="G194" i="17"/>
  <c r="G258" i="17"/>
  <c r="H322" i="17"/>
  <c r="H386" i="17"/>
  <c r="H450" i="17"/>
  <c r="H514" i="17"/>
  <c r="H578" i="17"/>
  <c r="G305" i="17"/>
  <c r="G369" i="17"/>
  <c r="G433" i="17"/>
  <c r="G470" i="17"/>
  <c r="G502" i="17"/>
  <c r="G534" i="17"/>
  <c r="G566" i="17"/>
  <c r="G598" i="17"/>
  <c r="H15" i="17"/>
  <c r="H79" i="17"/>
  <c r="H143" i="17"/>
  <c r="H207" i="17"/>
  <c r="G16" i="17"/>
  <c r="G80" i="17"/>
  <c r="G144" i="17"/>
  <c r="G208" i="17"/>
  <c r="H272" i="17"/>
  <c r="H336" i="17"/>
  <c r="H22" i="17"/>
  <c r="H86" i="17"/>
  <c r="H150" i="17"/>
  <c r="H214" i="17"/>
  <c r="G27" i="17"/>
  <c r="G91" i="17"/>
  <c r="G155" i="17"/>
  <c r="G219" i="17"/>
  <c r="H283" i="17"/>
  <c r="H347" i="17"/>
  <c r="H411" i="17"/>
  <c r="H475" i="17"/>
  <c r="H539" i="17"/>
  <c r="G266" i="17"/>
  <c r="G330" i="17"/>
  <c r="G394" i="17"/>
  <c r="H41" i="17"/>
  <c r="H169" i="17"/>
  <c r="G42" i="17"/>
  <c r="G170" i="17"/>
  <c r="H298" i="17"/>
  <c r="H426" i="17"/>
  <c r="H554" i="17"/>
  <c r="G345" i="17"/>
  <c r="G458" i="17"/>
  <c r="G522" i="17"/>
  <c r="G586" i="17"/>
  <c r="H55" i="17"/>
  <c r="H183" i="17"/>
  <c r="G56" i="17"/>
  <c r="G184" i="17"/>
  <c r="H312" i="17"/>
  <c r="H416" i="17"/>
  <c r="H480" i="17"/>
  <c r="H544" i="17"/>
  <c r="G271" i="17"/>
  <c r="G335" i="17"/>
  <c r="G399" i="17"/>
  <c r="G453" i="17"/>
  <c r="G485" i="17"/>
  <c r="G517" i="17"/>
  <c r="G549" i="17"/>
  <c r="G581" i="17"/>
  <c r="G613" i="17"/>
  <c r="H28" i="17"/>
  <c r="H60" i="17"/>
  <c r="H92" i="17"/>
  <c r="H124" i="17"/>
  <c r="H156" i="17"/>
  <c r="H188" i="17"/>
  <c r="H220" i="17"/>
  <c r="H252" i="17"/>
  <c r="G33" i="17"/>
  <c r="G65" i="17"/>
  <c r="G97" i="17"/>
  <c r="G129" i="17"/>
  <c r="G161" i="17"/>
  <c r="G193" i="17"/>
  <c r="G225" i="17"/>
  <c r="G257" i="17"/>
  <c r="H289" i="17"/>
  <c r="H321" i="17"/>
  <c r="H353" i="17"/>
  <c r="H385" i="17"/>
  <c r="H417" i="17"/>
  <c r="H449" i="17"/>
  <c r="H481" i="17"/>
  <c r="H513" i="17"/>
  <c r="H545" i="17"/>
  <c r="H577" i="17"/>
  <c r="G272" i="17"/>
  <c r="G304" i="17"/>
  <c r="G336" i="17"/>
  <c r="G368" i="17"/>
  <c r="G400" i="17"/>
  <c r="G432" i="17"/>
  <c r="H61" i="17"/>
  <c r="H125" i="17"/>
  <c r="H189" i="17"/>
  <c r="H253" i="17"/>
  <c r="G62" i="17"/>
  <c r="G126" i="17"/>
  <c r="G190" i="17"/>
  <c r="G254" i="17"/>
  <c r="H318" i="17"/>
  <c r="H382" i="17"/>
  <c r="H446" i="17"/>
  <c r="H510" i="17"/>
  <c r="H574" i="17"/>
  <c r="G301" i="17"/>
  <c r="G365" i="17"/>
  <c r="G429" i="17"/>
  <c r="G468" i="17"/>
  <c r="G500" i="17"/>
  <c r="G532" i="17"/>
  <c r="G564" i="17"/>
  <c r="G608" i="17"/>
  <c r="H99" i="17"/>
  <c r="H227" i="17"/>
  <c r="G100" i="17"/>
  <c r="G228" i="17"/>
  <c r="H356" i="17"/>
  <c r="H484" i="17"/>
  <c r="G275" i="17"/>
  <c r="G403" i="17"/>
  <c r="G487" i="17"/>
  <c r="G551" i="17"/>
  <c r="H591" i="17"/>
  <c r="H43" i="17"/>
  <c r="H171" i="17"/>
  <c r="G44" i="17"/>
  <c r="G172" i="17"/>
  <c r="H300" i="17"/>
  <c r="H428" i="17"/>
  <c r="H556" i="17"/>
  <c r="G347" i="17"/>
  <c r="G459" i="17"/>
  <c r="G523" i="17"/>
  <c r="G587" i="17"/>
  <c r="H368" i="17"/>
  <c r="G240" i="17"/>
  <c r="G112" i="17"/>
  <c r="H239" i="17"/>
  <c r="H111" i="17"/>
  <c r="H13" i="17"/>
  <c r="G550" i="17"/>
  <c r="G486" i="17"/>
  <c r="G401" i="17"/>
  <c r="G273" i="17"/>
  <c r="H482" i="17"/>
  <c r="H354" i="17"/>
  <c r="G226" i="17"/>
  <c r="G98" i="17"/>
  <c r="H225" i="17"/>
  <c r="H97" i="17"/>
  <c r="G422" i="17"/>
  <c r="G358" i="17"/>
  <c r="G294" i="17"/>
  <c r="H567" i="17"/>
  <c r="H503" i="17"/>
  <c r="H439" i="17"/>
  <c r="H375" i="17"/>
  <c r="G263" i="17"/>
  <c r="G135" i="17"/>
  <c r="H258" i="17"/>
  <c r="H106" i="17"/>
  <c r="H275" i="17"/>
  <c r="G450" i="17"/>
  <c r="G513" i="17"/>
  <c r="G157" i="17"/>
  <c r="G332" i="17"/>
  <c r="H566" i="17"/>
  <c r="G387" i="17"/>
  <c r="H206" i="17"/>
  <c r="G311" i="17"/>
  <c r="H533" i="17"/>
  <c r="G180" i="17"/>
  <c r="G72" i="17"/>
  <c r="G504" i="17"/>
  <c r="G70" i="17"/>
  <c r="G559" i="17"/>
  <c r="H485" i="17"/>
  <c r="H454" i="17"/>
  <c r="H570" i="17"/>
  <c r="H593" i="17"/>
  <c r="H421" i="17"/>
  <c r="H424" i="17"/>
  <c r="G531" i="17"/>
  <c r="H372" i="17"/>
  <c r="H390" i="17"/>
  <c r="H581" i="17"/>
  <c r="G69" i="17"/>
  <c r="G407" i="17"/>
  <c r="H442" i="17"/>
  <c r="G99" i="17"/>
  <c r="G252" i="17"/>
  <c r="G355" i="17"/>
  <c r="G584" i="17"/>
  <c r="H550" i="17"/>
  <c r="G38" i="17"/>
  <c r="G324" i="17"/>
  <c r="H405" i="17"/>
  <c r="G149" i="17"/>
  <c r="H144" i="17"/>
  <c r="G505" i="17"/>
  <c r="H392" i="17"/>
  <c r="G425" i="17"/>
  <c r="G434" i="17"/>
  <c r="G259" i="17"/>
  <c r="G579" i="17"/>
  <c r="H540" i="17"/>
  <c r="G28" i="17"/>
  <c r="G543" i="17"/>
  <c r="H468" i="17"/>
  <c r="H211" i="17"/>
  <c r="G528" i="17"/>
  <c r="G357" i="17"/>
  <c r="H438" i="17"/>
  <c r="G182" i="17"/>
  <c r="H181" i="17"/>
  <c r="G396" i="17"/>
  <c r="G268" i="17"/>
  <c r="H477" i="17"/>
  <c r="H349" i="17"/>
  <c r="G221" i="17"/>
  <c r="G93" i="17"/>
  <c r="H216" i="17"/>
  <c r="H88" i="17"/>
  <c r="G577" i="17"/>
  <c r="G449" i="17"/>
  <c r="H536" i="17"/>
  <c r="G168" i="17"/>
  <c r="G578" i="17"/>
  <c r="H538" i="17"/>
  <c r="G26" i="17"/>
  <c r="G322" i="17"/>
  <c r="H403" i="17"/>
  <c r="G147" i="17"/>
  <c r="G35" i="17"/>
  <c r="H623" i="17"/>
  <c r="H74" i="17"/>
  <c r="H138" i="17"/>
  <c r="H178" i="17"/>
  <c r="H210" i="17"/>
  <c r="H242" i="17"/>
  <c r="G23" i="17"/>
  <c r="G55" i="17"/>
  <c r="G87" i="17"/>
  <c r="G119" i="17"/>
  <c r="G151" i="17"/>
  <c r="G183" i="17"/>
  <c r="G215" i="17"/>
  <c r="G247" i="17"/>
  <c r="H279" i="17"/>
  <c r="H311" i="17"/>
  <c r="H343" i="17"/>
  <c r="H30" i="17"/>
  <c r="G404" i="17"/>
  <c r="G585" i="17"/>
  <c r="G229" i="17"/>
  <c r="H572" i="17"/>
  <c r="G198" i="17"/>
  <c r="H224" i="17"/>
  <c r="G58" i="17"/>
  <c r="G60" i="17"/>
  <c r="G536" i="17"/>
  <c r="H197" i="17"/>
  <c r="H357" i="17"/>
  <c r="H96" i="17"/>
  <c r="G200" i="17"/>
  <c r="G338" i="17"/>
  <c r="G467" i="17"/>
  <c r="H59" i="17"/>
  <c r="G244" i="17"/>
  <c r="G472" i="17"/>
  <c r="H326" i="17"/>
  <c r="H69" i="17"/>
  <c r="H549" i="17"/>
  <c r="H293" i="17"/>
  <c r="G37" i="17"/>
  <c r="H32" i="17"/>
  <c r="G343" i="17"/>
  <c r="H199" i="17"/>
  <c r="H314" i="17"/>
  <c r="H547" i="17"/>
  <c r="G19" i="17"/>
  <c r="G363" i="17"/>
  <c r="G188" i="17"/>
  <c r="H607" i="17"/>
  <c r="G291" i="17"/>
  <c r="G116" i="17"/>
  <c r="G568" i="17"/>
  <c r="G437" i="17"/>
  <c r="H518" i="17"/>
  <c r="G262" i="17"/>
  <c r="H261" i="17"/>
  <c r="G436" i="17"/>
  <c r="G308" i="17"/>
  <c r="H517" i="17"/>
  <c r="H389" i="17"/>
  <c r="G261" i="17"/>
  <c r="G133" i="17"/>
  <c r="H256" i="17"/>
  <c r="H128" i="17"/>
  <c r="H595" i="17"/>
  <c r="G489" i="17"/>
  <c r="G279" i="17"/>
  <c r="H328" i="17"/>
  <c r="H71" i="17"/>
  <c r="G361" i="17"/>
  <c r="G186" i="17"/>
  <c r="G402" i="17"/>
  <c r="H483" i="17"/>
  <c r="G227" i="17"/>
  <c r="H142" i="17"/>
  <c r="G499" i="17"/>
  <c r="G299" i="17"/>
  <c r="H380" i="17"/>
  <c r="G124" i="17"/>
  <c r="H123" i="17"/>
  <c r="G591" i="17"/>
  <c r="G463" i="17"/>
  <c r="H564" i="17"/>
  <c r="H308" i="17"/>
  <c r="G52" i="17"/>
  <c r="H51" i="17"/>
  <c r="G552" i="17"/>
  <c r="G488" i="17"/>
  <c r="G405" i="17"/>
  <c r="G277" i="17"/>
  <c r="H486" i="17"/>
  <c r="H358" i="17"/>
  <c r="G230" i="17"/>
  <c r="G102" i="17"/>
  <c r="H229" i="17"/>
  <c r="H101" i="17"/>
  <c r="G420" i="17"/>
  <c r="G356" i="17"/>
  <c r="G292" i="17"/>
  <c r="H565" i="17"/>
  <c r="H501" i="17"/>
  <c r="H437" i="17"/>
  <c r="H373" i="17"/>
  <c r="H309" i="17"/>
  <c r="G245" i="17"/>
  <c r="G181" i="17"/>
  <c r="G117" i="17"/>
  <c r="G53" i="17"/>
  <c r="H240" i="17"/>
  <c r="H176" i="17"/>
  <c r="H112" i="17"/>
  <c r="H48" i="17"/>
  <c r="G601" i="17"/>
  <c r="G537" i="17"/>
  <c r="G473" i="17"/>
  <c r="G375" i="17"/>
  <c r="H584" i="17"/>
  <c r="H456" i="17"/>
  <c r="G264" i="17"/>
  <c r="H263" i="17"/>
  <c r="H613" i="17"/>
  <c r="G498" i="17"/>
  <c r="G297" i="17"/>
  <c r="H378" i="17"/>
  <c r="G122" i="17"/>
  <c r="H121" i="17"/>
  <c r="G370" i="17"/>
  <c r="H579" i="17"/>
  <c r="H451" i="17"/>
  <c r="H323" i="17"/>
  <c r="G195" i="17"/>
  <c r="G67" i="17"/>
  <c r="H78" i="17"/>
  <c r="G611" i="17"/>
  <c r="G547" i="17"/>
  <c r="G483" i="17"/>
  <c r="G395" i="17"/>
  <c r="G267" i="17"/>
  <c r="H476" i="17"/>
  <c r="H348" i="17"/>
  <c r="G220" i="17"/>
  <c r="G92" i="17"/>
  <c r="H219" i="17"/>
  <c r="H91" i="17"/>
  <c r="G596" i="17"/>
  <c r="G575" i="17"/>
  <c r="G511" i="17"/>
  <c r="G447" i="17"/>
  <c r="G323" i="17"/>
  <c r="H532" i="17"/>
  <c r="H404" i="17"/>
  <c r="H276" i="17"/>
  <c r="G148" i="17"/>
  <c r="G20" i="17"/>
  <c r="H147" i="17"/>
  <c r="H19" i="17"/>
  <c r="G576" i="17"/>
  <c r="G544" i="17"/>
  <c r="G512" i="17"/>
  <c r="G480" i="17"/>
  <c r="G448" i="17"/>
  <c r="G389" i="17"/>
  <c r="G325" i="17"/>
  <c r="H606" i="17"/>
  <c r="H534" i="17"/>
  <c r="H470" i="17"/>
  <c r="H406" i="17"/>
  <c r="H342" i="17"/>
  <c r="H278" i="17"/>
  <c r="G214" i="17"/>
  <c r="G150" i="17"/>
  <c r="G86" i="17"/>
  <c r="G22" i="17"/>
  <c r="H213" i="17"/>
  <c r="H149" i="17"/>
  <c r="H85" i="17"/>
  <c r="H21" i="17"/>
  <c r="G412" i="17"/>
  <c r="G380" i="17"/>
  <c r="G348" i="17"/>
  <c r="G316" i="17"/>
  <c r="G284" i="17"/>
  <c r="H589" i="17"/>
  <c r="H557" i="17"/>
  <c r="H525" i="17"/>
  <c r="H493" i="17"/>
  <c r="H461" i="17"/>
  <c r="H429" i="17"/>
  <c r="H397" i="17"/>
  <c r="H365" i="17"/>
  <c r="H333" i="17"/>
  <c r="H301" i="17"/>
  <c r="H269" i="17"/>
  <c r="G237" i="17"/>
  <c r="G205" i="17"/>
  <c r="G173" i="17"/>
  <c r="G141" i="17"/>
  <c r="G109" i="17"/>
  <c r="G77" i="17"/>
  <c r="G45" i="17"/>
  <c r="H264" i="17"/>
  <c r="H232" i="17"/>
  <c r="H200" i="17"/>
  <c r="H168" i="17"/>
  <c r="H136" i="17"/>
  <c r="H104" i="17"/>
  <c r="H72" i="17"/>
  <c r="H40" i="17"/>
  <c r="H611" i="17"/>
  <c r="G593" i="17"/>
  <c r="G561" i="17"/>
  <c r="G529" i="17"/>
  <c r="G497" i="17"/>
  <c r="G465" i="17"/>
  <c r="G423" i="17"/>
  <c r="G359" i="17"/>
  <c r="G295" i="17"/>
  <c r="H568" i="17"/>
  <c r="H504" i="17"/>
  <c r="H440" i="17"/>
  <c r="H360" i="17"/>
  <c r="G232" i="17"/>
  <c r="G104" i="17"/>
  <c r="H231" i="17"/>
  <c r="H103" i="17"/>
  <c r="G610" i="17"/>
  <c r="G546" i="17"/>
  <c r="G482" i="17"/>
  <c r="G393" i="17"/>
  <c r="G13" i="17"/>
  <c r="H474" i="17"/>
  <c r="H346" i="17"/>
  <c r="G218" i="17"/>
  <c r="G90" i="17"/>
  <c r="H217" i="17"/>
  <c r="H89" i="17"/>
  <c r="G418" i="17"/>
  <c r="G354" i="17"/>
  <c r="G290" i="17"/>
  <c r="H563" i="17"/>
  <c r="H499" i="17"/>
  <c r="H435" i="17"/>
  <c r="H371" i="17"/>
  <c r="H307" i="17"/>
  <c r="G243" i="17"/>
  <c r="G179" i="17"/>
  <c r="G115" i="17"/>
  <c r="G51" i="17"/>
  <c r="H174" i="17"/>
  <c r="H46" i="17"/>
  <c r="H254" i="17"/>
  <c r="H190" i="17"/>
  <c r="H126" i="17"/>
  <c r="H62" i="17"/>
  <c r="H18" i="17"/>
  <c r="H34" i="17"/>
  <c r="H50" i="17"/>
  <c r="H66" i="17"/>
  <c r="H82" i="17"/>
  <c r="H98" i="17"/>
  <c r="H114" i="17"/>
  <c r="H130" i="17"/>
  <c r="H146" i="17"/>
  <c r="G623" i="17"/>
  <c r="H38" i="17"/>
  <c r="H70" i="17"/>
  <c r="H102" i="17"/>
  <c r="H134" i="17"/>
  <c r="H166" i="17"/>
  <c r="H198" i="17"/>
  <c r="H230" i="17"/>
  <c r="H262" i="17"/>
  <c r="G43" i="17"/>
  <c r="G75" i="17"/>
  <c r="G107" i="17"/>
  <c r="G139" i="17"/>
  <c r="G171" i="17"/>
  <c r="G203" i="17"/>
  <c r="G235" i="17"/>
  <c r="H267" i="17"/>
  <c r="H299" i="17"/>
  <c r="H331" i="17"/>
  <c r="H363" i="17"/>
  <c r="H395" i="17"/>
  <c r="H427" i="17"/>
  <c r="H459" i="17"/>
  <c r="H491" i="17"/>
  <c r="H523" i="17"/>
  <c r="H555" i="17"/>
  <c r="H587" i="17"/>
  <c r="G282" i="17"/>
  <c r="G314" i="17"/>
  <c r="G346" i="17"/>
  <c r="G378" i="17"/>
  <c r="G410" i="17"/>
  <c r="G442" i="17"/>
  <c r="H73" i="17"/>
  <c r="H137" i="17"/>
  <c r="H201" i="17"/>
  <c r="H265" i="17"/>
  <c r="G74" i="17"/>
  <c r="G138" i="17"/>
  <c r="G202" i="17"/>
  <c r="H266" i="17"/>
  <c r="H330" i="17"/>
  <c r="H394" i="17"/>
  <c r="H458" i="17"/>
  <c r="H522" i="17"/>
  <c r="H586" i="17"/>
  <c r="G313" i="17"/>
  <c r="G377" i="17"/>
  <c r="G441" i="17"/>
  <c r="G474" i="17"/>
  <c r="G506" i="17"/>
  <c r="G538" i="17"/>
  <c r="G570" i="17"/>
  <c r="G602" i="17"/>
  <c r="H23" i="17"/>
  <c r="H87" i="17"/>
  <c r="H151" i="17"/>
  <c r="H215" i="17"/>
  <c r="G24" i="17"/>
  <c r="G88" i="17"/>
  <c r="G152" i="17"/>
  <c r="G216" i="17"/>
  <c r="H280" i="17"/>
  <c r="H344" i="17"/>
  <c r="H400" i="17"/>
  <c r="H432" i="17"/>
  <c r="H464" i="17"/>
  <c r="H496" i="17"/>
  <c r="H528" i="17"/>
  <c r="H560" i="17"/>
  <c r="H594" i="17"/>
  <c r="G287" i="17"/>
  <c r="G319" i="17"/>
  <c r="G351" i="17"/>
  <c r="G383" i="17"/>
  <c r="G415" i="17"/>
  <c r="G445" i="17"/>
  <c r="G461" i="17"/>
  <c r="G477" i="17"/>
  <c r="G493" i="17"/>
  <c r="G509" i="17"/>
  <c r="G525" i="17"/>
  <c r="G541" i="17"/>
  <c r="G557" i="17"/>
  <c r="G573" i="17"/>
  <c r="G589" i="17"/>
  <c r="G605" i="17"/>
  <c r="H603" i="17"/>
  <c r="H20" i="17"/>
  <c r="H36" i="17"/>
  <c r="H52" i="17"/>
  <c r="H68" i="17"/>
  <c r="H84" i="17"/>
  <c r="H100" i="17"/>
  <c r="H116" i="17"/>
  <c r="H132" i="17"/>
  <c r="H148" i="17"/>
  <c r="H164" i="17"/>
  <c r="H180" i="17"/>
  <c r="H196" i="17"/>
  <c r="H212" i="17"/>
  <c r="H228" i="17"/>
  <c r="H244" i="17"/>
  <c r="H260" i="17"/>
  <c r="G25" i="17"/>
  <c r="G41" i="17"/>
  <c r="G57" i="17"/>
  <c r="G73" i="17"/>
  <c r="G89" i="17"/>
  <c r="G105" i="17"/>
  <c r="G121" i="17"/>
  <c r="G137" i="17"/>
  <c r="G153" i="17"/>
  <c r="G169" i="17"/>
  <c r="G185" i="17"/>
  <c r="G201" i="17"/>
  <c r="G217" i="17"/>
  <c r="G233" i="17"/>
  <c r="G249" i="17"/>
  <c r="G265" i="17"/>
  <c r="H281" i="17"/>
  <c r="H297" i="17"/>
  <c r="H313" i="17"/>
  <c r="H329" i="17"/>
  <c r="H345" i="17"/>
  <c r="H361" i="17"/>
  <c r="H377" i="17"/>
  <c r="H393" i="17"/>
  <c r="H409" i="17"/>
  <c r="H425" i="17"/>
  <c r="H441" i="17"/>
  <c r="H457" i="17"/>
  <c r="H473" i="17"/>
  <c r="H489" i="17"/>
  <c r="H505" i="17"/>
  <c r="H521" i="17"/>
  <c r="H537" i="17"/>
  <c r="H553" i="17"/>
  <c r="H569" i="17"/>
  <c r="H585" i="17"/>
  <c r="H612" i="17"/>
  <c r="G280" i="17"/>
  <c r="G296" i="17"/>
  <c r="G312" i="17"/>
  <c r="G328" i="17"/>
  <c r="G344" i="17"/>
  <c r="G360" i="17"/>
  <c r="G376" i="17"/>
  <c r="G392" i="17"/>
  <c r="G408" i="17"/>
  <c r="G424" i="17"/>
  <c r="G440" i="17"/>
  <c r="H45" i="17"/>
  <c r="H77" i="17"/>
  <c r="H109" i="17"/>
  <c r="H141" i="17"/>
  <c r="H173" i="17"/>
  <c r="H205" i="17"/>
  <c r="H237" i="17"/>
  <c r="G14" i="17"/>
  <c r="G46" i="17"/>
  <c r="G78" i="17"/>
  <c r="G110" i="17"/>
  <c r="G142" i="17"/>
  <c r="G174" i="17"/>
  <c r="G206" i="17"/>
  <c r="G238" i="17"/>
  <c r="H270" i="17"/>
  <c r="H302" i="17"/>
  <c r="H334" i="17"/>
  <c r="H366" i="17"/>
  <c r="H398" i="17"/>
  <c r="H430" i="17"/>
  <c r="H462" i="17"/>
  <c r="H494" i="17"/>
  <c r="H526" i="17"/>
  <c r="H558" i="17"/>
  <c r="H590" i="17"/>
  <c r="G285" i="17"/>
  <c r="G317" i="17"/>
  <c r="G349" i="17"/>
  <c r="G381" i="17"/>
  <c r="G413" i="17"/>
  <c r="G444" i="17"/>
  <c r="G460" i="17"/>
  <c r="G476" i="17"/>
  <c r="G492" i="17"/>
  <c r="G508" i="17"/>
  <c r="G524" i="17"/>
  <c r="G540" i="17"/>
  <c r="G556" i="17"/>
  <c r="G572" i="17"/>
  <c r="G592" i="17"/>
  <c r="H609" i="17"/>
  <c r="H67" i="17"/>
  <c r="H131" i="17"/>
  <c r="H195" i="17"/>
  <c r="H259" i="17"/>
  <c r="G68" i="17"/>
  <c r="G132" i="17"/>
  <c r="G196" i="17"/>
  <c r="G260" i="17"/>
  <c r="H324" i="17"/>
  <c r="H388" i="17"/>
  <c r="H452" i="17"/>
  <c r="H516" i="17"/>
  <c r="H580" i="17"/>
  <c r="G307" i="17"/>
  <c r="G371" i="17"/>
  <c r="G435" i="17"/>
  <c r="G471" i="17"/>
  <c r="G503" i="17"/>
  <c r="G535" i="17"/>
  <c r="G567" i="17"/>
  <c r="G599" i="17"/>
  <c r="G588" i="17"/>
  <c r="H602" i="17"/>
  <c r="H75" i="17"/>
  <c r="H139" i="17"/>
  <c r="H203" i="17"/>
  <c r="G626" i="17"/>
  <c r="G76" i="17"/>
  <c r="G140" i="17"/>
  <c r="G204" i="17"/>
  <c r="H268" i="17"/>
  <c r="H332" i="17"/>
  <c r="H396" i="17"/>
  <c r="H460" i="17"/>
  <c r="H524" i="17"/>
  <c r="H588" i="17"/>
  <c r="G315" i="17"/>
  <c r="G379" i="17"/>
  <c r="G443" i="17"/>
  <c r="G475" i="17"/>
  <c r="G507" i="17"/>
  <c r="G539" i="17"/>
  <c r="G571" i="17"/>
  <c r="G603" i="17"/>
  <c r="H384" i="17"/>
  <c r="H352" i="17"/>
  <c r="H320" i="17"/>
  <c r="H288" i="17"/>
  <c r="G256" i="17"/>
  <c r="G224" i="17"/>
  <c r="G192" i="17"/>
  <c r="G160" i="17"/>
  <c r="G128" i="17"/>
  <c r="G96" i="17"/>
  <c r="G64" i="17"/>
  <c r="G32" i="17"/>
  <c r="H255" i="17"/>
  <c r="H223" i="17"/>
  <c r="H191" i="17"/>
  <c r="H159" i="17"/>
  <c r="H127" i="17"/>
  <c r="H95" i="17"/>
  <c r="H63" i="17"/>
  <c r="H31" i="17"/>
  <c r="H605" i="17"/>
  <c r="G606" i="17"/>
  <c r="G590" i="17"/>
  <c r="G574" i="17"/>
  <c r="G558" i="17"/>
  <c r="G542" i="17"/>
  <c r="G526" i="17"/>
  <c r="G510" i="17"/>
  <c r="G494" i="17"/>
  <c r="G478" i="17"/>
  <c r="G462" i="17"/>
  <c r="G446" i="17"/>
  <c r="G417" i="17"/>
  <c r="G385" i="17"/>
  <c r="G353" i="17"/>
  <c r="G321" i="17"/>
  <c r="G289" i="17"/>
  <c r="H598" i="17"/>
  <c r="H562" i="17"/>
  <c r="H530" i="17"/>
  <c r="H498" i="17"/>
  <c r="H466" i="17"/>
  <c r="H434" i="17"/>
  <c r="H402" i="17"/>
  <c r="H370" i="17"/>
  <c r="H338" i="17"/>
  <c r="H306" i="17"/>
  <c r="H274" i="17"/>
  <c r="G242" i="17"/>
  <c r="G210" i="17"/>
  <c r="G178" i="17"/>
  <c r="G146" i="17"/>
  <c r="G114" i="17"/>
  <c r="G82" i="17"/>
  <c r="G50" i="17"/>
  <c r="G18" i="17"/>
  <c r="H241" i="17"/>
  <c r="H209" i="17"/>
  <c r="H177" i="17"/>
  <c r="H145" i="17"/>
  <c r="H113" i="17"/>
  <c r="H81" i="17"/>
  <c r="H49" i="17"/>
  <c r="H17" i="17"/>
  <c r="G430" i="17"/>
  <c r="G414" i="17"/>
  <c r="G398" i="17"/>
  <c r="G382" i="17"/>
  <c r="G366" i="17"/>
  <c r="G350" i="17"/>
  <c r="G334" i="17"/>
  <c r="G318" i="17"/>
  <c r="G302" i="17"/>
  <c r="G286" i="17"/>
  <c r="G270" i="17"/>
  <c r="H592" i="17"/>
  <c r="H575" i="17"/>
  <c r="H559" i="17"/>
  <c r="H543" i="17"/>
  <c r="H527" i="17"/>
  <c r="H511" i="17"/>
  <c r="H495" i="17"/>
  <c r="H479" i="17"/>
  <c r="H463" i="17"/>
  <c r="H447" i="17"/>
  <c r="H431" i="17"/>
  <c r="H415" i="17"/>
  <c r="H399" i="17"/>
  <c r="H383" i="17"/>
  <c r="H367" i="17"/>
  <c r="H351" i="17"/>
  <c r="H335" i="17"/>
  <c r="H319" i="17"/>
  <c r="H303" i="17"/>
  <c r="H287" i="17"/>
  <c r="H271" i="17"/>
  <c r="G255" i="17"/>
  <c r="G239" i="17"/>
  <c r="G223" i="17"/>
  <c r="G207" i="17"/>
  <c r="G191" i="17"/>
  <c r="G175" i="17"/>
  <c r="G159" i="17"/>
  <c r="G143" i="17"/>
  <c r="G127" i="17"/>
  <c r="G111" i="17"/>
  <c r="G95" i="17"/>
  <c r="G79" i="17"/>
  <c r="G63" i="17"/>
  <c r="G47" i="17"/>
  <c r="G31" i="17"/>
  <c r="G15" i="17"/>
  <c r="H250" i="17"/>
  <c r="H234" i="17"/>
  <c r="H218" i="17"/>
  <c r="H202" i="17"/>
  <c r="H186" i="17"/>
  <c r="H170" i="17"/>
  <c r="H154" i="17"/>
  <c r="H122" i="17"/>
  <c r="H90" i="17"/>
  <c r="H58" i="17"/>
  <c r="H26" i="17"/>
  <c r="H94" i="17"/>
  <c r="H222" i="17"/>
  <c r="H110" i="17"/>
  <c r="G83" i="17"/>
  <c r="G211" i="17"/>
  <c r="H339" i="17"/>
  <c r="H467" i="17"/>
  <c r="H599" i="17"/>
  <c r="G386" i="17"/>
  <c r="H153" i="17"/>
  <c r="G154" i="17"/>
  <c r="H410" i="17"/>
  <c r="G329" i="17"/>
  <c r="G514" i="17"/>
  <c r="H39" i="17"/>
  <c r="G40" i="17"/>
  <c r="H296" i="17"/>
  <c r="H472" i="17"/>
  <c r="H610" i="17"/>
  <c r="G391" i="17"/>
  <c r="G481" i="17"/>
  <c r="G545" i="17"/>
  <c r="G609" i="17"/>
  <c r="H56" i="17"/>
  <c r="H120" i="17"/>
  <c r="H184" i="17"/>
  <c r="H248" i="17"/>
  <c r="G61" i="17"/>
  <c r="G125" i="17"/>
  <c r="G189" i="17"/>
  <c r="G253" i="17"/>
  <c r="H317" i="17"/>
  <c r="H381" i="17"/>
  <c r="H445" i="17"/>
  <c r="H509" i="17"/>
  <c r="H573" i="17"/>
  <c r="G300" i="17"/>
  <c r="G364" i="17"/>
  <c r="G428" i="17"/>
  <c r="H117" i="17"/>
  <c r="H245" i="17"/>
  <c r="G118" i="17"/>
  <c r="G246" i="17"/>
  <c r="H374" i="17"/>
  <c r="H502" i="17"/>
  <c r="G293" i="17"/>
  <c r="G421" i="17"/>
  <c r="G496" i="17"/>
  <c r="G560" i="17"/>
  <c r="H83" i="17"/>
  <c r="G84" i="17"/>
  <c r="H340" i="17"/>
  <c r="H601" i="17"/>
  <c r="G479" i="17"/>
  <c r="G607" i="17"/>
  <c r="H155" i="17"/>
  <c r="G156" i="17"/>
  <c r="H412" i="17"/>
  <c r="G331" i="17"/>
  <c r="G515" i="17"/>
  <c r="H14" i="17"/>
  <c r="G131" i="17"/>
  <c r="H387" i="17"/>
  <c r="G306" i="17"/>
  <c r="H249" i="17"/>
  <c r="H506" i="17"/>
  <c r="G562" i="17"/>
  <c r="G136" i="17"/>
  <c r="H520" i="17"/>
  <c r="G439" i="17"/>
  <c r="G569" i="17"/>
  <c r="H80" i="17"/>
  <c r="H208" i="17"/>
  <c r="G85" i="17"/>
  <c r="G213" i="17"/>
  <c r="H341" i="17"/>
  <c r="H469" i="17"/>
  <c r="H604" i="17"/>
  <c r="G388" i="17"/>
  <c r="H165" i="17"/>
  <c r="G166" i="17"/>
  <c r="H422" i="17"/>
  <c r="G341" i="17"/>
  <c r="G520" i="17"/>
  <c r="H179" i="17"/>
  <c r="H436" i="17"/>
  <c r="G527" i="17"/>
  <c r="H251" i="17"/>
  <c r="H508" i="17"/>
  <c r="G563" i="17"/>
  <c r="H355" i="17"/>
  <c r="H185" i="17"/>
  <c r="G530" i="17"/>
  <c r="H488" i="17"/>
  <c r="G553" i="17"/>
  <c r="H192" i="17"/>
  <c r="G197" i="17"/>
  <c r="H453" i="17"/>
  <c r="G372" i="17"/>
  <c r="G134" i="17"/>
  <c r="G309" i="17"/>
  <c r="H115" i="17"/>
  <c r="G495" i="17"/>
  <c r="H444" i="17"/>
  <c r="H291" i="17"/>
  <c r="G466" i="17"/>
  <c r="G521" i="17"/>
  <c r="G165" i="17"/>
  <c r="G340" i="17"/>
  <c r="H582" i="17"/>
  <c r="G419" i="17"/>
  <c r="G163" i="17"/>
  <c r="G457" i="17"/>
  <c r="G276" i="17"/>
  <c r="H500" i="17"/>
  <c r="H552" i="17"/>
  <c r="H243" i="17"/>
  <c r="G373" i="17"/>
  <c r="B65" i="2"/>
  <c r="B209" i="2" l="1"/>
  <c r="Q3" i="17" s="1"/>
  <c r="B216" i="2"/>
  <c r="B208" i="2"/>
  <c r="D354" i="2"/>
  <c r="E354" i="2"/>
  <c r="C48" i="16" s="1"/>
  <c r="AG72" i="23"/>
  <c r="BB72" i="23" s="1"/>
  <c r="AG63" i="23"/>
  <c r="BC63" i="23" s="1"/>
  <c r="AW63" i="23" s="1"/>
  <c r="E43" i="1"/>
  <c r="D235" i="2"/>
  <c r="BC74" i="23"/>
  <c r="AW74" i="23" s="1"/>
  <c r="AT107" i="23"/>
  <c r="AV107" i="23" s="1"/>
  <c r="AZ107" i="23" s="1"/>
  <c r="BC94" i="23"/>
  <c r="AW94" i="23" s="1"/>
  <c r="BC102" i="23"/>
  <c r="AW102" i="23" s="1"/>
  <c r="AT17" i="23"/>
  <c r="AV17" i="23" s="1"/>
  <c r="AZ17" i="23" s="1"/>
  <c r="BC43" i="23"/>
  <c r="AW43" i="23" s="1"/>
  <c r="BC21" i="23"/>
  <c r="AW21" i="23" s="1"/>
  <c r="BC19" i="23"/>
  <c r="AW19" i="23" s="1"/>
  <c r="BC64" i="23"/>
  <c r="AW64" i="23" s="1"/>
  <c r="BB26" i="23"/>
  <c r="BC54" i="23"/>
  <c r="AW54" i="23" s="1"/>
  <c r="BC50" i="23"/>
  <c r="AW50" i="23" s="1"/>
  <c r="BC90" i="23"/>
  <c r="AW90" i="23" s="1"/>
  <c r="BC100" i="23"/>
  <c r="AW100" i="23" s="1"/>
  <c r="AT93" i="23"/>
  <c r="AV93" i="23" s="1"/>
  <c r="AZ93" i="23" s="1"/>
  <c r="BC46" i="23"/>
  <c r="AW46" i="23" s="1"/>
  <c r="BC61" i="23"/>
  <c r="AW61" i="23" s="1"/>
  <c r="BC79" i="23"/>
  <c r="AW79" i="23" s="1"/>
  <c r="BC32" i="23"/>
  <c r="AW32" i="23" s="1"/>
  <c r="BC37" i="23"/>
  <c r="AW37" i="23" s="1"/>
  <c r="BC10" i="23"/>
  <c r="AW10" i="23" s="1"/>
  <c r="AT80" i="23"/>
  <c r="AV80" i="23" s="1"/>
  <c r="AZ80" i="23" s="1"/>
  <c r="BC31" i="23"/>
  <c r="AW31" i="23" s="1"/>
  <c r="AT57" i="23"/>
  <c r="AV57" i="23" s="1"/>
  <c r="AZ57" i="23" s="1"/>
  <c r="BC77" i="23"/>
  <c r="AW77" i="23" s="1"/>
  <c r="BC84" i="23"/>
  <c r="AW84" i="23" s="1"/>
  <c r="AT97" i="23"/>
  <c r="AV97" i="23" s="1"/>
  <c r="AZ97" i="23" s="1"/>
  <c r="BC86" i="23"/>
  <c r="AW86" i="23" s="1"/>
  <c r="BC47" i="23"/>
  <c r="AW47" i="23" s="1"/>
  <c r="BB38" i="23"/>
  <c r="BC98" i="23"/>
  <c r="AW98" i="23" s="1"/>
  <c r="BC30" i="23"/>
  <c r="AW30" i="23" s="1"/>
  <c r="BC89" i="23"/>
  <c r="AW89" i="23" s="1"/>
  <c r="BC91" i="23"/>
  <c r="AW91" i="23" s="1"/>
  <c r="BC18" i="23"/>
  <c r="AW18" i="23" s="1"/>
  <c r="AT71" i="23"/>
  <c r="AV71" i="23" s="1"/>
  <c r="AZ71" i="23" s="1"/>
  <c r="BB24" i="23"/>
  <c r="AT101" i="23"/>
  <c r="AV101" i="23" s="1"/>
  <c r="AZ101" i="23" s="1"/>
  <c r="BC82" i="23"/>
  <c r="AW82" i="23" s="1"/>
  <c r="BB67" i="23"/>
  <c r="BC35" i="23"/>
  <c r="AW35" i="23" s="1"/>
  <c r="BC96" i="23"/>
  <c r="AW96" i="23" s="1"/>
  <c r="BB39" i="23"/>
  <c r="BC70" i="23"/>
  <c r="AW70" i="23" s="1"/>
  <c r="BC44" i="23"/>
  <c r="AW44" i="23" s="1"/>
  <c r="AT105" i="23"/>
  <c r="AV105" i="23" s="1"/>
  <c r="AZ105" i="23" s="1"/>
  <c r="BC83" i="23"/>
  <c r="AW83" i="23" s="1"/>
  <c r="BB66" i="23"/>
  <c r="BC76" i="23"/>
  <c r="AW76" i="23" s="1"/>
  <c r="BC62" i="23"/>
  <c r="AW62" i="23" s="1"/>
  <c r="BC22" i="23"/>
  <c r="AW22" i="23" s="1"/>
  <c r="BB103" i="23"/>
  <c r="BC59" i="23"/>
  <c r="AW59" i="23" s="1"/>
  <c r="BC95" i="23"/>
  <c r="AW95" i="23" s="1"/>
  <c r="BB99" i="23"/>
  <c r="BB36" i="23"/>
  <c r="BC60" i="23"/>
  <c r="AW60" i="23" s="1"/>
  <c r="BB68" i="23"/>
  <c r="BC88" i="23"/>
  <c r="AW88" i="23" s="1"/>
  <c r="BC75" i="23"/>
  <c r="AW75" i="23" s="1"/>
  <c r="BB33" i="23"/>
  <c r="BC78" i="23"/>
  <c r="AW78" i="23" s="1"/>
  <c r="BC12" i="23"/>
  <c r="AW12" i="23" s="1"/>
  <c r="BB16" i="23"/>
  <c r="BC14" i="23"/>
  <c r="AW14" i="23" s="1"/>
  <c r="AT29" i="23"/>
  <c r="AV29" i="23" s="1"/>
  <c r="AZ29" i="23" s="1"/>
  <c r="BB34" i="23"/>
  <c r="AT108" i="23"/>
  <c r="AV108" i="23" s="1"/>
  <c r="AZ108" i="23" s="1"/>
  <c r="D219" i="2"/>
  <c r="J64" i="1" s="1"/>
  <c r="D236" i="2"/>
  <c r="BB27" i="23"/>
  <c r="BC27" i="23"/>
  <c r="AW27" i="23" s="1"/>
  <c r="BB25" i="23"/>
  <c r="BC25" i="23"/>
  <c r="AW25" i="23" s="1"/>
  <c r="BB65" i="23"/>
  <c r="BC65" i="23"/>
  <c r="AW65" i="23" s="1"/>
  <c r="BC20" i="23"/>
  <c r="AW20" i="23" s="1"/>
  <c r="BB20" i="23"/>
  <c r="BB28" i="23"/>
  <c r="BC28" i="23"/>
  <c r="AW28" i="23" s="1"/>
  <c r="AT28" i="23"/>
  <c r="AV28" i="23" s="1"/>
  <c r="AZ28" i="23" s="1"/>
  <c r="AT20" i="23"/>
  <c r="AV20" i="23" s="1"/>
  <c r="AZ20" i="23" s="1"/>
  <c r="BC87" i="23"/>
  <c r="AW87" i="23" s="1"/>
  <c r="BB87" i="23"/>
  <c r="AT87" i="23"/>
  <c r="AV87" i="23" s="1"/>
  <c r="AZ87" i="23" s="1"/>
  <c r="BB9" i="23"/>
  <c r="AT9" i="23"/>
  <c r="AV9" i="23" s="1"/>
  <c r="AZ9" i="23" s="1"/>
  <c r="BC9" i="23"/>
  <c r="AW9" i="23" s="1"/>
  <c r="BC69" i="23"/>
  <c r="AW69" i="23" s="1"/>
  <c r="BB69" i="23"/>
  <c r="BA30" i="23"/>
  <c r="BB56" i="23"/>
  <c r="BC56" i="23"/>
  <c r="AW56" i="23" s="1"/>
  <c r="BA65" i="23"/>
  <c r="AT65" i="23"/>
  <c r="AV65" i="23" s="1"/>
  <c r="AZ65" i="23" s="1"/>
  <c r="BC49" i="23"/>
  <c r="AW49" i="23" s="1"/>
  <c r="BB49" i="23"/>
  <c r="BA38" i="23"/>
  <c r="BA12" i="23"/>
  <c r="BA74" i="23"/>
  <c r="BC104" i="23"/>
  <c r="AW104" i="23" s="1"/>
  <c r="BB104" i="23"/>
  <c r="BA85" i="23"/>
  <c r="AT85" i="23"/>
  <c r="AV85" i="23" s="1"/>
  <c r="AZ85" i="23" s="1"/>
  <c r="BC23" i="23"/>
  <c r="AW23" i="23" s="1"/>
  <c r="BB23" i="23"/>
  <c r="BB11" i="23"/>
  <c r="BC11" i="23"/>
  <c r="AW11" i="23" s="1"/>
  <c r="BA52" i="23"/>
  <c r="AT52" i="23"/>
  <c r="AV52" i="23" s="1"/>
  <c r="AZ52" i="23" s="1"/>
  <c r="BA109" i="23"/>
  <c r="AT109" i="23"/>
  <c r="AV109" i="23" s="1"/>
  <c r="AT92" i="23"/>
  <c r="AV92" i="23" s="1"/>
  <c r="AZ92" i="23" s="1"/>
  <c r="BA92" i="23"/>
  <c r="BA108" i="23"/>
  <c r="BA99" i="23"/>
  <c r="BB58" i="23"/>
  <c r="BC58" i="23"/>
  <c r="AW58" i="23" s="1"/>
  <c r="BC45" i="23"/>
  <c r="AW45" i="23" s="1"/>
  <c r="BB45" i="23"/>
  <c r="BA21" i="23"/>
  <c r="BA106" i="23"/>
  <c r="AT106" i="23"/>
  <c r="AV106" i="23" s="1"/>
  <c r="AZ106" i="23" s="1"/>
  <c r="BA35" i="23"/>
  <c r="AT69" i="23"/>
  <c r="AV69" i="23" s="1"/>
  <c r="AZ69" i="23" s="1"/>
  <c r="BA69" i="23"/>
  <c r="BB40" i="23"/>
  <c r="BC40" i="23"/>
  <c r="AW40" i="23" s="1"/>
  <c r="BA32" i="23"/>
  <c r="AT42" i="23"/>
  <c r="AV42" i="23" s="1"/>
  <c r="AZ42" i="23" s="1"/>
  <c r="BA42" i="23"/>
  <c r="BA51" i="23"/>
  <c r="AT51" i="23"/>
  <c r="AV51" i="23" s="1"/>
  <c r="AZ51" i="23" s="1"/>
  <c r="BA16" i="23"/>
  <c r="BA86" i="23"/>
  <c r="BA63" i="23"/>
  <c r="AT41" i="23"/>
  <c r="AV41" i="23" s="1"/>
  <c r="AZ41" i="23" s="1"/>
  <c r="BA41" i="23"/>
  <c r="BA39" i="23"/>
  <c r="BC41" i="23"/>
  <c r="AW41" i="23" s="1"/>
  <c r="BB41" i="23"/>
  <c r="BC13" i="23"/>
  <c r="AW13" i="23" s="1"/>
  <c r="BB13" i="23"/>
  <c r="BA46" i="23"/>
  <c r="BA50" i="23"/>
  <c r="BA67" i="23"/>
  <c r="BC109" i="23"/>
  <c r="AW109" i="23" s="1"/>
  <c r="BB109" i="23"/>
  <c r="BC15" i="23"/>
  <c r="AW15" i="23" s="1"/>
  <c r="BB15" i="23"/>
  <c r="BB51" i="23"/>
  <c r="BC51" i="23"/>
  <c r="AW51" i="23" s="1"/>
  <c r="BA14" i="23"/>
  <c r="AT73" i="23"/>
  <c r="AV73" i="23" s="1"/>
  <c r="AZ73" i="23" s="1"/>
  <c r="BA73" i="23"/>
  <c r="BB81" i="23"/>
  <c r="BC81" i="23"/>
  <c r="AW81" i="23" s="1"/>
  <c r="BC73" i="23"/>
  <c r="AW73" i="23" s="1"/>
  <c r="BB73" i="23"/>
  <c r="BA76" i="23"/>
  <c r="BA56" i="23"/>
  <c r="AT56" i="23"/>
  <c r="AV56" i="23" s="1"/>
  <c r="AZ56" i="23" s="1"/>
  <c r="BA90" i="23"/>
  <c r="BA33" i="23"/>
  <c r="AT45" i="23"/>
  <c r="AV45" i="23" s="1"/>
  <c r="AZ45" i="23" s="1"/>
  <c r="BA45" i="23"/>
  <c r="BA53" i="23"/>
  <c r="AT53" i="23"/>
  <c r="AV53" i="23" s="1"/>
  <c r="AZ53" i="23" s="1"/>
  <c r="BA68" i="23"/>
  <c r="BA44" i="23"/>
  <c r="BB55" i="23"/>
  <c r="BC55" i="23"/>
  <c r="AW55" i="23" s="1"/>
  <c r="BA37" i="23"/>
  <c r="BA54" i="23"/>
  <c r="BC42" i="23"/>
  <c r="AW42" i="23" s="1"/>
  <c r="BB42" i="23"/>
  <c r="BC92" i="23"/>
  <c r="AW92" i="23" s="1"/>
  <c r="BB92" i="23"/>
  <c r="BA98" i="23"/>
  <c r="BA95" i="23"/>
  <c r="BA81" i="23"/>
  <c r="AT81" i="23"/>
  <c r="AV81" i="23" s="1"/>
  <c r="AZ81" i="23" s="1"/>
  <c r="BA15" i="23"/>
  <c r="AT15" i="23"/>
  <c r="AV15" i="23" s="1"/>
  <c r="AZ15" i="23" s="1"/>
  <c r="AT40" i="23"/>
  <c r="AV40" i="23" s="1"/>
  <c r="AZ40" i="23" s="1"/>
  <c r="BA40" i="23"/>
  <c r="AT104" i="23"/>
  <c r="AV104" i="23" s="1"/>
  <c r="AZ104" i="23" s="1"/>
  <c r="BA104" i="23"/>
  <c r="BA11" i="23"/>
  <c r="AT11" i="23"/>
  <c r="AV11" i="23" s="1"/>
  <c r="AZ11" i="23" s="1"/>
  <c r="BA31" i="23"/>
  <c r="AT13" i="23"/>
  <c r="AV13" i="23" s="1"/>
  <c r="AZ13" i="23" s="1"/>
  <c r="BA13" i="23"/>
  <c r="BA22" i="23"/>
  <c r="BA27" i="23"/>
  <c r="AT27" i="23"/>
  <c r="AV27" i="23" s="1"/>
  <c r="AZ27" i="23" s="1"/>
  <c r="BC53" i="23"/>
  <c r="AW53" i="23" s="1"/>
  <c r="BB53" i="23"/>
  <c r="BA49" i="23"/>
  <c r="AT49" i="23"/>
  <c r="AV49" i="23" s="1"/>
  <c r="AZ49" i="23" s="1"/>
  <c r="BA55" i="23"/>
  <c r="AT55" i="23"/>
  <c r="AV55" i="23" s="1"/>
  <c r="AZ55" i="23" s="1"/>
  <c r="BA78" i="23"/>
  <c r="BB52" i="23"/>
  <c r="BC52" i="23"/>
  <c r="AW52" i="23" s="1"/>
  <c r="BA103" i="23"/>
  <c r="BB85" i="23"/>
  <c r="BC85" i="23"/>
  <c r="AW85" i="23" s="1"/>
  <c r="BA25" i="23"/>
  <c r="AT25" i="23"/>
  <c r="AV25" i="23" s="1"/>
  <c r="AZ25" i="23" s="1"/>
  <c r="BA94" i="23"/>
  <c r="BB48" i="23"/>
  <c r="BC48" i="23"/>
  <c r="AW48" i="23" s="1"/>
  <c r="BA23" i="23"/>
  <c r="AT23" i="23"/>
  <c r="AV23" i="23" s="1"/>
  <c r="AZ23" i="23" s="1"/>
  <c r="BA58" i="23"/>
  <c r="AT58" i="23"/>
  <c r="AV58" i="23" s="1"/>
  <c r="AZ58" i="23" s="1"/>
  <c r="BA66" i="23"/>
  <c r="BB106" i="23"/>
  <c r="BC106" i="23"/>
  <c r="AW106" i="23" s="1"/>
  <c r="BA19" i="23"/>
  <c r="BA96" i="23"/>
  <c r="BA48" i="23"/>
  <c r="AT48" i="23"/>
  <c r="AV48" i="23" s="1"/>
  <c r="AZ48" i="23" s="1"/>
  <c r="B114" i="2"/>
  <c r="E39" i="1" s="1"/>
  <c r="U82" i="21"/>
  <c r="AK97" i="21"/>
  <c r="BD97" i="21" s="1"/>
  <c r="AX97" i="21" s="1"/>
  <c r="U11" i="21"/>
  <c r="AK83" i="21"/>
  <c r="BD83" i="21" s="1"/>
  <c r="AX83" i="21" s="1"/>
  <c r="U22" i="21"/>
  <c r="AK35" i="21"/>
  <c r="BD35" i="21" s="1"/>
  <c r="AX35" i="21" s="1"/>
  <c r="AK47" i="21"/>
  <c r="BD47" i="21" s="1"/>
  <c r="AX47" i="21" s="1"/>
  <c r="AI67" i="21"/>
  <c r="AK67" i="21" s="1"/>
  <c r="BD67" i="21" s="1"/>
  <c r="AX67" i="21" s="1"/>
  <c r="AK81" i="21"/>
  <c r="BD81" i="21" s="1"/>
  <c r="AX81" i="21" s="1"/>
  <c r="AK82" i="21"/>
  <c r="BD82" i="21" s="1"/>
  <c r="AX82" i="21" s="1"/>
  <c r="AK106" i="21"/>
  <c r="BD106" i="21" s="1"/>
  <c r="AX106" i="21" s="1"/>
  <c r="AT58" i="21"/>
  <c r="AK105" i="21"/>
  <c r="BD105" i="21" s="1"/>
  <c r="AX105" i="21" s="1"/>
  <c r="AK109" i="21"/>
  <c r="BD109" i="21" s="1"/>
  <c r="AX109" i="21" s="1"/>
  <c r="AK93" i="21"/>
  <c r="BD93" i="21" s="1"/>
  <c r="AX93" i="21" s="1"/>
  <c r="AK45" i="21"/>
  <c r="BD45" i="21" s="1"/>
  <c r="AX45" i="21" s="1"/>
  <c r="AK90" i="21"/>
  <c r="BD90" i="21" s="1"/>
  <c r="AX90" i="21" s="1"/>
  <c r="AK101" i="21"/>
  <c r="BD101" i="21" s="1"/>
  <c r="AX101" i="21" s="1"/>
  <c r="AK43" i="21"/>
  <c r="BD43" i="21" s="1"/>
  <c r="AX43" i="21" s="1"/>
  <c r="AK62" i="21"/>
  <c r="BD62" i="21" s="1"/>
  <c r="AX62" i="21" s="1"/>
  <c r="U68" i="21"/>
  <c r="AT74" i="21"/>
  <c r="AT66" i="21"/>
  <c r="U9" i="21"/>
  <c r="U89" i="21"/>
  <c r="U14" i="21"/>
  <c r="U63" i="21"/>
  <c r="AT70" i="21"/>
  <c r="AK89" i="21"/>
  <c r="BD89" i="21" s="1"/>
  <c r="AX89" i="21" s="1"/>
  <c r="U72" i="21"/>
  <c r="U53" i="21"/>
  <c r="AK63" i="21"/>
  <c r="BD63" i="21" s="1"/>
  <c r="AX63" i="21" s="1"/>
  <c r="U44" i="21"/>
  <c r="AK56" i="21"/>
  <c r="BD56" i="21" s="1"/>
  <c r="AX56" i="21" s="1"/>
  <c r="U59" i="21"/>
  <c r="AK99" i="21"/>
  <c r="BD99" i="21" s="1"/>
  <c r="AX99" i="21" s="1"/>
  <c r="U102" i="21"/>
  <c r="AI59" i="21"/>
  <c r="AK59" i="21" s="1"/>
  <c r="BD59" i="21" s="1"/>
  <c r="AX59" i="21" s="1"/>
  <c r="AK55" i="21"/>
  <c r="BD55" i="21" s="1"/>
  <c r="AX55" i="21" s="1"/>
  <c r="AK76" i="21"/>
  <c r="BD76" i="21" s="1"/>
  <c r="AX76" i="21" s="1"/>
  <c r="AI9" i="21"/>
  <c r="AK9" i="21" s="1"/>
  <c r="BD9" i="21" s="1"/>
  <c r="AX9" i="21" s="1"/>
  <c r="BE9" i="21"/>
  <c r="AI14" i="21"/>
  <c r="AK14" i="21" s="1"/>
  <c r="BD14" i="21" s="1"/>
  <c r="AX14" i="21" s="1"/>
  <c r="U62" i="21"/>
  <c r="U93" i="21"/>
  <c r="U76" i="21"/>
  <c r="U24" i="21"/>
  <c r="AK42" i="21"/>
  <c r="BD42" i="21" s="1"/>
  <c r="AX42" i="21" s="1"/>
  <c r="U97" i="21"/>
  <c r="U98" i="21"/>
  <c r="AK87" i="21"/>
  <c r="BD87" i="21" s="1"/>
  <c r="AX87" i="21" s="1"/>
  <c r="AK85" i="21"/>
  <c r="BD85" i="21" s="1"/>
  <c r="AX85" i="21" s="1"/>
  <c r="AK107" i="21"/>
  <c r="BD107" i="21" s="1"/>
  <c r="AX107" i="21" s="1"/>
  <c r="AK61" i="21"/>
  <c r="BD61" i="21" s="1"/>
  <c r="AX61" i="21" s="1"/>
  <c r="AK64" i="21"/>
  <c r="BD64" i="21" s="1"/>
  <c r="AX64" i="21" s="1"/>
  <c r="AK91" i="21"/>
  <c r="BD91" i="21" s="1"/>
  <c r="AX91" i="21" s="1"/>
  <c r="AK46" i="21"/>
  <c r="BD46" i="21" s="1"/>
  <c r="AX46" i="21" s="1"/>
  <c r="AK28" i="21"/>
  <c r="BD28" i="21" s="1"/>
  <c r="AX28" i="21" s="1"/>
  <c r="AK21" i="21"/>
  <c r="BD21" i="21" s="1"/>
  <c r="AX21" i="21" s="1"/>
  <c r="AK24" i="21"/>
  <c r="BD24" i="21" s="1"/>
  <c r="AX24" i="21" s="1"/>
  <c r="AK32" i="21"/>
  <c r="BD32" i="21" s="1"/>
  <c r="AX32" i="21" s="1"/>
  <c r="AK12" i="21"/>
  <c r="BD12" i="21" s="1"/>
  <c r="AX12" i="21" s="1"/>
  <c r="AK16" i="21"/>
  <c r="BD16" i="21" s="1"/>
  <c r="AX16" i="21" s="1"/>
  <c r="AK25" i="21"/>
  <c r="BD25" i="21" s="1"/>
  <c r="AX25" i="21" s="1"/>
  <c r="AK34" i="21"/>
  <c r="BD34" i="21" s="1"/>
  <c r="AX34" i="21" s="1"/>
  <c r="AK11" i="21"/>
  <c r="BD11" i="21" s="1"/>
  <c r="AX11" i="21" s="1"/>
  <c r="AK15" i="21"/>
  <c r="BD15" i="21" s="1"/>
  <c r="AX15" i="21" s="1"/>
  <c r="AK26" i="21"/>
  <c r="BD26" i="21" s="1"/>
  <c r="AX26" i="21" s="1"/>
  <c r="AK20" i="21"/>
  <c r="BD20" i="21" s="1"/>
  <c r="AX20" i="21" s="1"/>
  <c r="AK29" i="21"/>
  <c r="BD29" i="21" s="1"/>
  <c r="AX29" i="21" s="1"/>
  <c r="AT94" i="21"/>
  <c r="AK27" i="21"/>
  <c r="BD27" i="21" s="1"/>
  <c r="AX27" i="21" s="1"/>
  <c r="AT84" i="21"/>
  <c r="AK10" i="21"/>
  <c r="BD10" i="21" s="1"/>
  <c r="AX10" i="21" s="1"/>
  <c r="U21" i="21"/>
  <c r="AK33" i="21"/>
  <c r="BD33" i="21" s="1"/>
  <c r="AX33" i="21" s="1"/>
  <c r="AK13" i="21"/>
  <c r="BD13" i="21" s="1"/>
  <c r="AX13" i="21" s="1"/>
  <c r="AK19" i="21"/>
  <c r="BD19" i="21" s="1"/>
  <c r="AX19" i="21" s="1"/>
  <c r="AK22" i="21"/>
  <c r="BD22" i="21" s="1"/>
  <c r="AX22" i="21" s="1"/>
  <c r="AK18" i="21"/>
  <c r="BD18" i="21" s="1"/>
  <c r="AX18" i="21" s="1"/>
  <c r="AK31" i="21"/>
  <c r="BD31" i="21" s="1"/>
  <c r="AX31" i="21" s="1"/>
  <c r="AK17" i="21"/>
  <c r="BD17" i="21" s="1"/>
  <c r="AX17" i="21" s="1"/>
  <c r="AK23" i="21"/>
  <c r="BD23" i="21" s="1"/>
  <c r="AX23" i="21" s="1"/>
  <c r="AK30" i="21"/>
  <c r="BD30" i="21" s="1"/>
  <c r="AX30" i="21" s="1"/>
  <c r="AT57" i="21"/>
  <c r="U83" i="21"/>
  <c r="U45" i="21"/>
  <c r="U49" i="21"/>
  <c r="U46" i="21"/>
  <c r="U36" i="21"/>
  <c r="U35" i="21"/>
  <c r="U38" i="21"/>
  <c r="U52" i="21"/>
  <c r="U54" i="21"/>
  <c r="U56" i="21"/>
  <c r="U43" i="21"/>
  <c r="U51" i="21"/>
  <c r="U41" i="21"/>
  <c r="U40" i="21"/>
  <c r="U42" i="21"/>
  <c r="U50" i="21"/>
  <c r="U37" i="21"/>
  <c r="U39" i="21"/>
  <c r="U48" i="21"/>
  <c r="AI41" i="21"/>
  <c r="AK41" i="21" s="1"/>
  <c r="BD41" i="21" s="1"/>
  <c r="AX41" i="21" s="1"/>
  <c r="AI71" i="21"/>
  <c r="AK71" i="21" s="1"/>
  <c r="BD71" i="21" s="1"/>
  <c r="AX71" i="21" s="1"/>
  <c r="AI95" i="21"/>
  <c r="AK95" i="21" s="1"/>
  <c r="BD95" i="21" s="1"/>
  <c r="AX95" i="21" s="1"/>
  <c r="U20" i="21"/>
  <c r="AI38" i="21"/>
  <c r="AK38" i="21" s="1"/>
  <c r="BD38" i="21" s="1"/>
  <c r="AX38" i="21" s="1"/>
  <c r="AI65" i="21"/>
  <c r="AK65" i="21" s="1"/>
  <c r="BD65" i="21" s="1"/>
  <c r="AX65" i="21" s="1"/>
  <c r="AI88" i="21"/>
  <c r="AK88" i="21" s="1"/>
  <c r="BD88" i="21" s="1"/>
  <c r="AX88" i="21" s="1"/>
  <c r="AI100" i="21"/>
  <c r="AK100" i="21" s="1"/>
  <c r="BD100" i="21" s="1"/>
  <c r="AX100" i="21" s="1"/>
  <c r="AI51" i="21"/>
  <c r="AK51" i="21" s="1"/>
  <c r="BD51" i="21" s="1"/>
  <c r="AX51" i="21" s="1"/>
  <c r="U18" i="21"/>
  <c r="AI60" i="21"/>
  <c r="AK60" i="21" s="1"/>
  <c r="BD60" i="21" s="1"/>
  <c r="AX60" i="21" s="1"/>
  <c r="AI75" i="21"/>
  <c r="AK75" i="21" s="1"/>
  <c r="BD75" i="21" s="1"/>
  <c r="AX75" i="21" s="1"/>
  <c r="U71" i="21"/>
  <c r="U99" i="21"/>
  <c r="U17" i="21"/>
  <c r="U108" i="21"/>
  <c r="U92" i="21"/>
  <c r="U32" i="21"/>
  <c r="U34" i="21"/>
  <c r="AI37" i="21"/>
  <c r="AK37" i="21" s="1"/>
  <c r="BD37" i="21" s="1"/>
  <c r="AX37" i="21" s="1"/>
  <c r="AI52" i="21"/>
  <c r="AK52" i="21" s="1"/>
  <c r="BD52" i="21" s="1"/>
  <c r="AX52" i="21" s="1"/>
  <c r="AI39" i="21"/>
  <c r="AK39" i="21" s="1"/>
  <c r="BD39" i="21" s="1"/>
  <c r="AX39" i="21" s="1"/>
  <c r="AI54" i="21"/>
  <c r="AK54" i="21" s="1"/>
  <c r="BD54" i="21" s="1"/>
  <c r="AX54" i="21" s="1"/>
  <c r="AI80" i="21"/>
  <c r="AK80" i="21" s="1"/>
  <c r="BD80" i="21" s="1"/>
  <c r="AX80" i="21" s="1"/>
  <c r="BA66" i="21"/>
  <c r="U95" i="21"/>
  <c r="U19" i="21"/>
  <c r="U23" i="21"/>
  <c r="U65" i="21"/>
  <c r="U77" i="21"/>
  <c r="U80" i="21"/>
  <c r="U79" i="21"/>
  <c r="U104" i="21"/>
  <c r="U12" i="21"/>
  <c r="U31" i="21"/>
  <c r="AI103" i="21"/>
  <c r="AK103" i="21" s="1"/>
  <c r="BD103" i="21" s="1"/>
  <c r="AX103" i="21" s="1"/>
  <c r="AI77" i="21"/>
  <c r="AK77" i="21" s="1"/>
  <c r="BD77" i="21" s="1"/>
  <c r="AX77" i="21" s="1"/>
  <c r="AI49" i="21"/>
  <c r="AK49" i="21" s="1"/>
  <c r="BD49" i="21" s="1"/>
  <c r="AX49" i="21" s="1"/>
  <c r="AI73" i="21"/>
  <c r="AK73" i="21" s="1"/>
  <c r="BD73" i="21" s="1"/>
  <c r="AX73" i="21" s="1"/>
  <c r="AI108" i="21"/>
  <c r="AK108" i="21" s="1"/>
  <c r="BD108" i="21" s="1"/>
  <c r="AX108" i="21" s="1"/>
  <c r="AI92" i="21"/>
  <c r="AK92" i="21" s="1"/>
  <c r="BD92" i="21" s="1"/>
  <c r="AX92" i="21" s="1"/>
  <c r="U25" i="21"/>
  <c r="AI69" i="21"/>
  <c r="AK69" i="21" s="1"/>
  <c r="BD69" i="21" s="1"/>
  <c r="AX69" i="21" s="1"/>
  <c r="AI50" i="21"/>
  <c r="AK50" i="21" s="1"/>
  <c r="BD50" i="21" s="1"/>
  <c r="AX50" i="21" s="1"/>
  <c r="U107" i="21"/>
  <c r="U91" i="21"/>
  <c r="U61" i="21"/>
  <c r="U87" i="21"/>
  <c r="U27" i="21"/>
  <c r="U88" i="21"/>
  <c r="U73" i="21"/>
  <c r="U100" i="21"/>
  <c r="U64" i="21"/>
  <c r="U85" i="21"/>
  <c r="AI78" i="21"/>
  <c r="AK78" i="21" s="1"/>
  <c r="BD78" i="21" s="1"/>
  <c r="AX78" i="21" s="1"/>
  <c r="U29" i="21"/>
  <c r="U28" i="21"/>
  <c r="AI79" i="21"/>
  <c r="AK79" i="21" s="1"/>
  <c r="BD79" i="21" s="1"/>
  <c r="AX79" i="21" s="1"/>
  <c r="AI104" i="21"/>
  <c r="AK104" i="21" s="1"/>
  <c r="BD104" i="21" s="1"/>
  <c r="AX104" i="21" s="1"/>
  <c r="AI96" i="21"/>
  <c r="AK96" i="21" s="1"/>
  <c r="BD96" i="21" s="1"/>
  <c r="AX96" i="21" s="1"/>
  <c r="AI48" i="21"/>
  <c r="AK48" i="21" s="1"/>
  <c r="BD48" i="21" s="1"/>
  <c r="AX48" i="21" s="1"/>
  <c r="U26" i="21"/>
  <c r="AI40" i="21"/>
  <c r="AK40" i="21" s="1"/>
  <c r="BD40" i="21" s="1"/>
  <c r="AX40" i="21" s="1"/>
  <c r="AI86" i="21"/>
  <c r="AK86" i="21" s="1"/>
  <c r="BD86" i="21" s="1"/>
  <c r="AX86" i="21" s="1"/>
  <c r="U78" i="21"/>
  <c r="U103" i="21"/>
  <c r="U13" i="21"/>
  <c r="AI36" i="21"/>
  <c r="AK36" i="21" s="1"/>
  <c r="BD36" i="21" s="1"/>
  <c r="AX36" i="21" s="1"/>
  <c r="U96" i="21"/>
  <c r="U16" i="21"/>
  <c r="U33" i="21"/>
  <c r="U60" i="21"/>
  <c r="U69" i="21"/>
  <c r="U75" i="21"/>
  <c r="U86" i="21"/>
  <c r="E22" i="1"/>
  <c r="E18" i="1"/>
  <c r="F4" i="17"/>
  <c r="E23" i="1"/>
  <c r="B72" i="1"/>
  <c r="E34" i="1"/>
  <c r="B125" i="2"/>
  <c r="L126" i="2" s="1"/>
  <c r="L127" i="2"/>
  <c r="K126" i="2"/>
  <c r="E45" i="1"/>
  <c r="B199" i="2"/>
  <c r="N4" i="17" s="1"/>
  <c r="F7" i="17"/>
  <c r="B217" i="2"/>
  <c r="H120" i="2"/>
  <c r="D48" i="16" l="1"/>
  <c r="BC72" i="23"/>
  <c r="AW72" i="23" s="1"/>
  <c r="AT63" i="23"/>
  <c r="AV63" i="23" s="1"/>
  <c r="AZ63" i="23" s="1"/>
  <c r="AT72" i="23"/>
  <c r="AV72" i="23" s="1"/>
  <c r="AZ72" i="23" s="1"/>
  <c r="BB63" i="23"/>
  <c r="AT42" i="21"/>
  <c r="AV42" i="21" s="1"/>
  <c r="AZ42" i="21" s="1"/>
  <c r="AT100" i="21"/>
  <c r="AV100" i="21" s="1"/>
  <c r="AZ100" i="21" s="1"/>
  <c r="AT34" i="21"/>
  <c r="AV34" i="21" s="1"/>
  <c r="AZ34" i="21" s="1"/>
  <c r="AT17" i="21"/>
  <c r="AV17" i="21" s="1"/>
  <c r="AZ17" i="21" s="1"/>
  <c r="AT35" i="21"/>
  <c r="AV35" i="21" s="1"/>
  <c r="AZ35" i="21" s="1"/>
  <c r="AT25" i="21"/>
  <c r="AV25" i="21" s="1"/>
  <c r="AZ25" i="21" s="1"/>
  <c r="AT106" i="21"/>
  <c r="AV106" i="21" s="1"/>
  <c r="AZ106" i="21" s="1"/>
  <c r="AT56" i="21"/>
  <c r="AV56" i="21" s="1"/>
  <c r="AZ56" i="21" s="1"/>
  <c r="AT75" i="21"/>
  <c r="AV75" i="21" s="1"/>
  <c r="AZ75" i="21" s="1"/>
  <c r="AT26" i="21"/>
  <c r="AV26" i="21" s="1"/>
  <c r="AZ26" i="21" s="1"/>
  <c r="AT85" i="21"/>
  <c r="AV85" i="21" s="1"/>
  <c r="AZ85" i="21" s="1"/>
  <c r="AT32" i="21"/>
  <c r="AV32" i="21" s="1"/>
  <c r="AZ32" i="21" s="1"/>
  <c r="AT99" i="21"/>
  <c r="AV99" i="21" s="1"/>
  <c r="AZ99" i="21" s="1"/>
  <c r="AT41" i="21"/>
  <c r="AV41" i="21" s="1"/>
  <c r="AZ41" i="21" s="1"/>
  <c r="AT83" i="21"/>
  <c r="AV83" i="21" s="1"/>
  <c r="AZ83" i="21" s="1"/>
  <c r="AT44" i="21"/>
  <c r="AV44" i="21" s="1"/>
  <c r="AZ44" i="21" s="1"/>
  <c r="AT103" i="21"/>
  <c r="AV103" i="21" s="1"/>
  <c r="AZ103" i="21" s="1"/>
  <c r="AT98" i="21"/>
  <c r="AV98" i="21" s="1"/>
  <c r="AZ98" i="21" s="1"/>
  <c r="AT96" i="21"/>
  <c r="AV96" i="21" s="1"/>
  <c r="AZ96" i="21" s="1"/>
  <c r="AT27" i="21"/>
  <c r="AV27" i="21" s="1"/>
  <c r="AZ27" i="21" s="1"/>
  <c r="AT50" i="21"/>
  <c r="AV50" i="21" s="1"/>
  <c r="AZ50" i="21" s="1"/>
  <c r="AT90" i="21"/>
  <c r="AV90" i="21" s="1"/>
  <c r="AZ90" i="21" s="1"/>
  <c r="AT105" i="21"/>
  <c r="AV105" i="21" s="1"/>
  <c r="AZ105" i="21" s="1"/>
  <c r="AT86" i="21"/>
  <c r="AV86" i="21" s="1"/>
  <c r="AZ86" i="21" s="1"/>
  <c r="AT33" i="21"/>
  <c r="AV33" i="21" s="1"/>
  <c r="AZ33" i="21" s="1"/>
  <c r="AT13" i="21"/>
  <c r="AV13" i="21" s="1"/>
  <c r="AZ13" i="21" s="1"/>
  <c r="AT73" i="21"/>
  <c r="AV73" i="21" s="1"/>
  <c r="AZ73" i="21" s="1"/>
  <c r="AT61" i="21"/>
  <c r="AV61" i="21" s="1"/>
  <c r="AZ61" i="21" s="1"/>
  <c r="AT31" i="21"/>
  <c r="AV31" i="21" s="1"/>
  <c r="AZ31" i="21" s="1"/>
  <c r="AT80" i="21"/>
  <c r="AV80" i="21" s="1"/>
  <c r="AZ80" i="21" s="1"/>
  <c r="AT19" i="21"/>
  <c r="AV19" i="21" s="1"/>
  <c r="AT39" i="21"/>
  <c r="AV39" i="21" s="1"/>
  <c r="AZ39" i="21" s="1"/>
  <c r="AT45" i="21"/>
  <c r="AV45" i="21" s="1"/>
  <c r="AZ45" i="21" s="1"/>
  <c r="AT24" i="21"/>
  <c r="AV24" i="21" s="1"/>
  <c r="AZ24" i="21" s="1"/>
  <c r="AT81" i="21"/>
  <c r="AV81" i="21" s="1"/>
  <c r="AZ81" i="21" s="1"/>
  <c r="AT9" i="21"/>
  <c r="AV9" i="21" s="1"/>
  <c r="AZ9" i="21" s="1"/>
  <c r="AT55" i="21"/>
  <c r="AV55" i="21" s="1"/>
  <c r="AZ55" i="21" s="1"/>
  <c r="AT101" i="21"/>
  <c r="AV101" i="21" s="1"/>
  <c r="AZ101" i="21" s="1"/>
  <c r="AT109" i="21"/>
  <c r="AV109" i="21" s="1"/>
  <c r="AZ109" i="21" s="1"/>
  <c r="AT47" i="21"/>
  <c r="AV47" i="21" s="1"/>
  <c r="AZ47" i="21" s="1"/>
  <c r="AT30" i="21"/>
  <c r="AV30" i="21" s="1"/>
  <c r="AZ30" i="21" s="1"/>
  <c r="AT102" i="21"/>
  <c r="AV102" i="21" s="1"/>
  <c r="AZ102" i="21" s="1"/>
  <c r="AT72" i="21"/>
  <c r="AV72" i="21" s="1"/>
  <c r="AZ72" i="21" s="1"/>
  <c r="AT15" i="21"/>
  <c r="AV15" i="21" s="1"/>
  <c r="AZ15" i="21" s="1"/>
  <c r="AT88" i="21"/>
  <c r="AV88" i="21" s="1"/>
  <c r="AZ88" i="21" s="1"/>
  <c r="AT12" i="21"/>
  <c r="AV12" i="21" s="1"/>
  <c r="AZ12" i="21" s="1"/>
  <c r="AT95" i="21"/>
  <c r="AV95" i="21" s="1"/>
  <c r="AZ95" i="21" s="1"/>
  <c r="AT37" i="21"/>
  <c r="AV37" i="21" s="1"/>
  <c r="AZ37" i="21" s="1"/>
  <c r="AT54" i="21"/>
  <c r="AV54" i="21" s="1"/>
  <c r="AZ54" i="21" s="1"/>
  <c r="AT76" i="21"/>
  <c r="AV76" i="21" s="1"/>
  <c r="AZ76" i="21" s="1"/>
  <c r="AT63" i="21"/>
  <c r="AV63" i="21" s="1"/>
  <c r="AZ63" i="21" s="1"/>
  <c r="AT22" i="21"/>
  <c r="AV22" i="21" s="1"/>
  <c r="AZ22" i="21" s="1"/>
  <c r="AT69" i="21"/>
  <c r="AV69" i="21" s="1"/>
  <c r="AZ69" i="21" s="1"/>
  <c r="AT78" i="21"/>
  <c r="AV78" i="21" s="1"/>
  <c r="AZ78" i="21" s="1"/>
  <c r="AT28" i="21"/>
  <c r="AV28" i="21" s="1"/>
  <c r="AZ28" i="21" s="1"/>
  <c r="AT64" i="21"/>
  <c r="AV64" i="21" s="1"/>
  <c r="AZ64" i="21" s="1"/>
  <c r="AT107" i="21"/>
  <c r="AV107" i="21" s="1"/>
  <c r="AZ107" i="21" s="1"/>
  <c r="AT104" i="21"/>
  <c r="AV104" i="21" s="1"/>
  <c r="AZ104" i="21" s="1"/>
  <c r="AT65" i="21"/>
  <c r="AV65" i="21" s="1"/>
  <c r="AZ65" i="21" s="1"/>
  <c r="AT92" i="21"/>
  <c r="AV92" i="21" s="1"/>
  <c r="AZ92" i="21" s="1"/>
  <c r="AT71" i="21"/>
  <c r="AV71" i="21" s="1"/>
  <c r="AZ71" i="21" s="1"/>
  <c r="AT51" i="21"/>
  <c r="AV51" i="21" s="1"/>
  <c r="AZ51" i="21" s="1"/>
  <c r="AT52" i="21"/>
  <c r="AV52" i="21" s="1"/>
  <c r="AZ52" i="21" s="1"/>
  <c r="AT46" i="21"/>
  <c r="AV46" i="21" s="1"/>
  <c r="AZ46" i="21" s="1"/>
  <c r="AT97" i="21"/>
  <c r="AV97" i="21" s="1"/>
  <c r="AZ97" i="21" s="1"/>
  <c r="AT93" i="21"/>
  <c r="AV93" i="21" s="1"/>
  <c r="AZ93" i="21" s="1"/>
  <c r="AT14" i="21"/>
  <c r="AV14" i="21" s="1"/>
  <c r="AZ14" i="21" s="1"/>
  <c r="AT67" i="21"/>
  <c r="AV67" i="21" s="1"/>
  <c r="AZ67" i="21" s="1"/>
  <c r="AT60" i="21"/>
  <c r="AV60" i="21" s="1"/>
  <c r="AZ60" i="21" s="1"/>
  <c r="AT29" i="21"/>
  <c r="AV29" i="21" s="1"/>
  <c r="AZ29" i="21" s="1"/>
  <c r="AT87" i="21"/>
  <c r="AV87" i="21" s="1"/>
  <c r="AZ87" i="21" s="1"/>
  <c r="AT79" i="21"/>
  <c r="AV79" i="21" s="1"/>
  <c r="AZ79" i="21" s="1"/>
  <c r="AT23" i="21"/>
  <c r="AT108" i="21"/>
  <c r="AV108" i="21" s="1"/>
  <c r="AZ108" i="21" s="1"/>
  <c r="AT20" i="21"/>
  <c r="AV20" i="21" s="1"/>
  <c r="AZ20" i="21" s="1"/>
  <c r="AT48" i="21"/>
  <c r="AV48" i="21" s="1"/>
  <c r="AZ48" i="21" s="1"/>
  <c r="AT43" i="21"/>
  <c r="AV43" i="21" s="1"/>
  <c r="AZ43" i="21" s="1"/>
  <c r="AT38" i="21"/>
  <c r="AV38" i="21" s="1"/>
  <c r="AZ38" i="21" s="1"/>
  <c r="AT49" i="21"/>
  <c r="AV49" i="21" s="1"/>
  <c r="AZ49" i="21" s="1"/>
  <c r="AT21" i="21"/>
  <c r="AV21" i="21" s="1"/>
  <c r="AZ21" i="21" s="1"/>
  <c r="AT62" i="21"/>
  <c r="AV62" i="21" s="1"/>
  <c r="AZ62" i="21" s="1"/>
  <c r="AT59" i="21"/>
  <c r="AV59" i="21" s="1"/>
  <c r="AT53" i="21"/>
  <c r="AV53" i="21" s="1"/>
  <c r="AZ53" i="21" s="1"/>
  <c r="AT89" i="21"/>
  <c r="AV89" i="21" s="1"/>
  <c r="AZ89" i="21" s="1"/>
  <c r="AT11" i="21"/>
  <c r="AV11" i="21" s="1"/>
  <c r="AZ11" i="21" s="1"/>
  <c r="AT40" i="21"/>
  <c r="AV40" i="21" s="1"/>
  <c r="AZ40" i="21" s="1"/>
  <c r="AT16" i="21"/>
  <c r="AV16" i="21" s="1"/>
  <c r="AZ16" i="21" s="1"/>
  <c r="AT91" i="21"/>
  <c r="AV91" i="21" s="1"/>
  <c r="AZ91" i="21" s="1"/>
  <c r="AT77" i="21"/>
  <c r="AV77" i="21" s="1"/>
  <c r="AZ77" i="21" s="1"/>
  <c r="AT18" i="21"/>
  <c r="AV18" i="21" s="1"/>
  <c r="AZ18" i="21" s="1"/>
  <c r="AT36" i="21"/>
  <c r="AV36" i="21" s="1"/>
  <c r="AZ36" i="21" s="1"/>
  <c r="AT68" i="21"/>
  <c r="AV68" i="21" s="1"/>
  <c r="AZ68" i="21" s="1"/>
  <c r="AT82" i="21"/>
  <c r="AV82" i="21" s="1"/>
  <c r="AZ82" i="21" s="1"/>
  <c r="AT35" i="23"/>
  <c r="AV35" i="23" s="1"/>
  <c r="AZ35" i="23" s="1"/>
  <c r="AT44" i="23"/>
  <c r="AV44" i="23" s="1"/>
  <c r="AZ44" i="23" s="1"/>
  <c r="BB76" i="23"/>
  <c r="F73" i="1"/>
  <c r="C5" i="25"/>
  <c r="F74" i="1"/>
  <c r="C4" i="25"/>
  <c r="F5" i="17"/>
  <c r="C632" i="25"/>
  <c r="D612" i="25"/>
  <c r="D610" i="25"/>
  <c r="A622" i="25"/>
  <c r="C612" i="25"/>
  <c r="C610" i="25"/>
  <c r="C613" i="25"/>
  <c r="C611" i="25"/>
  <c r="C609" i="25"/>
  <c r="C607" i="25"/>
  <c r="D613" i="25"/>
  <c r="C606" i="25"/>
  <c r="C604" i="25"/>
  <c r="C602" i="25"/>
  <c r="C600" i="25"/>
  <c r="C598" i="25"/>
  <c r="D605" i="25"/>
  <c r="D603" i="25"/>
  <c r="D601" i="25"/>
  <c r="D599" i="25"/>
  <c r="D597" i="25"/>
  <c r="D611" i="25"/>
  <c r="D609" i="25"/>
  <c r="C608" i="25"/>
  <c r="D607" i="25"/>
  <c r="D606" i="25"/>
  <c r="D604" i="25"/>
  <c r="D602" i="25"/>
  <c r="D600" i="25"/>
  <c r="D598" i="25"/>
  <c r="D596" i="25"/>
  <c r="D594" i="25"/>
  <c r="C599" i="25"/>
  <c r="C596" i="25"/>
  <c r="C595" i="25"/>
  <c r="D593" i="25"/>
  <c r="D591" i="25"/>
  <c r="D589" i="25"/>
  <c r="D587" i="25"/>
  <c r="D585" i="25"/>
  <c r="C601" i="25"/>
  <c r="C594" i="25"/>
  <c r="C593" i="25"/>
  <c r="C591" i="25"/>
  <c r="C589" i="25"/>
  <c r="C587" i="25"/>
  <c r="C585" i="25"/>
  <c r="D608" i="25"/>
  <c r="C605" i="25"/>
  <c r="C597" i="25"/>
  <c r="D595" i="25"/>
  <c r="C592" i="25"/>
  <c r="C590" i="25"/>
  <c r="C588" i="25"/>
  <c r="C586" i="25"/>
  <c r="C584" i="25"/>
  <c r="C582" i="25"/>
  <c r="C580" i="25"/>
  <c r="C578" i="25"/>
  <c r="D588" i="25"/>
  <c r="D584" i="25"/>
  <c r="D583" i="25"/>
  <c r="C576" i="25"/>
  <c r="C574" i="25"/>
  <c r="C572" i="25"/>
  <c r="C570" i="25"/>
  <c r="C568" i="25"/>
  <c r="C566" i="25"/>
  <c r="C564" i="25"/>
  <c r="C562" i="25"/>
  <c r="C560" i="25"/>
  <c r="C558" i="25"/>
  <c r="D590" i="25"/>
  <c r="C583" i="25"/>
  <c r="D582" i="25"/>
  <c r="D581" i="25"/>
  <c r="D577" i="25"/>
  <c r="D575" i="25"/>
  <c r="D573" i="25"/>
  <c r="D571" i="25"/>
  <c r="D569" i="25"/>
  <c r="D567" i="25"/>
  <c r="D565" i="25"/>
  <c r="C603" i="25"/>
  <c r="D586" i="25"/>
  <c r="C579" i="25"/>
  <c r="D578" i="25"/>
  <c r="D576" i="25"/>
  <c r="D574" i="25"/>
  <c r="D572" i="25"/>
  <c r="D570" i="25"/>
  <c r="D568" i="25"/>
  <c r="D566" i="25"/>
  <c r="D592" i="25"/>
  <c r="C571" i="25"/>
  <c r="C563" i="25"/>
  <c r="D562" i="25"/>
  <c r="D561" i="25"/>
  <c r="C555" i="25"/>
  <c r="C553" i="25"/>
  <c r="C551" i="25"/>
  <c r="C549" i="25"/>
  <c r="C547" i="25"/>
  <c r="C545" i="25"/>
  <c r="C543" i="25"/>
  <c r="C541" i="25"/>
  <c r="C539" i="25"/>
  <c r="C537" i="25"/>
  <c r="C535" i="25"/>
  <c r="C533" i="25"/>
  <c r="C531" i="25"/>
  <c r="C529" i="25"/>
  <c r="C527" i="25"/>
  <c r="C581" i="25"/>
  <c r="D580" i="25"/>
  <c r="C573" i="25"/>
  <c r="C565" i="25"/>
  <c r="C561" i="25"/>
  <c r="D560" i="25"/>
  <c r="D559" i="25"/>
  <c r="D556" i="25"/>
  <c r="D554" i="25"/>
  <c r="D552" i="25"/>
  <c r="D550" i="25"/>
  <c r="D548" i="25"/>
  <c r="D546" i="25"/>
  <c r="D544" i="25"/>
  <c r="D542" i="25"/>
  <c r="D540" i="25"/>
  <c r="C577" i="25"/>
  <c r="C569" i="25"/>
  <c r="D564" i="25"/>
  <c r="D563" i="25"/>
  <c r="C557" i="25"/>
  <c r="D555" i="25"/>
  <c r="D553" i="25"/>
  <c r="D551" i="25"/>
  <c r="D549" i="25"/>
  <c r="D547" i="25"/>
  <c r="D545" i="25"/>
  <c r="D543" i="25"/>
  <c r="D541" i="25"/>
  <c r="C559" i="25"/>
  <c r="D558" i="25"/>
  <c r="C552" i="25"/>
  <c r="C544" i="25"/>
  <c r="D539" i="25"/>
  <c r="C534" i="25"/>
  <c r="D533" i="25"/>
  <c r="D532" i="25"/>
  <c r="C526" i="25"/>
  <c r="D525" i="25"/>
  <c r="D557" i="25"/>
  <c r="C554" i="25"/>
  <c r="C546" i="25"/>
  <c r="D538" i="25"/>
  <c r="C532" i="25"/>
  <c r="D531" i="25"/>
  <c r="D530" i="25"/>
  <c r="C525" i="25"/>
  <c r="D579" i="25"/>
  <c r="C575" i="25"/>
  <c r="C550" i="25"/>
  <c r="C542" i="25"/>
  <c r="C536" i="25"/>
  <c r="D535" i="25"/>
  <c r="D534" i="25"/>
  <c r="C528" i="25"/>
  <c r="D527" i="25"/>
  <c r="D526" i="25"/>
  <c r="C524" i="25"/>
  <c r="C522" i="25"/>
  <c r="C520" i="25"/>
  <c r="C518" i="25"/>
  <c r="C516" i="25"/>
  <c r="C514" i="25"/>
  <c r="C512" i="25"/>
  <c r="C567" i="25"/>
  <c r="C521" i="25"/>
  <c r="D520" i="25"/>
  <c r="D519" i="25"/>
  <c r="C513" i="25"/>
  <c r="D512" i="25"/>
  <c r="C511" i="25"/>
  <c r="C509" i="25"/>
  <c r="C507" i="25"/>
  <c r="C505" i="25"/>
  <c r="C503" i="25"/>
  <c r="C501" i="25"/>
  <c r="C499" i="25"/>
  <c r="C497" i="25"/>
  <c r="C495" i="25"/>
  <c r="C493" i="25"/>
  <c r="C491" i="25"/>
  <c r="C489" i="25"/>
  <c r="C487" i="25"/>
  <c r="C485" i="25"/>
  <c r="C483" i="25"/>
  <c r="C481" i="25"/>
  <c r="C479" i="25"/>
  <c r="C477" i="25"/>
  <c r="C475" i="25"/>
  <c r="C473" i="25"/>
  <c r="C471" i="25"/>
  <c r="C469" i="25"/>
  <c r="C467" i="25"/>
  <c r="C465" i="25"/>
  <c r="C540" i="25"/>
  <c r="C538" i="25"/>
  <c r="D537" i="25"/>
  <c r="C519" i="25"/>
  <c r="D518" i="25"/>
  <c r="D517" i="25"/>
  <c r="D510" i="25"/>
  <c r="D508" i="25"/>
  <c r="D506" i="25"/>
  <c r="D504" i="25"/>
  <c r="D502" i="25"/>
  <c r="D500" i="25"/>
  <c r="D498" i="25"/>
  <c r="D496" i="25"/>
  <c r="D494" i="25"/>
  <c r="D492" i="25"/>
  <c r="D490" i="25"/>
  <c r="D488" i="25"/>
  <c r="D486" i="25"/>
  <c r="D484" i="25"/>
  <c r="C556" i="25"/>
  <c r="D528" i="25"/>
  <c r="C523" i="25"/>
  <c r="D522" i="25"/>
  <c r="D521" i="25"/>
  <c r="C515" i="25"/>
  <c r="D514" i="25"/>
  <c r="D513" i="25"/>
  <c r="D511" i="25"/>
  <c r="D509" i="25"/>
  <c r="D507" i="25"/>
  <c r="D505" i="25"/>
  <c r="D503" i="25"/>
  <c r="D501" i="25"/>
  <c r="D499" i="25"/>
  <c r="D497" i="25"/>
  <c r="D495" i="25"/>
  <c r="D493" i="25"/>
  <c r="D491" i="25"/>
  <c r="D489" i="25"/>
  <c r="D487" i="25"/>
  <c r="D485" i="25"/>
  <c r="C548" i="25"/>
  <c r="C504" i="25"/>
  <c r="C496" i="25"/>
  <c r="C488" i="25"/>
  <c r="D483" i="25"/>
  <c r="C478" i="25"/>
  <c r="D477" i="25"/>
  <c r="D476" i="25"/>
  <c r="C470" i="25"/>
  <c r="D469" i="25"/>
  <c r="D468" i="25"/>
  <c r="D464" i="25"/>
  <c r="D462" i="25"/>
  <c r="D460" i="25"/>
  <c r="D458" i="25"/>
  <c r="D456" i="25"/>
  <c r="D454" i="25"/>
  <c r="D452" i="25"/>
  <c r="D450" i="25"/>
  <c r="D448" i="25"/>
  <c r="D446" i="25"/>
  <c r="D444" i="25"/>
  <c r="D442" i="25"/>
  <c r="D440" i="25"/>
  <c r="D438" i="25"/>
  <c r="D436" i="25"/>
  <c r="D434" i="25"/>
  <c r="D432" i="25"/>
  <c r="D430" i="25"/>
  <c r="D428" i="25"/>
  <c r="D426" i="25"/>
  <c r="D424" i="25"/>
  <c r="D422" i="25"/>
  <c r="D420" i="25"/>
  <c r="D418" i="25"/>
  <c r="D416" i="25"/>
  <c r="D414" i="25"/>
  <c r="D412" i="25"/>
  <c r="D410" i="25"/>
  <c r="D408" i="25"/>
  <c r="D406" i="25"/>
  <c r="D404" i="25"/>
  <c r="D402" i="25"/>
  <c r="D536" i="25"/>
  <c r="C530" i="25"/>
  <c r="D524" i="25"/>
  <c r="D523" i="25"/>
  <c r="C517" i="25"/>
  <c r="D516" i="25"/>
  <c r="C506" i="25"/>
  <c r="C498" i="25"/>
  <c r="C490" i="25"/>
  <c r="D482" i="25"/>
  <c r="C476" i="25"/>
  <c r="D475" i="25"/>
  <c r="D474" i="25"/>
  <c r="C468" i="25"/>
  <c r="D467" i="25"/>
  <c r="D466" i="25"/>
  <c r="C464" i="25"/>
  <c r="C462" i="25"/>
  <c r="C460" i="25"/>
  <c r="C458" i="25"/>
  <c r="C456" i="25"/>
  <c r="C454" i="25"/>
  <c r="C452" i="25"/>
  <c r="C450" i="25"/>
  <c r="C448" i="25"/>
  <c r="C446" i="25"/>
  <c r="C444" i="25"/>
  <c r="C442" i="25"/>
  <c r="C440" i="25"/>
  <c r="C438" i="25"/>
  <c r="C436" i="25"/>
  <c r="C434" i="25"/>
  <c r="C432" i="25"/>
  <c r="C430" i="25"/>
  <c r="C428" i="25"/>
  <c r="D529" i="25"/>
  <c r="C510" i="25"/>
  <c r="C502" i="25"/>
  <c r="C494" i="25"/>
  <c r="C486" i="25"/>
  <c r="C480" i="25"/>
  <c r="D479" i="25"/>
  <c r="D478" i="25"/>
  <c r="C472" i="25"/>
  <c r="D471" i="25"/>
  <c r="D470" i="25"/>
  <c r="C463" i="25"/>
  <c r="C461" i="25"/>
  <c r="C459" i="25"/>
  <c r="C457" i="25"/>
  <c r="C455" i="25"/>
  <c r="C453" i="25"/>
  <c r="C451" i="25"/>
  <c r="C449" i="25"/>
  <c r="C447" i="25"/>
  <c r="C445" i="25"/>
  <c r="C443" i="25"/>
  <c r="C441" i="25"/>
  <c r="C439" i="25"/>
  <c r="C437" i="25"/>
  <c r="C435" i="25"/>
  <c r="C433" i="25"/>
  <c r="C431" i="25"/>
  <c r="C429" i="25"/>
  <c r="C508" i="25"/>
  <c r="D472" i="25"/>
  <c r="C466" i="25"/>
  <c r="D465" i="25"/>
  <c r="D459" i="25"/>
  <c r="D451" i="25"/>
  <c r="D443" i="25"/>
  <c r="D435" i="25"/>
  <c r="C426" i="25"/>
  <c r="C425" i="25"/>
  <c r="D423" i="25"/>
  <c r="C418" i="25"/>
  <c r="C417" i="25"/>
  <c r="D415" i="25"/>
  <c r="C410" i="25"/>
  <c r="C409" i="25"/>
  <c r="D407" i="25"/>
  <c r="C402" i="25"/>
  <c r="C401" i="25"/>
  <c r="D515" i="25"/>
  <c r="D461" i="25"/>
  <c r="D453" i="25"/>
  <c r="D445" i="25"/>
  <c r="D437" i="25"/>
  <c r="D429" i="25"/>
  <c r="C424" i="25"/>
  <c r="C423" i="25"/>
  <c r="D421" i="25"/>
  <c r="C416" i="25"/>
  <c r="C415" i="25"/>
  <c r="D413" i="25"/>
  <c r="C408" i="25"/>
  <c r="C407" i="25"/>
  <c r="D405" i="25"/>
  <c r="C500" i="25"/>
  <c r="D480" i="25"/>
  <c r="C474" i="25"/>
  <c r="D473" i="25"/>
  <c r="D457" i="25"/>
  <c r="D449" i="25"/>
  <c r="D441" i="25"/>
  <c r="D433" i="25"/>
  <c r="C427" i="25"/>
  <c r="D425" i="25"/>
  <c r="C420" i="25"/>
  <c r="C419" i="25"/>
  <c r="D417" i="25"/>
  <c r="C412" i="25"/>
  <c r="C411" i="25"/>
  <c r="D409" i="25"/>
  <c r="C404" i="25"/>
  <c r="C403" i="25"/>
  <c r="D401" i="25"/>
  <c r="D399" i="25"/>
  <c r="D397" i="25"/>
  <c r="D395" i="25"/>
  <c r="D393" i="25"/>
  <c r="D391" i="25"/>
  <c r="D389" i="25"/>
  <c r="D387" i="25"/>
  <c r="D385" i="25"/>
  <c r="D383" i="25"/>
  <c r="D381" i="25"/>
  <c r="D379" i="25"/>
  <c r="D377" i="25"/>
  <c r="C484" i="25"/>
  <c r="D455" i="25"/>
  <c r="D419" i="25"/>
  <c r="C406" i="25"/>
  <c r="C405" i="25"/>
  <c r="C399" i="25"/>
  <c r="C398" i="25"/>
  <c r="D396" i="25"/>
  <c r="C391" i="25"/>
  <c r="C390" i="25"/>
  <c r="D388" i="25"/>
  <c r="C383" i="25"/>
  <c r="C382" i="25"/>
  <c r="D380" i="25"/>
  <c r="D375" i="25"/>
  <c r="D373" i="25"/>
  <c r="D371" i="25"/>
  <c r="D369" i="25"/>
  <c r="D367" i="25"/>
  <c r="D365" i="25"/>
  <c r="D363" i="25"/>
  <c r="D361" i="25"/>
  <c r="D359" i="25"/>
  <c r="D357" i="25"/>
  <c r="D355" i="25"/>
  <c r="D353" i="25"/>
  <c r="D351" i="25"/>
  <c r="D349" i="25"/>
  <c r="D347" i="25"/>
  <c r="D345" i="25"/>
  <c r="D343" i="25"/>
  <c r="D341" i="25"/>
  <c r="D339" i="25"/>
  <c r="D337" i="25"/>
  <c r="D335" i="25"/>
  <c r="D333" i="25"/>
  <c r="D331" i="25"/>
  <c r="D329" i="25"/>
  <c r="D327" i="25"/>
  <c r="D325" i="25"/>
  <c r="D323" i="25"/>
  <c r="D321" i="25"/>
  <c r="D319" i="25"/>
  <c r="D317" i="25"/>
  <c r="D315" i="25"/>
  <c r="D313" i="25"/>
  <c r="D311" i="25"/>
  <c r="D309" i="25"/>
  <c r="D307" i="25"/>
  <c r="D305" i="25"/>
  <c r="D303" i="25"/>
  <c r="D301" i="25"/>
  <c r="D299" i="25"/>
  <c r="D297" i="25"/>
  <c r="D295" i="25"/>
  <c r="D293" i="25"/>
  <c r="D291" i="25"/>
  <c r="D289" i="25"/>
  <c r="D287" i="25"/>
  <c r="D285" i="25"/>
  <c r="D283" i="25"/>
  <c r="D281" i="25"/>
  <c r="D279" i="25"/>
  <c r="C482" i="25"/>
  <c r="D463" i="25"/>
  <c r="D431" i="25"/>
  <c r="D411" i="25"/>
  <c r="C397" i="25"/>
  <c r="C396" i="25"/>
  <c r="D394" i="25"/>
  <c r="C389" i="25"/>
  <c r="C388" i="25"/>
  <c r="D386" i="25"/>
  <c r="C381" i="25"/>
  <c r="C380" i="25"/>
  <c r="D378" i="25"/>
  <c r="C375" i="25"/>
  <c r="C373" i="25"/>
  <c r="C371" i="25"/>
  <c r="C369" i="25"/>
  <c r="C367" i="25"/>
  <c r="C365" i="25"/>
  <c r="D481" i="25"/>
  <c r="D447" i="25"/>
  <c r="D427" i="25"/>
  <c r="C414" i="25"/>
  <c r="C413" i="25"/>
  <c r="C400" i="25"/>
  <c r="D398" i="25"/>
  <c r="C393" i="25"/>
  <c r="C392" i="25"/>
  <c r="D390" i="25"/>
  <c r="C385" i="25"/>
  <c r="C384" i="25"/>
  <c r="D382" i="25"/>
  <c r="C377" i="25"/>
  <c r="C376" i="25"/>
  <c r="C374" i="25"/>
  <c r="C372" i="25"/>
  <c r="C370" i="25"/>
  <c r="C368" i="25"/>
  <c r="C366" i="25"/>
  <c r="C364" i="25"/>
  <c r="C362" i="25"/>
  <c r="C360" i="25"/>
  <c r="C358" i="25"/>
  <c r="C356" i="25"/>
  <c r="C354" i="25"/>
  <c r="C352" i="25"/>
  <c r="C350" i="25"/>
  <c r="C348" i="25"/>
  <c r="C346" i="25"/>
  <c r="D392" i="25"/>
  <c r="C379" i="25"/>
  <c r="C378" i="25"/>
  <c r="D368" i="25"/>
  <c r="C341" i="25"/>
  <c r="C340" i="25"/>
  <c r="D338" i="25"/>
  <c r="C333" i="25"/>
  <c r="C332" i="25"/>
  <c r="D330" i="25"/>
  <c r="C325" i="25"/>
  <c r="C324" i="25"/>
  <c r="D322" i="25"/>
  <c r="C317" i="25"/>
  <c r="C316" i="25"/>
  <c r="D314" i="25"/>
  <c r="C309" i="25"/>
  <c r="C308" i="25"/>
  <c r="D306" i="25"/>
  <c r="C301" i="25"/>
  <c r="C300" i="25"/>
  <c r="D298" i="25"/>
  <c r="C293" i="25"/>
  <c r="C292" i="25"/>
  <c r="D290" i="25"/>
  <c r="C285" i="25"/>
  <c r="C284" i="25"/>
  <c r="D282" i="25"/>
  <c r="D278" i="25"/>
  <c r="D276" i="25"/>
  <c r="D274" i="25"/>
  <c r="D272" i="25"/>
  <c r="D270" i="25"/>
  <c r="D268" i="25"/>
  <c r="D266" i="25"/>
  <c r="C421" i="25"/>
  <c r="D384" i="25"/>
  <c r="D370" i="25"/>
  <c r="D364" i="25"/>
  <c r="C363" i="25"/>
  <c r="D360" i="25"/>
  <c r="C359" i="25"/>
  <c r="D356" i="25"/>
  <c r="C355" i="25"/>
  <c r="D352" i="25"/>
  <c r="C351" i="25"/>
  <c r="D348" i="25"/>
  <c r="C347" i="25"/>
  <c r="D344" i="25"/>
  <c r="C339" i="25"/>
  <c r="C338" i="25"/>
  <c r="D336" i="25"/>
  <c r="C331" i="25"/>
  <c r="C330" i="25"/>
  <c r="D328" i="25"/>
  <c r="C323" i="25"/>
  <c r="C322" i="25"/>
  <c r="D320" i="25"/>
  <c r="C315" i="25"/>
  <c r="C314" i="25"/>
  <c r="D312" i="25"/>
  <c r="C307" i="25"/>
  <c r="C306" i="25"/>
  <c r="D304" i="25"/>
  <c r="C299" i="25"/>
  <c r="C298" i="25"/>
  <c r="D296" i="25"/>
  <c r="C291" i="25"/>
  <c r="C290" i="25"/>
  <c r="D288" i="25"/>
  <c r="C283" i="25"/>
  <c r="C282" i="25"/>
  <c r="D280" i="25"/>
  <c r="C278" i="25"/>
  <c r="C276" i="25"/>
  <c r="C274" i="25"/>
  <c r="C272" i="25"/>
  <c r="C270" i="25"/>
  <c r="C268" i="25"/>
  <c r="C266" i="25"/>
  <c r="C492" i="25"/>
  <c r="D439" i="25"/>
  <c r="C422" i="25"/>
  <c r="D403" i="25"/>
  <c r="D400" i="25"/>
  <c r="C387" i="25"/>
  <c r="C386" i="25"/>
  <c r="D374" i="25"/>
  <c r="D366" i="25"/>
  <c r="D362" i="25"/>
  <c r="C361" i="25"/>
  <c r="D358" i="25"/>
  <c r="C357" i="25"/>
  <c r="D354" i="25"/>
  <c r="C353" i="25"/>
  <c r="D350" i="25"/>
  <c r="C349" i="25"/>
  <c r="D346" i="25"/>
  <c r="C345" i="25"/>
  <c r="C343" i="25"/>
  <c r="C342" i="25"/>
  <c r="D340" i="25"/>
  <c r="C335" i="25"/>
  <c r="C334" i="25"/>
  <c r="D332" i="25"/>
  <c r="C327" i="25"/>
  <c r="C326" i="25"/>
  <c r="D324" i="25"/>
  <c r="C319" i="25"/>
  <c r="C318" i="25"/>
  <c r="D316" i="25"/>
  <c r="C311" i="25"/>
  <c r="C310" i="25"/>
  <c r="D308" i="25"/>
  <c r="C303" i="25"/>
  <c r="C302" i="25"/>
  <c r="D300" i="25"/>
  <c r="C295" i="25"/>
  <c r="C294" i="25"/>
  <c r="D292" i="25"/>
  <c r="C287" i="25"/>
  <c r="C286" i="25"/>
  <c r="D284" i="25"/>
  <c r="C279" i="25"/>
  <c r="C277" i="25"/>
  <c r="C275" i="25"/>
  <c r="C273" i="25"/>
  <c r="C271" i="25"/>
  <c r="C269" i="25"/>
  <c r="C267" i="25"/>
  <c r="C265" i="25"/>
  <c r="C263" i="25"/>
  <c r="C261" i="25"/>
  <c r="C259" i="25"/>
  <c r="C257" i="25"/>
  <c r="C255" i="25"/>
  <c r="C253" i="25"/>
  <c r="C251" i="25"/>
  <c r="C249" i="25"/>
  <c r="C247" i="25"/>
  <c r="C245" i="25"/>
  <c r="C243" i="25"/>
  <c r="C241" i="25"/>
  <c r="C239" i="25"/>
  <c r="C237" i="25"/>
  <c r="C235" i="25"/>
  <c r="C233" i="25"/>
  <c r="C231" i="25"/>
  <c r="C229" i="25"/>
  <c r="C227" i="25"/>
  <c r="C394" i="25"/>
  <c r="C337" i="25"/>
  <c r="C336" i="25"/>
  <c r="D318" i="25"/>
  <c r="C305" i="25"/>
  <c r="C304" i="25"/>
  <c r="D286" i="25"/>
  <c r="D271" i="25"/>
  <c r="C260" i="25"/>
  <c r="D259" i="25"/>
  <c r="D258" i="25"/>
  <c r="C252" i="25"/>
  <c r="D251" i="25"/>
  <c r="D250" i="25"/>
  <c r="C244" i="25"/>
  <c r="D243" i="25"/>
  <c r="D242" i="25"/>
  <c r="C236" i="25"/>
  <c r="D235" i="25"/>
  <c r="D234" i="25"/>
  <c r="C228" i="25"/>
  <c r="D227" i="25"/>
  <c r="D226" i="25"/>
  <c r="C225" i="25"/>
  <c r="C223" i="25"/>
  <c r="C221" i="25"/>
  <c r="C219" i="25"/>
  <c r="C217" i="25"/>
  <c r="C215" i="25"/>
  <c r="C213" i="25"/>
  <c r="C211" i="25"/>
  <c r="C209" i="25"/>
  <c r="C207" i="25"/>
  <c r="C205" i="25"/>
  <c r="C203" i="25"/>
  <c r="C201" i="25"/>
  <c r="C199" i="25"/>
  <c r="C197" i="25"/>
  <c r="C195" i="25"/>
  <c r="C193" i="25"/>
  <c r="C191" i="25"/>
  <c r="C189" i="25"/>
  <c r="C187" i="25"/>
  <c r="C185" i="25"/>
  <c r="C183" i="25"/>
  <c r="C181" i="25"/>
  <c r="C179" i="25"/>
  <c r="C177" i="25"/>
  <c r="C175" i="25"/>
  <c r="C173" i="25"/>
  <c r="C171" i="25"/>
  <c r="C169" i="25"/>
  <c r="C167" i="25"/>
  <c r="C165" i="25"/>
  <c r="C163" i="25"/>
  <c r="C161" i="25"/>
  <c r="C159" i="25"/>
  <c r="C157" i="25"/>
  <c r="C155" i="25"/>
  <c r="C153" i="25"/>
  <c r="C151" i="25"/>
  <c r="C149" i="25"/>
  <c r="C147" i="25"/>
  <c r="C145" i="25"/>
  <c r="C143" i="25"/>
  <c r="C141" i="25"/>
  <c r="C139" i="25"/>
  <c r="C137" i="25"/>
  <c r="C135" i="25"/>
  <c r="C133" i="25"/>
  <c r="C131" i="25"/>
  <c r="C129" i="25"/>
  <c r="C127" i="25"/>
  <c r="C125" i="25"/>
  <c r="C123" i="25"/>
  <c r="C121" i="25"/>
  <c r="D372" i="25"/>
  <c r="D342" i="25"/>
  <c r="C329" i="25"/>
  <c r="C328" i="25"/>
  <c r="D310" i="25"/>
  <c r="C297" i="25"/>
  <c r="C296" i="25"/>
  <c r="D273" i="25"/>
  <c r="D265" i="25"/>
  <c r="D264" i="25"/>
  <c r="C258" i="25"/>
  <c r="D257" i="25"/>
  <c r="D256" i="25"/>
  <c r="C250" i="25"/>
  <c r="D249" i="25"/>
  <c r="D248" i="25"/>
  <c r="C242" i="25"/>
  <c r="D241" i="25"/>
  <c r="D240" i="25"/>
  <c r="C234" i="25"/>
  <c r="D233" i="25"/>
  <c r="D232" i="25"/>
  <c r="C226" i="25"/>
  <c r="D224" i="25"/>
  <c r="D222" i="25"/>
  <c r="D220" i="25"/>
  <c r="C344" i="25"/>
  <c r="D326" i="25"/>
  <c r="C313" i="25"/>
  <c r="C312" i="25"/>
  <c r="D294" i="25"/>
  <c r="C281" i="25"/>
  <c r="C280" i="25"/>
  <c r="D277" i="25"/>
  <c r="D269" i="25"/>
  <c r="C262" i="25"/>
  <c r="D261" i="25"/>
  <c r="D260" i="25"/>
  <c r="C254" i="25"/>
  <c r="D253" i="25"/>
  <c r="D252" i="25"/>
  <c r="C246" i="25"/>
  <c r="D245" i="25"/>
  <c r="D244" i="25"/>
  <c r="C238" i="25"/>
  <c r="D237" i="25"/>
  <c r="D236" i="25"/>
  <c r="C230" i="25"/>
  <c r="D229" i="25"/>
  <c r="D228" i="25"/>
  <c r="D225" i="25"/>
  <c r="D223" i="25"/>
  <c r="D221" i="25"/>
  <c r="D219" i="25"/>
  <c r="D217" i="25"/>
  <c r="D215" i="25"/>
  <c r="D213" i="25"/>
  <c r="D211" i="25"/>
  <c r="D209" i="25"/>
  <c r="D207" i="25"/>
  <c r="D205" i="25"/>
  <c r="D203" i="25"/>
  <c r="D201" i="25"/>
  <c r="D199" i="25"/>
  <c r="D197" i="25"/>
  <c r="D195" i="25"/>
  <c r="D193" i="25"/>
  <c r="D191" i="25"/>
  <c r="D189" i="25"/>
  <c r="D187" i="25"/>
  <c r="D185" i="25"/>
  <c r="D183" i="25"/>
  <c r="D181" i="25"/>
  <c r="D179" i="25"/>
  <c r="D177" i="25"/>
  <c r="D175" i="25"/>
  <c r="D173" i="25"/>
  <c r="D171" i="25"/>
  <c r="D169" i="25"/>
  <c r="D167" i="25"/>
  <c r="D165" i="25"/>
  <c r="D163" i="25"/>
  <c r="D161" i="25"/>
  <c r="D159" i="25"/>
  <c r="D157" i="25"/>
  <c r="D155" i="25"/>
  <c r="D153" i="25"/>
  <c r="D151" i="25"/>
  <c r="D149" i="25"/>
  <c r="D147" i="25"/>
  <c r="D145" i="25"/>
  <c r="D143" i="25"/>
  <c r="D141" i="25"/>
  <c r="D139" i="25"/>
  <c r="D137" i="25"/>
  <c r="D135" i="25"/>
  <c r="D133" i="25"/>
  <c r="D131" i="25"/>
  <c r="D129" i="25"/>
  <c r="D127" i="25"/>
  <c r="D125" i="25"/>
  <c r="D123" i="25"/>
  <c r="D121" i="25"/>
  <c r="D119" i="25"/>
  <c r="D117" i="25"/>
  <c r="D115" i="25"/>
  <c r="D113" i="25"/>
  <c r="D111" i="25"/>
  <c r="D109" i="25"/>
  <c r="D107" i="25"/>
  <c r="D105" i="25"/>
  <c r="D103" i="25"/>
  <c r="D101" i="25"/>
  <c r="D99" i="25"/>
  <c r="D97" i="25"/>
  <c r="D95" i="25"/>
  <c r="D93" i="25"/>
  <c r="D91" i="25"/>
  <c r="D89" i="25"/>
  <c r="D87" i="25"/>
  <c r="D85" i="25"/>
  <c r="D83" i="25"/>
  <c r="D81" i="25"/>
  <c r="D79" i="25"/>
  <c r="D77" i="25"/>
  <c r="D75" i="25"/>
  <c r="D73" i="25"/>
  <c r="D71" i="25"/>
  <c r="D69" i="25"/>
  <c r="D67" i="25"/>
  <c r="D65" i="25"/>
  <c r="D63" i="25"/>
  <c r="D61" i="25"/>
  <c r="D59" i="25"/>
  <c r="D57" i="25"/>
  <c r="D55" i="25"/>
  <c r="D53" i="25"/>
  <c r="D51" i="25"/>
  <c r="D49" i="25"/>
  <c r="D47" i="25"/>
  <c r="D45" i="25"/>
  <c r="D43" i="25"/>
  <c r="D41" i="25"/>
  <c r="D39" i="25"/>
  <c r="D37" i="25"/>
  <c r="D35" i="25"/>
  <c r="D33" i="25"/>
  <c r="D31" i="25"/>
  <c r="D29" i="25"/>
  <c r="D376" i="25"/>
  <c r="C289" i="25"/>
  <c r="D275" i="25"/>
  <c r="D262" i="25"/>
  <c r="C256" i="25"/>
  <c r="D255" i="25"/>
  <c r="D230" i="25"/>
  <c r="C224" i="25"/>
  <c r="D218" i="25"/>
  <c r="D214" i="25"/>
  <c r="D210" i="25"/>
  <c r="D206" i="25"/>
  <c r="D202" i="25"/>
  <c r="D198" i="25"/>
  <c r="D194" i="25"/>
  <c r="D190" i="25"/>
  <c r="D186" i="25"/>
  <c r="D182" i="25"/>
  <c r="D178" i="25"/>
  <c r="D174" i="25"/>
  <c r="D170" i="25"/>
  <c r="D166" i="25"/>
  <c r="D162" i="25"/>
  <c r="D158" i="25"/>
  <c r="D154" i="25"/>
  <c r="D150" i="25"/>
  <c r="D146" i="25"/>
  <c r="D142" i="25"/>
  <c r="D138" i="25"/>
  <c r="D134" i="25"/>
  <c r="D130" i="25"/>
  <c r="D126" i="25"/>
  <c r="D122" i="25"/>
  <c r="C115" i="25"/>
  <c r="C114" i="25"/>
  <c r="D112" i="25"/>
  <c r="C107" i="25"/>
  <c r="C106" i="25"/>
  <c r="D104" i="25"/>
  <c r="C99" i="25"/>
  <c r="C98" i="25"/>
  <c r="D96" i="25"/>
  <c r="C91" i="25"/>
  <c r="C90" i="25"/>
  <c r="D88" i="25"/>
  <c r="C83" i="25"/>
  <c r="C82" i="25"/>
  <c r="D80" i="25"/>
  <c r="C75" i="25"/>
  <c r="C74" i="25"/>
  <c r="D72" i="25"/>
  <c r="C67" i="25"/>
  <c r="C66" i="25"/>
  <c r="D64" i="25"/>
  <c r="C59" i="25"/>
  <c r="C50" i="25"/>
  <c r="D48" i="25"/>
  <c r="C27" i="25"/>
  <c r="C320" i="25"/>
  <c r="D254" i="25"/>
  <c r="C248" i="25"/>
  <c r="D247" i="25"/>
  <c r="C218" i="25"/>
  <c r="C214" i="25"/>
  <c r="C210" i="25"/>
  <c r="C206" i="25"/>
  <c r="C202" i="25"/>
  <c r="C198" i="25"/>
  <c r="C194" i="25"/>
  <c r="C190" i="25"/>
  <c r="C186" i="25"/>
  <c r="C182" i="25"/>
  <c r="C178" i="25"/>
  <c r="C174" i="25"/>
  <c r="C170" i="25"/>
  <c r="C166" i="25"/>
  <c r="C162" i="25"/>
  <c r="C158" i="25"/>
  <c r="C154" i="25"/>
  <c r="C150" i="25"/>
  <c r="C146" i="25"/>
  <c r="C142" i="25"/>
  <c r="C138" i="25"/>
  <c r="C134" i="25"/>
  <c r="C130" i="25"/>
  <c r="C126" i="25"/>
  <c r="C122" i="25"/>
  <c r="D118" i="25"/>
  <c r="C113" i="25"/>
  <c r="C112" i="25"/>
  <c r="D110" i="25"/>
  <c r="C105" i="25"/>
  <c r="C104" i="25"/>
  <c r="D102" i="25"/>
  <c r="C97" i="25"/>
  <c r="C96" i="25"/>
  <c r="D94" i="25"/>
  <c r="C89" i="25"/>
  <c r="C88" i="25"/>
  <c r="D86" i="25"/>
  <c r="C81" i="25"/>
  <c r="C80" i="25"/>
  <c r="D78" i="25"/>
  <c r="C73" i="25"/>
  <c r="C72" i="25"/>
  <c r="D70" i="25"/>
  <c r="C65" i="25"/>
  <c r="C64" i="25"/>
  <c r="D62" i="25"/>
  <c r="C57" i="25"/>
  <c r="C56" i="25"/>
  <c r="D54" i="25"/>
  <c r="C49" i="25"/>
  <c r="C48" i="25"/>
  <c r="D46" i="25"/>
  <c r="C41" i="25"/>
  <c r="C40" i="25"/>
  <c r="C395" i="25"/>
  <c r="C321" i="25"/>
  <c r="D302" i="25"/>
  <c r="D267" i="25"/>
  <c r="C264" i="25"/>
  <c r="D263" i="25"/>
  <c r="D238" i="25"/>
  <c r="C232" i="25"/>
  <c r="D231" i="25"/>
  <c r="C222" i="25"/>
  <c r="C216" i="25"/>
  <c r="C212" i="25"/>
  <c r="C208" i="25"/>
  <c r="C204" i="25"/>
  <c r="C200" i="25"/>
  <c r="C196" i="25"/>
  <c r="C192" i="25"/>
  <c r="C188" i="25"/>
  <c r="C184" i="25"/>
  <c r="C180" i="25"/>
  <c r="C176" i="25"/>
  <c r="C172" i="25"/>
  <c r="C168" i="25"/>
  <c r="C164" i="25"/>
  <c r="C160" i="25"/>
  <c r="C156" i="25"/>
  <c r="C152" i="25"/>
  <c r="C148" i="25"/>
  <c r="C144" i="25"/>
  <c r="C140" i="25"/>
  <c r="C136" i="25"/>
  <c r="C132" i="25"/>
  <c r="C128" i="25"/>
  <c r="C124" i="25"/>
  <c r="C120" i="25"/>
  <c r="C117" i="25"/>
  <c r="C116" i="25"/>
  <c r="D114" i="25"/>
  <c r="C109" i="25"/>
  <c r="C108" i="25"/>
  <c r="D106" i="25"/>
  <c r="C101" i="25"/>
  <c r="C100" i="25"/>
  <c r="D98" i="25"/>
  <c r="C93" i="25"/>
  <c r="C92" i="25"/>
  <c r="D90" i="25"/>
  <c r="C85" i="25"/>
  <c r="C84" i="25"/>
  <c r="D82" i="25"/>
  <c r="C77" i="25"/>
  <c r="C76" i="25"/>
  <c r="D74" i="25"/>
  <c r="C69" i="25"/>
  <c r="C68" i="25"/>
  <c r="D66" i="25"/>
  <c r="C61" i="25"/>
  <c r="C60" i="25"/>
  <c r="D58" i="25"/>
  <c r="C53" i="25"/>
  <c r="C52" i="25"/>
  <c r="D50" i="25"/>
  <c r="C45" i="25"/>
  <c r="C44" i="25"/>
  <c r="D42" i="25"/>
  <c r="C37" i="25"/>
  <c r="C36" i="25"/>
  <c r="D34" i="25"/>
  <c r="C29" i="25"/>
  <c r="D27" i="25"/>
  <c r="D25" i="25"/>
  <c r="D23" i="25"/>
  <c r="D21" i="25"/>
  <c r="D19" i="25"/>
  <c r="D17" i="25"/>
  <c r="D15" i="25"/>
  <c r="D13" i="25"/>
  <c r="C58" i="25"/>
  <c r="D56" i="25"/>
  <c r="C51" i="25"/>
  <c r="C43" i="25"/>
  <c r="C42" i="25"/>
  <c r="D40" i="25"/>
  <c r="C35" i="25"/>
  <c r="C34" i="25"/>
  <c r="D32" i="25"/>
  <c r="D334" i="25"/>
  <c r="D216" i="25"/>
  <c r="D200" i="25"/>
  <c r="D184" i="25"/>
  <c r="D168" i="25"/>
  <c r="D152" i="25"/>
  <c r="D136" i="25"/>
  <c r="D120" i="25"/>
  <c r="C119" i="25"/>
  <c r="C118" i="25"/>
  <c r="D100" i="25"/>
  <c r="C87" i="25"/>
  <c r="C86" i="25"/>
  <c r="D68" i="25"/>
  <c r="C55" i="25"/>
  <c r="C54" i="25"/>
  <c r="D36" i="25"/>
  <c r="C30" i="25"/>
  <c r="C26" i="25"/>
  <c r="C25" i="25"/>
  <c r="C24" i="25"/>
  <c r="D22" i="25"/>
  <c r="D14" i="25"/>
  <c r="D128" i="25"/>
  <c r="D116" i="25"/>
  <c r="D84" i="25"/>
  <c r="C70" i="25"/>
  <c r="C38" i="25"/>
  <c r="C13" i="25"/>
  <c r="D246" i="25"/>
  <c r="C240" i="25"/>
  <c r="D204" i="25"/>
  <c r="D188" i="25"/>
  <c r="D172" i="25"/>
  <c r="D156" i="25"/>
  <c r="D140" i="25"/>
  <c r="D124" i="25"/>
  <c r="C111" i="25"/>
  <c r="C110" i="25"/>
  <c r="D92" i="25"/>
  <c r="C79" i="25"/>
  <c r="C78" i="25"/>
  <c r="D60" i="25"/>
  <c r="C47" i="25"/>
  <c r="C46" i="25"/>
  <c r="C39" i="25"/>
  <c r="D38" i="25"/>
  <c r="D28" i="25"/>
  <c r="C23" i="25"/>
  <c r="C22" i="25"/>
  <c r="D20" i="25"/>
  <c r="C15" i="25"/>
  <c r="C288" i="25"/>
  <c r="C220" i="25"/>
  <c r="D192" i="25"/>
  <c r="D176" i="25"/>
  <c r="D160" i="25"/>
  <c r="D144" i="25"/>
  <c r="C103" i="25"/>
  <c r="C71" i="25"/>
  <c r="C21" i="25"/>
  <c r="C20" i="25"/>
  <c r="D18" i="25"/>
  <c r="D239" i="25"/>
  <c r="D212" i="25"/>
  <c r="D196" i="25"/>
  <c r="D180" i="25"/>
  <c r="D164" i="25"/>
  <c r="D148" i="25"/>
  <c r="D132" i="25"/>
  <c r="D108" i="25"/>
  <c r="C95" i="25"/>
  <c r="C94" i="25"/>
  <c r="D76" i="25"/>
  <c r="C63" i="25"/>
  <c r="C62" i="25"/>
  <c r="D44" i="25"/>
  <c r="C33" i="25"/>
  <c r="C31" i="25"/>
  <c r="D30" i="25"/>
  <c r="D26" i="25"/>
  <c r="D24" i="25"/>
  <c r="C19" i="25"/>
  <c r="C18" i="25"/>
  <c r="D16" i="25"/>
  <c r="C17" i="25"/>
  <c r="C16" i="25"/>
  <c r="C14" i="25"/>
  <c r="D208" i="25"/>
  <c r="C102" i="25"/>
  <c r="D52" i="25"/>
  <c r="C32" i="25"/>
  <c r="C28" i="25"/>
  <c r="C626" i="25"/>
  <c r="AA626" i="25" s="1"/>
  <c r="E636" i="25" s="1"/>
  <c r="D626" i="25"/>
  <c r="AB626" i="25" s="1"/>
  <c r="C628" i="25"/>
  <c r="D628" i="25"/>
  <c r="C623" i="25"/>
  <c r="D623" i="25"/>
  <c r="AT64" i="23"/>
  <c r="AV64" i="23" s="1"/>
  <c r="AZ64" i="23" s="1"/>
  <c r="BB100" i="23"/>
  <c r="BC38" i="23"/>
  <c r="AW38" i="23" s="1"/>
  <c r="AT76" i="23"/>
  <c r="AV76" i="23" s="1"/>
  <c r="AZ76" i="23" s="1"/>
  <c r="BB61" i="23"/>
  <c r="BB64" i="23"/>
  <c r="U10" i="21"/>
  <c r="AT38" i="23"/>
  <c r="AV38" i="23" s="1"/>
  <c r="AZ38" i="23" s="1"/>
  <c r="BB107" i="23"/>
  <c r="BB80" i="23"/>
  <c r="AT78" i="23"/>
  <c r="AV78" i="23" s="1"/>
  <c r="AZ78" i="23" s="1"/>
  <c r="AT68" i="23"/>
  <c r="AV68" i="23" s="1"/>
  <c r="AZ68" i="23" s="1"/>
  <c r="BB43" i="23"/>
  <c r="BB78" i="23"/>
  <c r="BB29" i="23"/>
  <c r="BB95" i="23"/>
  <c r="AT96" i="23"/>
  <c r="AV96" i="23" s="1"/>
  <c r="AZ96" i="23" s="1"/>
  <c r="AT95" i="23"/>
  <c r="AV95" i="23" s="1"/>
  <c r="AZ95" i="23" s="1"/>
  <c r="AT32" i="23"/>
  <c r="AV32" i="23" s="1"/>
  <c r="AZ32" i="23" s="1"/>
  <c r="BB93" i="23"/>
  <c r="BC107" i="23"/>
  <c r="AW107" i="23" s="1"/>
  <c r="BB62" i="23"/>
  <c r="BB79" i="23"/>
  <c r="AT84" i="23"/>
  <c r="AV84" i="23" s="1"/>
  <c r="AZ84" i="23" s="1"/>
  <c r="BC26" i="23"/>
  <c r="AW26" i="23" s="1"/>
  <c r="AT100" i="23"/>
  <c r="AV100" i="23" s="1"/>
  <c r="AZ100" i="23" s="1"/>
  <c r="BC93" i="23"/>
  <c r="AW93" i="23" s="1"/>
  <c r="AT22" i="23"/>
  <c r="AV22" i="23" s="1"/>
  <c r="AZ22" i="23" s="1"/>
  <c r="BB21" i="23"/>
  <c r="AT26" i="23"/>
  <c r="AV26" i="23" s="1"/>
  <c r="AZ26" i="23" s="1"/>
  <c r="BB105" i="23"/>
  <c r="AT79" i="23"/>
  <c r="AV79" i="23" s="1"/>
  <c r="AZ79" i="23" s="1"/>
  <c r="BB91" i="23"/>
  <c r="AT43" i="23"/>
  <c r="AV43" i="23" s="1"/>
  <c r="AZ43" i="23" s="1"/>
  <c r="BC29" i="23"/>
  <c r="AW29" i="23" s="1"/>
  <c r="AT90" i="23"/>
  <c r="AV90" i="23" s="1"/>
  <c r="AZ90" i="23" s="1"/>
  <c r="AT74" i="23"/>
  <c r="AV74" i="23" s="1"/>
  <c r="AZ74" i="23" s="1"/>
  <c r="BB90" i="23"/>
  <c r="BB17" i="23"/>
  <c r="BB59" i="23"/>
  <c r="AT89" i="23"/>
  <c r="AV89" i="23" s="1"/>
  <c r="AZ89" i="23" s="1"/>
  <c r="BC24" i="23"/>
  <c r="AW24" i="23" s="1"/>
  <c r="BC17" i="23"/>
  <c r="AW17" i="23" s="1"/>
  <c r="AT59" i="23"/>
  <c r="AV59" i="23" s="1"/>
  <c r="H3" i="23" s="1"/>
  <c r="AT77" i="23"/>
  <c r="AV77" i="23" s="1"/>
  <c r="AZ77" i="23" s="1"/>
  <c r="AT61" i="23"/>
  <c r="AV61" i="23" s="1"/>
  <c r="AZ61" i="23" s="1"/>
  <c r="AT10" i="23"/>
  <c r="AV10" i="23" s="1"/>
  <c r="AZ10" i="23" s="1"/>
  <c r="BB74" i="23"/>
  <c r="BB35" i="23"/>
  <c r="AT60" i="23"/>
  <c r="AV60" i="23" s="1"/>
  <c r="AZ60" i="23" s="1"/>
  <c r="AT50" i="23"/>
  <c r="AV50" i="23" s="1"/>
  <c r="AZ50" i="23" s="1"/>
  <c r="AT39" i="23"/>
  <c r="AV39" i="23" s="1"/>
  <c r="AZ39" i="23" s="1"/>
  <c r="AT54" i="23"/>
  <c r="AV54" i="23" s="1"/>
  <c r="AZ54" i="23" s="1"/>
  <c r="AT75" i="23"/>
  <c r="AV75" i="23" s="1"/>
  <c r="AZ75" i="23" s="1"/>
  <c r="BB75" i="23"/>
  <c r="AT94" i="23"/>
  <c r="AV94" i="23" s="1"/>
  <c r="AZ94" i="23" s="1"/>
  <c r="AT31" i="23"/>
  <c r="AV31" i="23" s="1"/>
  <c r="AZ31" i="23" s="1"/>
  <c r="AT16" i="23"/>
  <c r="AV16" i="23" s="1"/>
  <c r="AZ16" i="23" s="1"/>
  <c r="BB37" i="23"/>
  <c r="AT30" i="23"/>
  <c r="AV30" i="23" s="1"/>
  <c r="AZ30" i="23" s="1"/>
  <c r="BB19" i="23"/>
  <c r="BB54" i="23"/>
  <c r="BB32" i="23"/>
  <c r="BB30" i="23"/>
  <c r="BB94" i="23"/>
  <c r="BB108" i="23"/>
  <c r="AT102" i="23"/>
  <c r="AV102" i="23" s="1"/>
  <c r="AZ102" i="23" s="1"/>
  <c r="AT98" i="23"/>
  <c r="AV98" i="23" s="1"/>
  <c r="AZ98" i="23" s="1"/>
  <c r="AT21" i="23"/>
  <c r="AV21" i="23" s="1"/>
  <c r="AZ21" i="23" s="1"/>
  <c r="AT12" i="23"/>
  <c r="AV12" i="23" s="1"/>
  <c r="AZ12" i="23" s="1"/>
  <c r="AT103" i="23"/>
  <c r="AV103" i="23" s="1"/>
  <c r="AZ103" i="23" s="1"/>
  <c r="BB50" i="23"/>
  <c r="AT19" i="23"/>
  <c r="AV19" i="23" s="1"/>
  <c r="AZ19" i="23" s="1"/>
  <c r="AT66" i="23"/>
  <c r="AV66" i="23" s="1"/>
  <c r="AZ66" i="23" s="1"/>
  <c r="BB46" i="23"/>
  <c r="AT37" i="23"/>
  <c r="AV37" i="23" s="1"/>
  <c r="AZ37" i="23" s="1"/>
  <c r="BB86" i="23"/>
  <c r="BB71" i="23"/>
  <c r="BB102" i="23"/>
  <c r="AT67" i="23"/>
  <c r="AV67" i="23" s="1"/>
  <c r="AZ67" i="23" s="1"/>
  <c r="AT46" i="23"/>
  <c r="AV46" i="23" s="1"/>
  <c r="AZ46" i="23" s="1"/>
  <c r="AT86" i="23"/>
  <c r="AV86" i="23" s="1"/>
  <c r="AZ86" i="23" s="1"/>
  <c r="AT70" i="23"/>
  <c r="AV70" i="23" s="1"/>
  <c r="AZ70" i="23" s="1"/>
  <c r="BB70" i="23"/>
  <c r="BB88" i="23"/>
  <c r="BC34" i="23"/>
  <c r="AW34" i="23" s="1"/>
  <c r="AT99" i="23"/>
  <c r="AV99" i="23" s="1"/>
  <c r="AZ99" i="23" s="1"/>
  <c r="BB12" i="23"/>
  <c r="AT34" i="23"/>
  <c r="AV34" i="23" s="1"/>
  <c r="AZ34" i="23" s="1"/>
  <c r="BC99" i="23"/>
  <c r="AW99" i="23" s="1"/>
  <c r="AT88" i="23"/>
  <c r="AV88" i="23" s="1"/>
  <c r="AZ88" i="23" s="1"/>
  <c r="AT18" i="23"/>
  <c r="AV18" i="23" s="1"/>
  <c r="AZ18" i="23" s="1"/>
  <c r="BB22" i="23"/>
  <c r="BB96" i="23"/>
  <c r="BB18" i="23"/>
  <c r="BC105" i="23"/>
  <c r="AW105" i="23" s="1"/>
  <c r="BC16" i="23"/>
  <c r="AW16" i="23" s="1"/>
  <c r="BC66" i="23"/>
  <c r="AW66" i="23" s="1"/>
  <c r="BC71" i="23"/>
  <c r="AW71" i="23" s="1"/>
  <c r="BC68" i="23"/>
  <c r="AW68" i="23" s="1"/>
  <c r="AT36" i="23"/>
  <c r="AV36" i="23" s="1"/>
  <c r="AZ36" i="23" s="1"/>
  <c r="AT82" i="23"/>
  <c r="AV82" i="23" s="1"/>
  <c r="AZ82" i="23" s="1"/>
  <c r="BB101" i="23"/>
  <c r="BB98" i="23"/>
  <c r="BB84" i="23"/>
  <c r="BB97" i="23"/>
  <c r="BB47" i="23"/>
  <c r="BB89" i="23"/>
  <c r="BB31" i="23"/>
  <c r="BB10" i="23"/>
  <c r="AT91" i="23"/>
  <c r="AV91" i="23" s="1"/>
  <c r="AZ91" i="23" s="1"/>
  <c r="AT47" i="23"/>
  <c r="AV47" i="23" s="1"/>
  <c r="AZ47" i="23" s="1"/>
  <c r="BC108" i="23"/>
  <c r="AW108" i="23" s="1"/>
  <c r="BC36" i="23"/>
  <c r="AW36" i="23" s="1"/>
  <c r="BC103" i="23"/>
  <c r="AW103" i="23" s="1"/>
  <c r="AT62" i="23"/>
  <c r="AV62" i="23" s="1"/>
  <c r="AZ62" i="23" s="1"/>
  <c r="BC67" i="23"/>
  <c r="AW67" i="23" s="1"/>
  <c r="BC101" i="23"/>
  <c r="AW101" i="23" s="1"/>
  <c r="BC57" i="23"/>
  <c r="AW57" i="23" s="1"/>
  <c r="BC80" i="23"/>
  <c r="AW80" i="23" s="1"/>
  <c r="AT33" i="23"/>
  <c r="AV33" i="23" s="1"/>
  <c r="AZ33" i="23" s="1"/>
  <c r="AT14" i="23"/>
  <c r="AV14" i="23" s="1"/>
  <c r="AZ14" i="23" s="1"/>
  <c r="BB14" i="23"/>
  <c r="BB83" i="23"/>
  <c r="BB60" i="23"/>
  <c r="BC33" i="23"/>
  <c r="AW33" i="23" s="1"/>
  <c r="AT83" i="23"/>
  <c r="AV83" i="23" s="1"/>
  <c r="AZ83" i="23" s="1"/>
  <c r="BC39" i="23"/>
  <c r="AW39" i="23" s="1"/>
  <c r="BB44" i="23"/>
  <c r="BB82" i="23"/>
  <c r="AT24" i="23"/>
  <c r="AV24" i="23" s="1"/>
  <c r="AZ24" i="23" s="1"/>
  <c r="BB57" i="23"/>
  <c r="BC97" i="23"/>
  <c r="AW97" i="23" s="1"/>
  <c r="BB77" i="23"/>
  <c r="AZ109" i="23"/>
  <c r="H4" i="23"/>
  <c r="BA50" i="21"/>
  <c r="BC90" i="21"/>
  <c r="AW90" i="21" s="1"/>
  <c r="BB90" i="21"/>
  <c r="BC32" i="21"/>
  <c r="AW32" i="21" s="1"/>
  <c r="BB32" i="21"/>
  <c r="BC17" i="21"/>
  <c r="AW17" i="21" s="1"/>
  <c r="BB17" i="21"/>
  <c r="BC94" i="21"/>
  <c r="AW94" i="21" s="1"/>
  <c r="BB94" i="21"/>
  <c r="BA41" i="21"/>
  <c r="BA54" i="21"/>
  <c r="BA36" i="21"/>
  <c r="BA81" i="21"/>
  <c r="BA83" i="21"/>
  <c r="BC43" i="21"/>
  <c r="AW43" i="21" s="1"/>
  <c r="BB43" i="21"/>
  <c r="BC45" i="21"/>
  <c r="AW45" i="21" s="1"/>
  <c r="BB45" i="21"/>
  <c r="BC13" i="21"/>
  <c r="AW13" i="21" s="1"/>
  <c r="BB13" i="21"/>
  <c r="BC33" i="21"/>
  <c r="AW33" i="21" s="1"/>
  <c r="BB33" i="21"/>
  <c r="BC92" i="21"/>
  <c r="AW92" i="21" s="1"/>
  <c r="BB92" i="21"/>
  <c r="BB108" i="21"/>
  <c r="BC108" i="21"/>
  <c r="AW108" i="21" s="1"/>
  <c r="BC78" i="21"/>
  <c r="AW78" i="21" s="1"/>
  <c r="BB78" i="21"/>
  <c r="BC23" i="21"/>
  <c r="AW23" i="21" s="1"/>
  <c r="BB23" i="21"/>
  <c r="BB95" i="21"/>
  <c r="BC95" i="21"/>
  <c r="AW95" i="21" s="1"/>
  <c r="BC71" i="21"/>
  <c r="AW71" i="21" s="1"/>
  <c r="BB71" i="21"/>
  <c r="BC31" i="21"/>
  <c r="AW31" i="21" s="1"/>
  <c r="BB31" i="21"/>
  <c r="BC51" i="21"/>
  <c r="AW51" i="21" s="1"/>
  <c r="BB51" i="21"/>
  <c r="BB106" i="21"/>
  <c r="BC106" i="21"/>
  <c r="AW106" i="21" s="1"/>
  <c r="BC68" i="21"/>
  <c r="AW68" i="21" s="1"/>
  <c r="BB68" i="21"/>
  <c r="BC73" i="21"/>
  <c r="AW73" i="21" s="1"/>
  <c r="BB73" i="21"/>
  <c r="BA90" i="21"/>
  <c r="BA97" i="21"/>
  <c r="BA72" i="21"/>
  <c r="BC70" i="21"/>
  <c r="AW70" i="21" s="1"/>
  <c r="BB70" i="21"/>
  <c r="BA9" i="21"/>
  <c r="BC74" i="21"/>
  <c r="AW74" i="21" s="1"/>
  <c r="BB74" i="21"/>
  <c r="BA22" i="21"/>
  <c r="BA47" i="21"/>
  <c r="BC55" i="21"/>
  <c r="AW55" i="21" s="1"/>
  <c r="BB55" i="21"/>
  <c r="BC76" i="21"/>
  <c r="AW76" i="21" s="1"/>
  <c r="BB76" i="21"/>
  <c r="BC86" i="21"/>
  <c r="AW86" i="21" s="1"/>
  <c r="BB86" i="21"/>
  <c r="BC63" i="21"/>
  <c r="AW63" i="21" s="1"/>
  <c r="BB63" i="21"/>
  <c r="BB109" i="21"/>
  <c r="BC109" i="21"/>
  <c r="AW109" i="21" s="1"/>
  <c r="BC77" i="21"/>
  <c r="AW77" i="21" s="1"/>
  <c r="BB77" i="21"/>
  <c r="BA52" i="21"/>
  <c r="BC26" i="21"/>
  <c r="AW26" i="21" s="1"/>
  <c r="BB26" i="21"/>
  <c r="BC29" i="21"/>
  <c r="AW29" i="21" s="1"/>
  <c r="BB29" i="21"/>
  <c r="BC84" i="21"/>
  <c r="AW84" i="21" s="1"/>
  <c r="BB84" i="21"/>
  <c r="BB99" i="21"/>
  <c r="BC99" i="21"/>
  <c r="AW99" i="21" s="1"/>
  <c r="BC35" i="21"/>
  <c r="AW35" i="21" s="1"/>
  <c r="BB35" i="21"/>
  <c r="BC20" i="21"/>
  <c r="AW20" i="21" s="1"/>
  <c r="BB20" i="21"/>
  <c r="BC49" i="21"/>
  <c r="AW49" i="21" s="1"/>
  <c r="BB49" i="21"/>
  <c r="BA93" i="21"/>
  <c r="BC81" i="21"/>
  <c r="AW81" i="21" s="1"/>
  <c r="BB81" i="21"/>
  <c r="BA58" i="21"/>
  <c r="AV58" i="21"/>
  <c r="AZ58" i="21" s="1"/>
  <c r="BA44" i="21"/>
  <c r="BC36" i="21"/>
  <c r="AW36" i="21" s="1"/>
  <c r="BB36" i="21"/>
  <c r="BA74" i="21"/>
  <c r="BC66" i="21"/>
  <c r="AW66" i="21" s="1"/>
  <c r="BB66" i="21"/>
  <c r="BA68" i="21"/>
  <c r="BA84" i="21"/>
  <c r="AV84" i="21"/>
  <c r="AZ84" i="21" s="1"/>
  <c r="BA82" i="21"/>
  <c r="BC93" i="21"/>
  <c r="AW93" i="21" s="1"/>
  <c r="BB93" i="21"/>
  <c r="BB97" i="21"/>
  <c r="BC97" i="21"/>
  <c r="AW97" i="21" s="1"/>
  <c r="BC11" i="21"/>
  <c r="AW11" i="21" s="1"/>
  <c r="BB11" i="21"/>
  <c r="BC15" i="21"/>
  <c r="AW15" i="21" s="1"/>
  <c r="BB15" i="21"/>
  <c r="BC101" i="21"/>
  <c r="AW101" i="21" s="1"/>
  <c r="BB101" i="21"/>
  <c r="BA46" i="21"/>
  <c r="BC56" i="21"/>
  <c r="AW56" i="21" s="1"/>
  <c r="BB56" i="21"/>
  <c r="BC40" i="21"/>
  <c r="AW40" i="21" s="1"/>
  <c r="BB40" i="21"/>
  <c r="BC54" i="21"/>
  <c r="AW54" i="21" s="1"/>
  <c r="BB54" i="21"/>
  <c r="BA48" i="21"/>
  <c r="BA42" i="21"/>
  <c r="BA38" i="21"/>
  <c r="BA49" i="21"/>
  <c r="BA106" i="21"/>
  <c r="BC82" i="21"/>
  <c r="AW82" i="21" s="1"/>
  <c r="BB82" i="21"/>
  <c r="BC64" i="21"/>
  <c r="AW64" i="21" s="1"/>
  <c r="BB64" i="21"/>
  <c r="BC16" i="21"/>
  <c r="AW16" i="21" s="1"/>
  <c r="BB16" i="21"/>
  <c r="BC88" i="21"/>
  <c r="AW88" i="21" s="1"/>
  <c r="BB88" i="21"/>
  <c r="BC61" i="21"/>
  <c r="AW61" i="21" s="1"/>
  <c r="BB61" i="21"/>
  <c r="BC19" i="21"/>
  <c r="AW19" i="21" s="1"/>
  <c r="BB19" i="21"/>
  <c r="BC59" i="21"/>
  <c r="AW59" i="21" s="1"/>
  <c r="BB59" i="21"/>
  <c r="BA21" i="21"/>
  <c r="BB100" i="21"/>
  <c r="BC100" i="21"/>
  <c r="AW100" i="21" s="1"/>
  <c r="BC79" i="21"/>
  <c r="AW79" i="21" s="1"/>
  <c r="BB79" i="21"/>
  <c r="BC42" i="21"/>
  <c r="AW42" i="21" s="1"/>
  <c r="BB42" i="21"/>
  <c r="BB103" i="21"/>
  <c r="BC103" i="21"/>
  <c r="AW103" i="21" s="1"/>
  <c r="BC50" i="21"/>
  <c r="AW50" i="21" s="1"/>
  <c r="BB50" i="21"/>
  <c r="BC25" i="21"/>
  <c r="AW25" i="21" s="1"/>
  <c r="BB25" i="21"/>
  <c r="BB98" i="21"/>
  <c r="BC98" i="21"/>
  <c r="AW98" i="21" s="1"/>
  <c r="BC39" i="21"/>
  <c r="AW39" i="21" s="1"/>
  <c r="BB39" i="21"/>
  <c r="BC48" i="21"/>
  <c r="AW48" i="21" s="1"/>
  <c r="BB48" i="21"/>
  <c r="BC27" i="21"/>
  <c r="AW27" i="21" s="1"/>
  <c r="BB27" i="21"/>
  <c r="BA30" i="21"/>
  <c r="BA24" i="21"/>
  <c r="BA62" i="21"/>
  <c r="BC67" i="21"/>
  <c r="AW67" i="21" s="1"/>
  <c r="BB67" i="21"/>
  <c r="BA94" i="21"/>
  <c r="AV94" i="21"/>
  <c r="AZ94" i="21" s="1"/>
  <c r="BA105" i="21"/>
  <c r="BC85" i="21"/>
  <c r="AW85" i="21" s="1"/>
  <c r="BB85" i="21"/>
  <c r="BA70" i="21"/>
  <c r="AV70" i="21"/>
  <c r="AZ70" i="21" s="1"/>
  <c r="BA63" i="21"/>
  <c r="BA14" i="21"/>
  <c r="BC53" i="21"/>
  <c r="AW53" i="21" s="1"/>
  <c r="BB53" i="21"/>
  <c r="BC58" i="21"/>
  <c r="AW58" i="21" s="1"/>
  <c r="BB58" i="21"/>
  <c r="BA11" i="21"/>
  <c r="BC69" i="21"/>
  <c r="AW69" i="21" s="1"/>
  <c r="BB69" i="21"/>
  <c r="BC24" i="21"/>
  <c r="AW24" i="21" s="1"/>
  <c r="BB24" i="21"/>
  <c r="BC75" i="21"/>
  <c r="AW75" i="21" s="1"/>
  <c r="BB75" i="21"/>
  <c r="BA67" i="21"/>
  <c r="BC14" i="21"/>
  <c r="AW14" i="21" s="1"/>
  <c r="BB14" i="21"/>
  <c r="BC30" i="21"/>
  <c r="AW30" i="21" s="1"/>
  <c r="BB30" i="21"/>
  <c r="BA51" i="21"/>
  <c r="BC65" i="21"/>
  <c r="AW65" i="21" s="1"/>
  <c r="BB65" i="21"/>
  <c r="BB96" i="21"/>
  <c r="BC96" i="21"/>
  <c r="AW96" i="21" s="1"/>
  <c r="BC41" i="21"/>
  <c r="AW41" i="21" s="1"/>
  <c r="BB41" i="21"/>
  <c r="BA40" i="21"/>
  <c r="BA56" i="21"/>
  <c r="BA35" i="21"/>
  <c r="BA45" i="21"/>
  <c r="BC57" i="21"/>
  <c r="AW57" i="21" s="1"/>
  <c r="BB57" i="21"/>
  <c r="BC52" i="21"/>
  <c r="AW52" i="21" s="1"/>
  <c r="BB52" i="21"/>
  <c r="BC60" i="21"/>
  <c r="AW60" i="21" s="1"/>
  <c r="BB60" i="21"/>
  <c r="BC12" i="21"/>
  <c r="AW12" i="21" s="1"/>
  <c r="BB12" i="21"/>
  <c r="BC80" i="21"/>
  <c r="AW80" i="21" s="1"/>
  <c r="BB80" i="21"/>
  <c r="BC38" i="21"/>
  <c r="AW38" i="21" s="1"/>
  <c r="BB38" i="21"/>
  <c r="BC46" i="21"/>
  <c r="AW46" i="21" s="1"/>
  <c r="BB46" i="21"/>
  <c r="BB104" i="21"/>
  <c r="BC104" i="21"/>
  <c r="AW104" i="21" s="1"/>
  <c r="BC28" i="21"/>
  <c r="AW28" i="21" s="1"/>
  <c r="BB28" i="21"/>
  <c r="BC37" i="21"/>
  <c r="AW37" i="21" s="1"/>
  <c r="BB37" i="21"/>
  <c r="BC91" i="21"/>
  <c r="AW91" i="21" s="1"/>
  <c r="BB91" i="21"/>
  <c r="BB107" i="21"/>
  <c r="BC107" i="21"/>
  <c r="AW107" i="21" s="1"/>
  <c r="BC34" i="21"/>
  <c r="AW34" i="21" s="1"/>
  <c r="BB34" i="21"/>
  <c r="BC18" i="21"/>
  <c r="AW18" i="21" s="1"/>
  <c r="BB18" i="21"/>
  <c r="BB102" i="21"/>
  <c r="BC102" i="21"/>
  <c r="AW102" i="21" s="1"/>
  <c r="BC72" i="21"/>
  <c r="AW72" i="21" s="1"/>
  <c r="BB72" i="21"/>
  <c r="BC10" i="21"/>
  <c r="AW10" i="21" s="1"/>
  <c r="BB10" i="21"/>
  <c r="BC87" i="21"/>
  <c r="AW87" i="21" s="1"/>
  <c r="BB87" i="21"/>
  <c r="BA57" i="21"/>
  <c r="AV57" i="21"/>
  <c r="AZ57" i="21" s="1"/>
  <c r="BA55" i="21"/>
  <c r="BA15" i="21"/>
  <c r="BA98" i="21"/>
  <c r="BA76" i="21"/>
  <c r="BA102" i="21"/>
  <c r="BA59" i="21"/>
  <c r="BA53" i="21"/>
  <c r="BC44" i="21"/>
  <c r="AW44" i="21" s="1"/>
  <c r="BB44" i="21"/>
  <c r="BA89" i="21"/>
  <c r="BB9" i="21"/>
  <c r="BC9" i="21"/>
  <c r="AW9" i="21" s="1"/>
  <c r="BC47" i="21"/>
  <c r="AW47" i="21" s="1"/>
  <c r="BB47" i="21"/>
  <c r="BC21" i="21"/>
  <c r="AW21" i="21" s="1"/>
  <c r="BB21" i="21"/>
  <c r="BC62" i="21"/>
  <c r="AW62" i="21" s="1"/>
  <c r="BB62" i="21"/>
  <c r="BC83" i="21"/>
  <c r="AW83" i="21" s="1"/>
  <c r="BB83" i="21"/>
  <c r="BC89" i="21"/>
  <c r="AW89" i="21" s="1"/>
  <c r="BB89" i="21"/>
  <c r="BB105" i="21"/>
  <c r="BC105" i="21"/>
  <c r="AW105" i="21" s="1"/>
  <c r="BC22" i="21"/>
  <c r="AW22" i="21" s="1"/>
  <c r="BB22" i="21"/>
  <c r="AV66" i="21"/>
  <c r="AZ66" i="21" s="1"/>
  <c r="E61" i="1"/>
  <c r="AV74" i="21"/>
  <c r="AZ74" i="21" s="1"/>
  <c r="BA109" i="21"/>
  <c r="BA101" i="21"/>
  <c r="BA43" i="21"/>
  <c r="BA75" i="21"/>
  <c r="BA60" i="21"/>
  <c r="BA33" i="21"/>
  <c r="BA39" i="21"/>
  <c r="BA37" i="21"/>
  <c r="BA78" i="21"/>
  <c r="BA26" i="21"/>
  <c r="BA28" i="21"/>
  <c r="BA64" i="21"/>
  <c r="BA73" i="21"/>
  <c r="BA88" i="21"/>
  <c r="BA87" i="21"/>
  <c r="BA25" i="21"/>
  <c r="BA79" i="21"/>
  <c r="BA77" i="21"/>
  <c r="BA19" i="21"/>
  <c r="BA95" i="21"/>
  <c r="BA34" i="21"/>
  <c r="BA108" i="21"/>
  <c r="BA17" i="21"/>
  <c r="BA18" i="21"/>
  <c r="BA20" i="21"/>
  <c r="BA86" i="21"/>
  <c r="BA69" i="21"/>
  <c r="BA16" i="21"/>
  <c r="BA96" i="21"/>
  <c r="BA13" i="21"/>
  <c r="BA103" i="21"/>
  <c r="BA29" i="21"/>
  <c r="BA85" i="21"/>
  <c r="BA100" i="21"/>
  <c r="BA27" i="21"/>
  <c r="BA61" i="21"/>
  <c r="BA91" i="21"/>
  <c r="BA107" i="21"/>
  <c r="BA31" i="21"/>
  <c r="BA12" i="21"/>
  <c r="BA104" i="21"/>
  <c r="BA80" i="21"/>
  <c r="BA65" i="21"/>
  <c r="BA23" i="21"/>
  <c r="BA32" i="21"/>
  <c r="BA92" i="21"/>
  <c r="BA99" i="21"/>
  <c r="BA71" i="21"/>
  <c r="N16" i="8"/>
  <c r="E36" i="1"/>
  <c r="K4" i="17"/>
  <c r="H622" i="25" l="1"/>
  <c r="G622" i="25"/>
  <c r="AT10" i="21"/>
  <c r="AV10" i="21" s="1"/>
  <c r="AZ10" i="21" s="1"/>
  <c r="O622" i="25"/>
  <c r="P622" i="25"/>
  <c r="AA623" i="25"/>
  <c r="E633" i="25" s="1"/>
  <c r="AB623" i="25"/>
  <c r="P612" i="25"/>
  <c r="AB612" i="25" s="1"/>
  <c r="P610" i="25"/>
  <c r="AB610" i="25" s="1"/>
  <c r="P613" i="25"/>
  <c r="AB613" i="25" s="1"/>
  <c r="P608" i="25"/>
  <c r="AB608" i="25" s="1"/>
  <c r="P607" i="25"/>
  <c r="AB607" i="25" s="1"/>
  <c r="P605" i="25"/>
  <c r="AB605" i="25" s="1"/>
  <c r="P603" i="25"/>
  <c r="AB603" i="25" s="1"/>
  <c r="P601" i="25"/>
  <c r="AB601" i="25" s="1"/>
  <c r="P599" i="25"/>
  <c r="AB599" i="25" s="1"/>
  <c r="P597" i="25"/>
  <c r="AB597" i="25" s="1"/>
  <c r="P611" i="25"/>
  <c r="AB611" i="25" s="1"/>
  <c r="P606" i="25"/>
  <c r="AB606" i="25" s="1"/>
  <c r="P604" i="25"/>
  <c r="AB604" i="25" s="1"/>
  <c r="P602" i="25"/>
  <c r="AB602" i="25" s="1"/>
  <c r="P600" i="25"/>
  <c r="AB600" i="25" s="1"/>
  <c r="P598" i="25"/>
  <c r="AB598" i="25" s="1"/>
  <c r="P596" i="25"/>
  <c r="AB596" i="25" s="1"/>
  <c r="P594" i="25"/>
  <c r="AB594" i="25" s="1"/>
  <c r="P592" i="25"/>
  <c r="AB592" i="25" s="1"/>
  <c r="P591" i="25"/>
  <c r="AB591" i="25" s="1"/>
  <c r="P589" i="25"/>
  <c r="AB589" i="25" s="1"/>
  <c r="P587" i="25"/>
  <c r="AB587" i="25" s="1"/>
  <c r="P585" i="25"/>
  <c r="AB585" i="25" s="1"/>
  <c r="P609" i="25"/>
  <c r="AB609" i="25" s="1"/>
  <c r="P593" i="25"/>
  <c r="AB593" i="25" s="1"/>
  <c r="P588" i="25"/>
  <c r="AB588" i="25" s="1"/>
  <c r="P581" i="25"/>
  <c r="AB581" i="25" s="1"/>
  <c r="P580" i="25"/>
  <c r="AB580" i="25" s="1"/>
  <c r="P590" i="25"/>
  <c r="AB590" i="25" s="1"/>
  <c r="P584" i="25"/>
  <c r="AB584" i="25" s="1"/>
  <c r="P579" i="25"/>
  <c r="AB579" i="25" s="1"/>
  <c r="P578" i="25"/>
  <c r="AB578" i="25" s="1"/>
  <c r="P575" i="25"/>
  <c r="AB575" i="25" s="1"/>
  <c r="P573" i="25"/>
  <c r="AB573" i="25" s="1"/>
  <c r="P571" i="25"/>
  <c r="AB571" i="25" s="1"/>
  <c r="P569" i="25"/>
  <c r="AB569" i="25" s="1"/>
  <c r="P567" i="25"/>
  <c r="AB567" i="25" s="1"/>
  <c r="P565" i="25"/>
  <c r="AB565" i="25" s="1"/>
  <c r="P595" i="25"/>
  <c r="AB595" i="25" s="1"/>
  <c r="P586" i="25"/>
  <c r="AB586" i="25" s="1"/>
  <c r="P583" i="25"/>
  <c r="AB583" i="25" s="1"/>
  <c r="P582" i="25"/>
  <c r="AB582" i="25" s="1"/>
  <c r="P576" i="25"/>
  <c r="AB576" i="25" s="1"/>
  <c r="P574" i="25"/>
  <c r="AB574" i="25" s="1"/>
  <c r="P572" i="25"/>
  <c r="AB572" i="25" s="1"/>
  <c r="P570" i="25"/>
  <c r="AB570" i="25" s="1"/>
  <c r="P568" i="25"/>
  <c r="AB568" i="25" s="1"/>
  <c r="P566" i="25"/>
  <c r="AB566" i="25" s="1"/>
  <c r="P559" i="25"/>
  <c r="AB559" i="25" s="1"/>
  <c r="P558" i="25"/>
  <c r="AB558" i="25" s="1"/>
  <c r="P564" i="25"/>
  <c r="AB564" i="25" s="1"/>
  <c r="P557" i="25"/>
  <c r="AB557" i="25" s="1"/>
  <c r="P556" i="25"/>
  <c r="AB556" i="25" s="1"/>
  <c r="P554" i="25"/>
  <c r="AB554" i="25" s="1"/>
  <c r="P552" i="25"/>
  <c r="AB552" i="25" s="1"/>
  <c r="P550" i="25"/>
  <c r="AB550" i="25" s="1"/>
  <c r="P548" i="25"/>
  <c r="AB548" i="25" s="1"/>
  <c r="P546" i="25"/>
  <c r="AB546" i="25" s="1"/>
  <c r="P544" i="25"/>
  <c r="AB544" i="25" s="1"/>
  <c r="P542" i="25"/>
  <c r="AB542" i="25" s="1"/>
  <c r="P540" i="25"/>
  <c r="AB540" i="25" s="1"/>
  <c r="P538" i="25"/>
  <c r="AB538" i="25" s="1"/>
  <c r="P577" i="25"/>
  <c r="AB577" i="25" s="1"/>
  <c r="P561" i="25"/>
  <c r="AB561" i="25" s="1"/>
  <c r="P560" i="25"/>
  <c r="AB560" i="25" s="1"/>
  <c r="P555" i="25"/>
  <c r="AB555" i="25" s="1"/>
  <c r="P553" i="25"/>
  <c r="AB553" i="25" s="1"/>
  <c r="P551" i="25"/>
  <c r="AB551" i="25" s="1"/>
  <c r="P549" i="25"/>
  <c r="AB549" i="25" s="1"/>
  <c r="P547" i="25"/>
  <c r="AB547" i="25" s="1"/>
  <c r="P545" i="25"/>
  <c r="AB545" i="25" s="1"/>
  <c r="P543" i="25"/>
  <c r="AB543" i="25" s="1"/>
  <c r="P541" i="25"/>
  <c r="AB541" i="25" s="1"/>
  <c r="P539" i="25"/>
  <c r="AB539" i="25" s="1"/>
  <c r="P537" i="25"/>
  <c r="AB537" i="25" s="1"/>
  <c r="P530" i="25"/>
  <c r="AB530" i="25" s="1"/>
  <c r="P529" i="25"/>
  <c r="AB529" i="25" s="1"/>
  <c r="P563" i="25"/>
  <c r="AB563" i="25" s="1"/>
  <c r="P562" i="25"/>
  <c r="AB562" i="25" s="1"/>
  <c r="P536" i="25"/>
  <c r="AB536" i="25" s="1"/>
  <c r="P535" i="25"/>
  <c r="AB535" i="25" s="1"/>
  <c r="P528" i="25"/>
  <c r="AB528" i="25" s="1"/>
  <c r="P527" i="25"/>
  <c r="AB527" i="25" s="1"/>
  <c r="P532" i="25"/>
  <c r="AB532" i="25" s="1"/>
  <c r="P531" i="25"/>
  <c r="AB531" i="25" s="1"/>
  <c r="P526" i="25"/>
  <c r="AB526" i="25" s="1"/>
  <c r="P525" i="25"/>
  <c r="AB525" i="25" s="1"/>
  <c r="P517" i="25"/>
  <c r="AB517" i="25" s="1"/>
  <c r="P516" i="25"/>
  <c r="AB516" i="25" s="1"/>
  <c r="P524" i="25"/>
  <c r="AB524" i="25" s="1"/>
  <c r="P522" i="25"/>
  <c r="AB522" i="25" s="1"/>
  <c r="P515" i="25"/>
  <c r="AB515" i="25" s="1"/>
  <c r="P514" i="25"/>
  <c r="AB514" i="25" s="1"/>
  <c r="P510" i="25"/>
  <c r="AB510" i="25" s="1"/>
  <c r="P508" i="25"/>
  <c r="AB508" i="25" s="1"/>
  <c r="P506" i="25"/>
  <c r="AB506" i="25" s="1"/>
  <c r="P504" i="25"/>
  <c r="AB504" i="25" s="1"/>
  <c r="P502" i="25"/>
  <c r="AB502" i="25" s="1"/>
  <c r="P500" i="25"/>
  <c r="AB500" i="25" s="1"/>
  <c r="P498" i="25"/>
  <c r="AB498" i="25" s="1"/>
  <c r="P496" i="25"/>
  <c r="AB496" i="25" s="1"/>
  <c r="P494" i="25"/>
  <c r="AB494" i="25" s="1"/>
  <c r="P492" i="25"/>
  <c r="AB492" i="25" s="1"/>
  <c r="P490" i="25"/>
  <c r="AB490" i="25" s="1"/>
  <c r="P488" i="25"/>
  <c r="AB488" i="25" s="1"/>
  <c r="P486" i="25"/>
  <c r="AB486" i="25" s="1"/>
  <c r="P484" i="25"/>
  <c r="AB484" i="25" s="1"/>
  <c r="P482" i="25"/>
  <c r="AB482" i="25" s="1"/>
  <c r="P534" i="25"/>
  <c r="AB534" i="25" s="1"/>
  <c r="P533" i="25"/>
  <c r="AB533" i="25" s="1"/>
  <c r="P519" i="25"/>
  <c r="AB519" i="25" s="1"/>
  <c r="P518" i="25"/>
  <c r="AB518" i="25" s="1"/>
  <c r="P511" i="25"/>
  <c r="AB511" i="25" s="1"/>
  <c r="P509" i="25"/>
  <c r="AB509" i="25" s="1"/>
  <c r="P507" i="25"/>
  <c r="AB507" i="25" s="1"/>
  <c r="P505" i="25"/>
  <c r="AB505" i="25" s="1"/>
  <c r="P503" i="25"/>
  <c r="AB503" i="25" s="1"/>
  <c r="P501" i="25"/>
  <c r="AB501" i="25" s="1"/>
  <c r="P499" i="25"/>
  <c r="AB499" i="25" s="1"/>
  <c r="P497" i="25"/>
  <c r="AB497" i="25" s="1"/>
  <c r="P495" i="25"/>
  <c r="AB495" i="25" s="1"/>
  <c r="P493" i="25"/>
  <c r="AB493" i="25" s="1"/>
  <c r="P491" i="25"/>
  <c r="AB491" i="25" s="1"/>
  <c r="P489" i="25"/>
  <c r="AB489" i="25" s="1"/>
  <c r="P487" i="25"/>
  <c r="AB487" i="25" s="1"/>
  <c r="P485" i="25"/>
  <c r="AB485" i="25" s="1"/>
  <c r="P481" i="25"/>
  <c r="AB481" i="25" s="1"/>
  <c r="P474" i="25"/>
  <c r="AB474" i="25" s="1"/>
  <c r="P473" i="25"/>
  <c r="AB473" i="25" s="1"/>
  <c r="P466" i="25"/>
  <c r="AB466" i="25" s="1"/>
  <c r="P465" i="25"/>
  <c r="AB465" i="25" s="1"/>
  <c r="P462" i="25"/>
  <c r="AB462" i="25" s="1"/>
  <c r="P460" i="25"/>
  <c r="AB460" i="25" s="1"/>
  <c r="P458" i="25"/>
  <c r="AB458" i="25" s="1"/>
  <c r="P456" i="25"/>
  <c r="AB456" i="25" s="1"/>
  <c r="P454" i="25"/>
  <c r="AB454" i="25" s="1"/>
  <c r="P452" i="25"/>
  <c r="AB452" i="25" s="1"/>
  <c r="P450" i="25"/>
  <c r="AB450" i="25" s="1"/>
  <c r="P448" i="25"/>
  <c r="AB448" i="25" s="1"/>
  <c r="P446" i="25"/>
  <c r="AB446" i="25" s="1"/>
  <c r="P444" i="25"/>
  <c r="AB444" i="25" s="1"/>
  <c r="P442" i="25"/>
  <c r="AB442" i="25" s="1"/>
  <c r="P440" i="25"/>
  <c r="AB440" i="25" s="1"/>
  <c r="P438" i="25"/>
  <c r="AB438" i="25" s="1"/>
  <c r="P436" i="25"/>
  <c r="AB436" i="25" s="1"/>
  <c r="P434" i="25"/>
  <c r="AB434" i="25" s="1"/>
  <c r="P432" i="25"/>
  <c r="AB432" i="25" s="1"/>
  <c r="P430" i="25"/>
  <c r="AB430" i="25" s="1"/>
  <c r="P428" i="25"/>
  <c r="AB428" i="25" s="1"/>
  <c r="P426" i="25"/>
  <c r="AB426" i="25" s="1"/>
  <c r="P424" i="25"/>
  <c r="AB424" i="25" s="1"/>
  <c r="P422" i="25"/>
  <c r="AB422" i="25" s="1"/>
  <c r="P420" i="25"/>
  <c r="AB420" i="25" s="1"/>
  <c r="P418" i="25"/>
  <c r="AB418" i="25" s="1"/>
  <c r="P416" i="25"/>
  <c r="AB416" i="25" s="1"/>
  <c r="P414" i="25"/>
  <c r="AB414" i="25" s="1"/>
  <c r="P412" i="25"/>
  <c r="AB412" i="25" s="1"/>
  <c r="P410" i="25"/>
  <c r="AB410" i="25" s="1"/>
  <c r="P408" i="25"/>
  <c r="AB408" i="25" s="1"/>
  <c r="P406" i="25"/>
  <c r="AB406" i="25" s="1"/>
  <c r="P404" i="25"/>
  <c r="AB404" i="25" s="1"/>
  <c r="P402" i="25"/>
  <c r="AB402" i="25" s="1"/>
  <c r="P400" i="25"/>
  <c r="AB400" i="25" s="1"/>
  <c r="P523" i="25"/>
  <c r="AB523" i="25" s="1"/>
  <c r="P483" i="25"/>
  <c r="AB483" i="25" s="1"/>
  <c r="P480" i="25"/>
  <c r="AB480" i="25" s="1"/>
  <c r="P479" i="25"/>
  <c r="AB479" i="25" s="1"/>
  <c r="P472" i="25"/>
  <c r="AB472" i="25" s="1"/>
  <c r="P471" i="25"/>
  <c r="AB471" i="25" s="1"/>
  <c r="P464" i="25"/>
  <c r="AB464" i="25" s="1"/>
  <c r="P513" i="25"/>
  <c r="AB513" i="25" s="1"/>
  <c r="P512" i="25"/>
  <c r="AB512" i="25" s="1"/>
  <c r="P476" i="25"/>
  <c r="AB476" i="25" s="1"/>
  <c r="P475" i="25"/>
  <c r="AB475" i="25" s="1"/>
  <c r="P468" i="25"/>
  <c r="AB468" i="25" s="1"/>
  <c r="P467" i="25"/>
  <c r="AB467" i="25" s="1"/>
  <c r="P478" i="25"/>
  <c r="AB478" i="25" s="1"/>
  <c r="P477" i="25"/>
  <c r="AB477" i="25" s="1"/>
  <c r="P459" i="25"/>
  <c r="AB459" i="25" s="1"/>
  <c r="P451" i="25"/>
  <c r="AB451" i="25" s="1"/>
  <c r="P443" i="25"/>
  <c r="AB443" i="25" s="1"/>
  <c r="P435" i="25"/>
  <c r="AB435" i="25" s="1"/>
  <c r="P421" i="25"/>
  <c r="AB421" i="25" s="1"/>
  <c r="P413" i="25"/>
  <c r="AB413" i="25" s="1"/>
  <c r="P405" i="25"/>
  <c r="AB405" i="25" s="1"/>
  <c r="P520" i="25"/>
  <c r="AB520" i="25" s="1"/>
  <c r="P470" i="25"/>
  <c r="AB470" i="25" s="1"/>
  <c r="P469" i="25"/>
  <c r="AB469" i="25" s="1"/>
  <c r="P461" i="25"/>
  <c r="AB461" i="25" s="1"/>
  <c r="P453" i="25"/>
  <c r="AB453" i="25" s="1"/>
  <c r="P445" i="25"/>
  <c r="AB445" i="25" s="1"/>
  <c r="P437" i="25"/>
  <c r="AB437" i="25" s="1"/>
  <c r="P429" i="25"/>
  <c r="AB429" i="25" s="1"/>
  <c r="P427" i="25"/>
  <c r="AB427" i="25" s="1"/>
  <c r="P419" i="25"/>
  <c r="AB419" i="25" s="1"/>
  <c r="P411" i="25"/>
  <c r="AB411" i="25" s="1"/>
  <c r="P403" i="25"/>
  <c r="AB403" i="25" s="1"/>
  <c r="P521" i="25"/>
  <c r="AB521" i="25" s="1"/>
  <c r="P457" i="25"/>
  <c r="AB457" i="25" s="1"/>
  <c r="P449" i="25"/>
  <c r="AB449" i="25" s="1"/>
  <c r="P441" i="25"/>
  <c r="AB441" i="25" s="1"/>
  <c r="P433" i="25"/>
  <c r="AB433" i="25" s="1"/>
  <c r="P423" i="25"/>
  <c r="AB423" i="25" s="1"/>
  <c r="P415" i="25"/>
  <c r="AB415" i="25" s="1"/>
  <c r="P407" i="25"/>
  <c r="AB407" i="25" s="1"/>
  <c r="P399" i="25"/>
  <c r="AB399" i="25" s="1"/>
  <c r="P397" i="25"/>
  <c r="AB397" i="25" s="1"/>
  <c r="P395" i="25"/>
  <c r="AB395" i="25" s="1"/>
  <c r="P393" i="25"/>
  <c r="AB393" i="25" s="1"/>
  <c r="P391" i="25"/>
  <c r="AB391" i="25" s="1"/>
  <c r="P389" i="25"/>
  <c r="AB389" i="25" s="1"/>
  <c r="P387" i="25"/>
  <c r="AB387" i="25" s="1"/>
  <c r="P385" i="25"/>
  <c r="AB385" i="25" s="1"/>
  <c r="P383" i="25"/>
  <c r="AB383" i="25" s="1"/>
  <c r="P381" i="25"/>
  <c r="AB381" i="25" s="1"/>
  <c r="P379" i="25"/>
  <c r="AB379" i="25" s="1"/>
  <c r="P377" i="25"/>
  <c r="AB377" i="25" s="1"/>
  <c r="P375" i="25"/>
  <c r="AB375" i="25" s="1"/>
  <c r="P447" i="25"/>
  <c r="AB447" i="25" s="1"/>
  <c r="P417" i="25"/>
  <c r="AB417" i="25" s="1"/>
  <c r="P394" i="25"/>
  <c r="AB394" i="25" s="1"/>
  <c r="P386" i="25"/>
  <c r="AB386" i="25" s="1"/>
  <c r="P378" i="25"/>
  <c r="AB378" i="25" s="1"/>
  <c r="P373" i="25"/>
  <c r="AB373" i="25" s="1"/>
  <c r="P371" i="25"/>
  <c r="AB371" i="25" s="1"/>
  <c r="P369" i="25"/>
  <c r="AB369" i="25" s="1"/>
  <c r="P367" i="25"/>
  <c r="AB367" i="25" s="1"/>
  <c r="P365" i="25"/>
  <c r="AB365" i="25" s="1"/>
  <c r="P363" i="25"/>
  <c r="AB363" i="25" s="1"/>
  <c r="P361" i="25"/>
  <c r="AB361" i="25" s="1"/>
  <c r="P359" i="25"/>
  <c r="AB359" i="25" s="1"/>
  <c r="P357" i="25"/>
  <c r="AB357" i="25" s="1"/>
  <c r="P355" i="25"/>
  <c r="AB355" i="25" s="1"/>
  <c r="P353" i="25"/>
  <c r="AB353" i="25" s="1"/>
  <c r="P351" i="25"/>
  <c r="AB351" i="25" s="1"/>
  <c r="P349" i="25"/>
  <c r="AB349" i="25" s="1"/>
  <c r="P347" i="25"/>
  <c r="AB347" i="25" s="1"/>
  <c r="P345" i="25"/>
  <c r="AB345" i="25" s="1"/>
  <c r="P343" i="25"/>
  <c r="AB343" i="25" s="1"/>
  <c r="P341" i="25"/>
  <c r="AB341" i="25" s="1"/>
  <c r="P339" i="25"/>
  <c r="AB339" i="25" s="1"/>
  <c r="P337" i="25"/>
  <c r="AB337" i="25" s="1"/>
  <c r="P335" i="25"/>
  <c r="AB335" i="25" s="1"/>
  <c r="P333" i="25"/>
  <c r="AB333" i="25" s="1"/>
  <c r="P331" i="25"/>
  <c r="AB331" i="25" s="1"/>
  <c r="P329" i="25"/>
  <c r="AB329" i="25" s="1"/>
  <c r="P327" i="25"/>
  <c r="AB327" i="25" s="1"/>
  <c r="P325" i="25"/>
  <c r="AB325" i="25" s="1"/>
  <c r="P323" i="25"/>
  <c r="AB323" i="25" s="1"/>
  <c r="P321" i="25"/>
  <c r="AB321" i="25" s="1"/>
  <c r="P319" i="25"/>
  <c r="AB319" i="25" s="1"/>
  <c r="P317" i="25"/>
  <c r="AB317" i="25" s="1"/>
  <c r="P315" i="25"/>
  <c r="AB315" i="25" s="1"/>
  <c r="P313" i="25"/>
  <c r="AB313" i="25" s="1"/>
  <c r="P311" i="25"/>
  <c r="AB311" i="25" s="1"/>
  <c r="P309" i="25"/>
  <c r="AB309" i="25" s="1"/>
  <c r="P307" i="25"/>
  <c r="AB307" i="25" s="1"/>
  <c r="P305" i="25"/>
  <c r="AB305" i="25" s="1"/>
  <c r="P303" i="25"/>
  <c r="AB303" i="25" s="1"/>
  <c r="P301" i="25"/>
  <c r="AB301" i="25" s="1"/>
  <c r="P299" i="25"/>
  <c r="AB299" i="25" s="1"/>
  <c r="P297" i="25"/>
  <c r="AB297" i="25" s="1"/>
  <c r="P295" i="25"/>
  <c r="AB295" i="25" s="1"/>
  <c r="P293" i="25"/>
  <c r="AB293" i="25" s="1"/>
  <c r="P291" i="25"/>
  <c r="AB291" i="25" s="1"/>
  <c r="P289" i="25"/>
  <c r="AB289" i="25" s="1"/>
  <c r="P287" i="25"/>
  <c r="AB287" i="25" s="1"/>
  <c r="P285" i="25"/>
  <c r="AB285" i="25" s="1"/>
  <c r="P283" i="25"/>
  <c r="AB283" i="25" s="1"/>
  <c r="P281" i="25"/>
  <c r="AB281" i="25" s="1"/>
  <c r="P279" i="25"/>
  <c r="AB279" i="25" s="1"/>
  <c r="P455" i="25"/>
  <c r="AB455" i="25" s="1"/>
  <c r="P409" i="25"/>
  <c r="AB409" i="25" s="1"/>
  <c r="P392" i="25"/>
  <c r="AB392" i="25" s="1"/>
  <c r="P384" i="25"/>
  <c r="AB384" i="25" s="1"/>
  <c r="P376" i="25"/>
  <c r="AB376" i="25" s="1"/>
  <c r="P439" i="25"/>
  <c r="AB439" i="25" s="1"/>
  <c r="P425" i="25"/>
  <c r="AB425" i="25" s="1"/>
  <c r="P396" i="25"/>
  <c r="AB396" i="25" s="1"/>
  <c r="P388" i="25"/>
  <c r="AB388" i="25" s="1"/>
  <c r="P380" i="25"/>
  <c r="AB380" i="25" s="1"/>
  <c r="P463" i="25"/>
  <c r="AB463" i="25" s="1"/>
  <c r="P401" i="25"/>
  <c r="AB401" i="25" s="1"/>
  <c r="P390" i="25"/>
  <c r="AB390" i="25" s="1"/>
  <c r="P368" i="25"/>
  <c r="AB368" i="25" s="1"/>
  <c r="P362" i="25"/>
  <c r="AB362" i="25" s="1"/>
  <c r="P358" i="25"/>
  <c r="AB358" i="25" s="1"/>
  <c r="P354" i="25"/>
  <c r="AB354" i="25" s="1"/>
  <c r="P350" i="25"/>
  <c r="AB350" i="25" s="1"/>
  <c r="P346" i="25"/>
  <c r="AB346" i="25" s="1"/>
  <c r="P336" i="25"/>
  <c r="AB336" i="25" s="1"/>
  <c r="P328" i="25"/>
  <c r="AB328" i="25" s="1"/>
  <c r="P320" i="25"/>
  <c r="AB320" i="25" s="1"/>
  <c r="P312" i="25"/>
  <c r="AB312" i="25" s="1"/>
  <c r="P304" i="25"/>
  <c r="AB304" i="25" s="1"/>
  <c r="P296" i="25"/>
  <c r="AB296" i="25" s="1"/>
  <c r="P288" i="25"/>
  <c r="AB288" i="25" s="1"/>
  <c r="P280" i="25"/>
  <c r="AB280" i="25" s="1"/>
  <c r="P278" i="25"/>
  <c r="AB278" i="25" s="1"/>
  <c r="P276" i="25"/>
  <c r="AB276" i="25" s="1"/>
  <c r="P274" i="25"/>
  <c r="AB274" i="25" s="1"/>
  <c r="P272" i="25"/>
  <c r="AB272" i="25" s="1"/>
  <c r="P270" i="25"/>
  <c r="AB270" i="25" s="1"/>
  <c r="P268" i="25"/>
  <c r="AB268" i="25" s="1"/>
  <c r="P266" i="25"/>
  <c r="AB266" i="25" s="1"/>
  <c r="P264" i="25"/>
  <c r="AB264" i="25" s="1"/>
  <c r="P382" i="25"/>
  <c r="AB382" i="25" s="1"/>
  <c r="P370" i="25"/>
  <c r="AB370" i="25" s="1"/>
  <c r="P342" i="25"/>
  <c r="AB342" i="25" s="1"/>
  <c r="P334" i="25"/>
  <c r="AB334" i="25" s="1"/>
  <c r="P326" i="25"/>
  <c r="AB326" i="25" s="1"/>
  <c r="P318" i="25"/>
  <c r="AB318" i="25" s="1"/>
  <c r="P310" i="25"/>
  <c r="AB310" i="25" s="1"/>
  <c r="P302" i="25"/>
  <c r="AB302" i="25" s="1"/>
  <c r="P294" i="25"/>
  <c r="AB294" i="25" s="1"/>
  <c r="P286" i="25"/>
  <c r="AB286" i="25" s="1"/>
  <c r="P431" i="25"/>
  <c r="AB431" i="25" s="1"/>
  <c r="P398" i="25"/>
  <c r="AB398" i="25" s="1"/>
  <c r="P374" i="25"/>
  <c r="AB374" i="25" s="1"/>
  <c r="P366" i="25"/>
  <c r="AB366" i="25" s="1"/>
  <c r="P338" i="25"/>
  <c r="AB338" i="25" s="1"/>
  <c r="P330" i="25"/>
  <c r="AB330" i="25" s="1"/>
  <c r="P322" i="25"/>
  <c r="AB322" i="25" s="1"/>
  <c r="P314" i="25"/>
  <c r="AB314" i="25" s="1"/>
  <c r="P306" i="25"/>
  <c r="AB306" i="25" s="1"/>
  <c r="P298" i="25"/>
  <c r="AB298" i="25" s="1"/>
  <c r="P290" i="25"/>
  <c r="AB290" i="25" s="1"/>
  <c r="P282" i="25"/>
  <c r="AB282" i="25" s="1"/>
  <c r="P360" i="25"/>
  <c r="AB360" i="25" s="1"/>
  <c r="P344" i="25"/>
  <c r="AB344" i="25" s="1"/>
  <c r="P316" i="25"/>
  <c r="AB316" i="25" s="1"/>
  <c r="P284" i="25"/>
  <c r="AB284" i="25" s="1"/>
  <c r="P271" i="25"/>
  <c r="AB271" i="25" s="1"/>
  <c r="P263" i="25"/>
  <c r="AB263" i="25" s="1"/>
  <c r="P256" i="25"/>
  <c r="AB256" i="25" s="1"/>
  <c r="P255" i="25"/>
  <c r="AB255" i="25" s="1"/>
  <c r="P248" i="25"/>
  <c r="AB248" i="25" s="1"/>
  <c r="P247" i="25"/>
  <c r="AB247" i="25" s="1"/>
  <c r="P240" i="25"/>
  <c r="AB240" i="25" s="1"/>
  <c r="P239" i="25"/>
  <c r="AB239" i="25" s="1"/>
  <c r="P232" i="25"/>
  <c r="AB232" i="25" s="1"/>
  <c r="P231" i="25"/>
  <c r="AB231" i="25" s="1"/>
  <c r="P364" i="25"/>
  <c r="AB364" i="25" s="1"/>
  <c r="P348" i="25"/>
  <c r="AB348" i="25" s="1"/>
  <c r="P340" i="25"/>
  <c r="AB340" i="25" s="1"/>
  <c r="P308" i="25"/>
  <c r="AB308" i="25" s="1"/>
  <c r="P273" i="25"/>
  <c r="AB273" i="25" s="1"/>
  <c r="P265" i="25"/>
  <c r="AB265" i="25" s="1"/>
  <c r="P262" i="25"/>
  <c r="AB262" i="25" s="1"/>
  <c r="P261" i="25"/>
  <c r="AB261" i="25" s="1"/>
  <c r="P254" i="25"/>
  <c r="AB254" i="25" s="1"/>
  <c r="P253" i="25"/>
  <c r="AB253" i="25" s="1"/>
  <c r="P246" i="25"/>
  <c r="AB246" i="25" s="1"/>
  <c r="P245" i="25"/>
  <c r="AB245" i="25" s="1"/>
  <c r="P238" i="25"/>
  <c r="AB238" i="25" s="1"/>
  <c r="P237" i="25"/>
  <c r="AB237" i="25" s="1"/>
  <c r="P230" i="25"/>
  <c r="AB230" i="25" s="1"/>
  <c r="P229" i="25"/>
  <c r="AB229" i="25" s="1"/>
  <c r="P224" i="25"/>
  <c r="AB224" i="25" s="1"/>
  <c r="P222" i="25"/>
  <c r="AB222" i="25" s="1"/>
  <c r="P220" i="25"/>
  <c r="AB220" i="25" s="1"/>
  <c r="P356" i="25"/>
  <c r="AB356" i="25" s="1"/>
  <c r="P324" i="25"/>
  <c r="AB324" i="25" s="1"/>
  <c r="P292" i="25"/>
  <c r="AB292" i="25" s="1"/>
  <c r="P277" i="25"/>
  <c r="AB277" i="25" s="1"/>
  <c r="P269" i="25"/>
  <c r="AB269" i="25" s="1"/>
  <c r="P258" i="25"/>
  <c r="AB258" i="25" s="1"/>
  <c r="P257" i="25"/>
  <c r="AB257" i="25" s="1"/>
  <c r="P250" i="25"/>
  <c r="AB250" i="25" s="1"/>
  <c r="P249" i="25"/>
  <c r="AB249" i="25" s="1"/>
  <c r="P242" i="25"/>
  <c r="AB242" i="25" s="1"/>
  <c r="P241" i="25"/>
  <c r="AB241" i="25" s="1"/>
  <c r="P234" i="25"/>
  <c r="AB234" i="25" s="1"/>
  <c r="P233" i="25"/>
  <c r="AB233" i="25" s="1"/>
  <c r="P226" i="25"/>
  <c r="AB226" i="25" s="1"/>
  <c r="P225" i="25"/>
  <c r="AB225" i="25" s="1"/>
  <c r="P223" i="25"/>
  <c r="AB223" i="25" s="1"/>
  <c r="P221" i="25"/>
  <c r="AB221" i="25" s="1"/>
  <c r="P219" i="25"/>
  <c r="AB219" i="25" s="1"/>
  <c r="P217" i="25"/>
  <c r="AB217" i="25" s="1"/>
  <c r="P215" i="25"/>
  <c r="AB215" i="25" s="1"/>
  <c r="P213" i="25"/>
  <c r="AB213" i="25" s="1"/>
  <c r="P211" i="25"/>
  <c r="AB211" i="25" s="1"/>
  <c r="P209" i="25"/>
  <c r="AB209" i="25" s="1"/>
  <c r="P207" i="25"/>
  <c r="AB207" i="25" s="1"/>
  <c r="P205" i="25"/>
  <c r="AB205" i="25" s="1"/>
  <c r="P203" i="25"/>
  <c r="AB203" i="25" s="1"/>
  <c r="P201" i="25"/>
  <c r="AB201" i="25" s="1"/>
  <c r="P199" i="25"/>
  <c r="AB199" i="25" s="1"/>
  <c r="P197" i="25"/>
  <c r="AB197" i="25" s="1"/>
  <c r="P195" i="25"/>
  <c r="AB195" i="25" s="1"/>
  <c r="P193" i="25"/>
  <c r="AB193" i="25" s="1"/>
  <c r="P191" i="25"/>
  <c r="AB191" i="25" s="1"/>
  <c r="P189" i="25"/>
  <c r="AB189" i="25" s="1"/>
  <c r="P187" i="25"/>
  <c r="AB187" i="25" s="1"/>
  <c r="P185" i="25"/>
  <c r="AB185" i="25" s="1"/>
  <c r="P183" i="25"/>
  <c r="AB183" i="25" s="1"/>
  <c r="P181" i="25"/>
  <c r="AB181" i="25" s="1"/>
  <c r="P179" i="25"/>
  <c r="AB179" i="25" s="1"/>
  <c r="P177" i="25"/>
  <c r="AB177" i="25" s="1"/>
  <c r="P175" i="25"/>
  <c r="AB175" i="25" s="1"/>
  <c r="P173" i="25"/>
  <c r="AB173" i="25" s="1"/>
  <c r="P171" i="25"/>
  <c r="AB171" i="25" s="1"/>
  <c r="P169" i="25"/>
  <c r="AB169" i="25" s="1"/>
  <c r="P167" i="25"/>
  <c r="AB167" i="25" s="1"/>
  <c r="P165" i="25"/>
  <c r="AB165" i="25" s="1"/>
  <c r="P163" i="25"/>
  <c r="AB163" i="25" s="1"/>
  <c r="P161" i="25"/>
  <c r="AB161" i="25" s="1"/>
  <c r="P159" i="25"/>
  <c r="AB159" i="25" s="1"/>
  <c r="P157" i="25"/>
  <c r="AB157" i="25" s="1"/>
  <c r="P155" i="25"/>
  <c r="AB155" i="25" s="1"/>
  <c r="P153" i="25"/>
  <c r="AB153" i="25" s="1"/>
  <c r="P151" i="25"/>
  <c r="AB151" i="25" s="1"/>
  <c r="P149" i="25"/>
  <c r="AB149" i="25" s="1"/>
  <c r="P147" i="25"/>
  <c r="AB147" i="25" s="1"/>
  <c r="P145" i="25"/>
  <c r="AB145" i="25" s="1"/>
  <c r="P143" i="25"/>
  <c r="AB143" i="25" s="1"/>
  <c r="P141" i="25"/>
  <c r="AB141" i="25" s="1"/>
  <c r="P139" i="25"/>
  <c r="AB139" i="25" s="1"/>
  <c r="P137" i="25"/>
  <c r="AB137" i="25" s="1"/>
  <c r="P135" i="25"/>
  <c r="AB135" i="25" s="1"/>
  <c r="P133" i="25"/>
  <c r="AB133" i="25" s="1"/>
  <c r="P131" i="25"/>
  <c r="AB131" i="25" s="1"/>
  <c r="P129" i="25"/>
  <c r="AB129" i="25" s="1"/>
  <c r="P127" i="25"/>
  <c r="AB127" i="25" s="1"/>
  <c r="P125" i="25"/>
  <c r="AB125" i="25" s="1"/>
  <c r="P123" i="25"/>
  <c r="AB123" i="25" s="1"/>
  <c r="P121" i="25"/>
  <c r="AB121" i="25" s="1"/>
  <c r="P119" i="25"/>
  <c r="AB119" i="25" s="1"/>
  <c r="P117" i="25"/>
  <c r="AB117" i="25" s="1"/>
  <c r="P115" i="25"/>
  <c r="AB115" i="25" s="1"/>
  <c r="P113" i="25"/>
  <c r="AB113" i="25" s="1"/>
  <c r="P111" i="25"/>
  <c r="AB111" i="25" s="1"/>
  <c r="P109" i="25"/>
  <c r="AB109" i="25" s="1"/>
  <c r="P107" i="25"/>
  <c r="AB107" i="25" s="1"/>
  <c r="P105" i="25"/>
  <c r="AB105" i="25" s="1"/>
  <c r="P103" i="25"/>
  <c r="AB103" i="25" s="1"/>
  <c r="P101" i="25"/>
  <c r="AB101" i="25" s="1"/>
  <c r="P99" i="25"/>
  <c r="AB99" i="25" s="1"/>
  <c r="P97" i="25"/>
  <c r="AB97" i="25" s="1"/>
  <c r="P95" i="25"/>
  <c r="AB95" i="25" s="1"/>
  <c r="P93" i="25"/>
  <c r="AB93" i="25" s="1"/>
  <c r="P91" i="25"/>
  <c r="AB91" i="25" s="1"/>
  <c r="P89" i="25"/>
  <c r="AB89" i="25" s="1"/>
  <c r="P87" i="25"/>
  <c r="AB87" i="25" s="1"/>
  <c r="P85" i="25"/>
  <c r="AB85" i="25" s="1"/>
  <c r="P83" i="25"/>
  <c r="AB83" i="25" s="1"/>
  <c r="P81" i="25"/>
  <c r="AB81" i="25" s="1"/>
  <c r="P79" i="25"/>
  <c r="AB79" i="25" s="1"/>
  <c r="P77" i="25"/>
  <c r="AB77" i="25" s="1"/>
  <c r="P75" i="25"/>
  <c r="AB75" i="25" s="1"/>
  <c r="P73" i="25"/>
  <c r="AB73" i="25" s="1"/>
  <c r="P71" i="25"/>
  <c r="AB71" i="25" s="1"/>
  <c r="P69" i="25"/>
  <c r="AB69" i="25" s="1"/>
  <c r="P67" i="25"/>
  <c r="AB67" i="25" s="1"/>
  <c r="P65" i="25"/>
  <c r="AB65" i="25" s="1"/>
  <c r="P63" i="25"/>
  <c r="AB63" i="25" s="1"/>
  <c r="P61" i="25"/>
  <c r="AB61" i="25" s="1"/>
  <c r="P59" i="25"/>
  <c r="AB59" i="25" s="1"/>
  <c r="P57" i="25"/>
  <c r="AB57" i="25" s="1"/>
  <c r="P55" i="25"/>
  <c r="AB55" i="25" s="1"/>
  <c r="P53" i="25"/>
  <c r="AB53" i="25" s="1"/>
  <c r="P51" i="25"/>
  <c r="AB51" i="25" s="1"/>
  <c r="P49" i="25"/>
  <c r="AB49" i="25" s="1"/>
  <c r="P47" i="25"/>
  <c r="AB47" i="25" s="1"/>
  <c r="P45" i="25"/>
  <c r="AB45" i="25" s="1"/>
  <c r="P43" i="25"/>
  <c r="AB43" i="25" s="1"/>
  <c r="P41" i="25"/>
  <c r="AB41" i="25" s="1"/>
  <c r="P39" i="25"/>
  <c r="AB39" i="25" s="1"/>
  <c r="P37" i="25"/>
  <c r="AB37" i="25" s="1"/>
  <c r="P35" i="25"/>
  <c r="AB35" i="25" s="1"/>
  <c r="P33" i="25"/>
  <c r="AB33" i="25" s="1"/>
  <c r="P31" i="25"/>
  <c r="AB31" i="25" s="1"/>
  <c r="P29" i="25"/>
  <c r="AB29" i="25" s="1"/>
  <c r="P300" i="25"/>
  <c r="AB300" i="25" s="1"/>
  <c r="P267" i="25"/>
  <c r="AB267" i="25" s="1"/>
  <c r="P236" i="25"/>
  <c r="AB236" i="25" s="1"/>
  <c r="P235" i="25"/>
  <c r="AB235" i="25" s="1"/>
  <c r="P216" i="25"/>
  <c r="AB216" i="25" s="1"/>
  <c r="P212" i="25"/>
  <c r="AB212" i="25" s="1"/>
  <c r="P208" i="25"/>
  <c r="AB208" i="25" s="1"/>
  <c r="P204" i="25"/>
  <c r="AB204" i="25" s="1"/>
  <c r="P200" i="25"/>
  <c r="AB200" i="25" s="1"/>
  <c r="P196" i="25"/>
  <c r="AB196" i="25" s="1"/>
  <c r="P192" i="25"/>
  <c r="AB192" i="25" s="1"/>
  <c r="P188" i="25"/>
  <c r="AB188" i="25" s="1"/>
  <c r="P184" i="25"/>
  <c r="AB184" i="25" s="1"/>
  <c r="P180" i="25"/>
  <c r="AB180" i="25" s="1"/>
  <c r="P176" i="25"/>
  <c r="AB176" i="25" s="1"/>
  <c r="P172" i="25"/>
  <c r="AB172" i="25" s="1"/>
  <c r="P168" i="25"/>
  <c r="AB168" i="25" s="1"/>
  <c r="P164" i="25"/>
  <c r="AB164" i="25" s="1"/>
  <c r="P160" i="25"/>
  <c r="AB160" i="25" s="1"/>
  <c r="P156" i="25"/>
  <c r="AB156" i="25" s="1"/>
  <c r="P152" i="25"/>
  <c r="AB152" i="25" s="1"/>
  <c r="P148" i="25"/>
  <c r="AB148" i="25" s="1"/>
  <c r="P144" i="25"/>
  <c r="AB144" i="25" s="1"/>
  <c r="P140" i="25"/>
  <c r="AB140" i="25" s="1"/>
  <c r="P136" i="25"/>
  <c r="AB136" i="25" s="1"/>
  <c r="P132" i="25"/>
  <c r="AB132" i="25" s="1"/>
  <c r="P128" i="25"/>
  <c r="P124" i="25"/>
  <c r="AB124" i="25" s="1"/>
  <c r="P120" i="25"/>
  <c r="AB120" i="25" s="1"/>
  <c r="P118" i="25"/>
  <c r="AB118" i="25" s="1"/>
  <c r="P110" i="25"/>
  <c r="AB110" i="25" s="1"/>
  <c r="P102" i="25"/>
  <c r="AB102" i="25" s="1"/>
  <c r="P94" i="25"/>
  <c r="AB94" i="25" s="1"/>
  <c r="P86" i="25"/>
  <c r="AB86" i="25" s="1"/>
  <c r="P78" i="25"/>
  <c r="AB78" i="25" s="1"/>
  <c r="P70" i="25"/>
  <c r="AB70" i="25" s="1"/>
  <c r="P62" i="25"/>
  <c r="AB62" i="25" s="1"/>
  <c r="P54" i="25"/>
  <c r="AB54" i="25" s="1"/>
  <c r="P275" i="25"/>
  <c r="AB275" i="25" s="1"/>
  <c r="P260" i="25"/>
  <c r="AB260" i="25" s="1"/>
  <c r="P259" i="25"/>
  <c r="AB259" i="25" s="1"/>
  <c r="P228" i="25"/>
  <c r="AB228" i="25" s="1"/>
  <c r="P227" i="25"/>
  <c r="AB227" i="25" s="1"/>
  <c r="P116" i="25"/>
  <c r="AB116" i="25" s="1"/>
  <c r="P108" i="25"/>
  <c r="AB108" i="25" s="1"/>
  <c r="P100" i="25"/>
  <c r="AB100" i="25" s="1"/>
  <c r="P92" i="25"/>
  <c r="AB92" i="25" s="1"/>
  <c r="P84" i="25"/>
  <c r="AB84" i="25" s="1"/>
  <c r="P76" i="25"/>
  <c r="AB76" i="25" s="1"/>
  <c r="P68" i="25"/>
  <c r="AB68" i="25" s="1"/>
  <c r="P60" i="25"/>
  <c r="AB60" i="25" s="1"/>
  <c r="P52" i="25"/>
  <c r="AB52" i="25" s="1"/>
  <c r="P44" i="25"/>
  <c r="AB44" i="25" s="1"/>
  <c r="P372" i="25"/>
  <c r="AB372" i="25" s="1"/>
  <c r="P352" i="25"/>
  <c r="AB352" i="25" s="1"/>
  <c r="P332" i="25"/>
  <c r="AB332" i="25" s="1"/>
  <c r="P244" i="25"/>
  <c r="AB244" i="25" s="1"/>
  <c r="P243" i="25"/>
  <c r="AB243" i="25" s="1"/>
  <c r="P112" i="25"/>
  <c r="AB112" i="25" s="1"/>
  <c r="P104" i="25"/>
  <c r="AB104" i="25" s="1"/>
  <c r="P96" i="25"/>
  <c r="AB96" i="25" s="1"/>
  <c r="P88" i="25"/>
  <c r="AB88" i="25" s="1"/>
  <c r="P80" i="25"/>
  <c r="AB80" i="25" s="1"/>
  <c r="P72" i="25"/>
  <c r="AB72" i="25" s="1"/>
  <c r="P64" i="25"/>
  <c r="AB64" i="25" s="1"/>
  <c r="P56" i="25"/>
  <c r="AB56" i="25" s="1"/>
  <c r="P48" i="25"/>
  <c r="AB48" i="25" s="1"/>
  <c r="P40" i="25"/>
  <c r="AB40" i="25" s="1"/>
  <c r="P32" i="25"/>
  <c r="AB32" i="25" s="1"/>
  <c r="P27" i="25"/>
  <c r="AB27" i="25" s="1"/>
  <c r="P25" i="25"/>
  <c r="AB25" i="25" s="1"/>
  <c r="P23" i="25"/>
  <c r="AB23" i="25" s="1"/>
  <c r="P21" i="25"/>
  <c r="AB21" i="25" s="1"/>
  <c r="P19" i="25"/>
  <c r="AB19" i="25" s="1"/>
  <c r="P17" i="25"/>
  <c r="AB17" i="25" s="1"/>
  <c r="P15" i="25"/>
  <c r="AB15" i="25" s="1"/>
  <c r="P13" i="25"/>
  <c r="AB13" i="25" s="1"/>
  <c r="P46" i="25"/>
  <c r="AB46" i="25" s="1"/>
  <c r="P38" i="25"/>
  <c r="AB38" i="25" s="1"/>
  <c r="P30" i="25"/>
  <c r="AB30" i="25" s="1"/>
  <c r="P214" i="25"/>
  <c r="AB214" i="25" s="1"/>
  <c r="P198" i="25"/>
  <c r="AB198" i="25" s="1"/>
  <c r="P182" i="25"/>
  <c r="AB182" i="25" s="1"/>
  <c r="P166" i="25"/>
  <c r="AB166" i="25" s="1"/>
  <c r="P150" i="25"/>
  <c r="AB150" i="25" s="1"/>
  <c r="P134" i="25"/>
  <c r="AB134" i="25" s="1"/>
  <c r="P98" i="25"/>
  <c r="AB98" i="25" s="1"/>
  <c r="P66" i="25"/>
  <c r="AB66" i="25" s="1"/>
  <c r="P174" i="25"/>
  <c r="AB174" i="25" s="1"/>
  <c r="P158" i="25"/>
  <c r="AB158" i="25" s="1"/>
  <c r="P24" i="25"/>
  <c r="AB24" i="25" s="1"/>
  <c r="P251" i="25"/>
  <c r="AB251" i="25" s="1"/>
  <c r="P218" i="25"/>
  <c r="AB218" i="25" s="1"/>
  <c r="P202" i="25"/>
  <c r="AB202" i="25" s="1"/>
  <c r="P186" i="25"/>
  <c r="AB186" i="25" s="1"/>
  <c r="P170" i="25"/>
  <c r="AB170" i="25" s="1"/>
  <c r="P154" i="25"/>
  <c r="AB154" i="25" s="1"/>
  <c r="P138" i="25"/>
  <c r="AB138" i="25" s="1"/>
  <c r="P122" i="25"/>
  <c r="AB122" i="25" s="1"/>
  <c r="P90" i="25"/>
  <c r="AB90" i="25" s="1"/>
  <c r="P58" i="25"/>
  <c r="AB58" i="25" s="1"/>
  <c r="P36" i="25"/>
  <c r="AB36" i="25" s="1"/>
  <c r="P26" i="25"/>
  <c r="AB26" i="25" s="1"/>
  <c r="P18" i="25"/>
  <c r="AB18" i="25" s="1"/>
  <c r="P190" i="25"/>
  <c r="AB190" i="25" s="1"/>
  <c r="P142" i="25"/>
  <c r="AB142" i="25" s="1"/>
  <c r="P126" i="25"/>
  <c r="AB126" i="25" s="1"/>
  <c r="P16" i="25"/>
  <c r="AB16" i="25" s="1"/>
  <c r="P252" i="25"/>
  <c r="AB252" i="25" s="1"/>
  <c r="P210" i="25"/>
  <c r="AB210" i="25" s="1"/>
  <c r="P194" i="25"/>
  <c r="AB194" i="25" s="1"/>
  <c r="P178" i="25"/>
  <c r="AB178" i="25" s="1"/>
  <c r="P162" i="25"/>
  <c r="AB162" i="25" s="1"/>
  <c r="P146" i="25"/>
  <c r="AB146" i="25" s="1"/>
  <c r="P130" i="25"/>
  <c r="AB130" i="25" s="1"/>
  <c r="P106" i="25"/>
  <c r="AB106" i="25" s="1"/>
  <c r="P74" i="25"/>
  <c r="AB74" i="25" s="1"/>
  <c r="P42" i="25"/>
  <c r="AB42" i="25" s="1"/>
  <c r="P28" i="25"/>
  <c r="AB28" i="25" s="1"/>
  <c r="P22" i="25"/>
  <c r="AB22" i="25" s="1"/>
  <c r="P14" i="25"/>
  <c r="AB14" i="25" s="1"/>
  <c r="P20" i="25"/>
  <c r="AB20" i="25" s="1"/>
  <c r="P206" i="25"/>
  <c r="AB206" i="25" s="1"/>
  <c r="P114" i="25"/>
  <c r="AB114" i="25" s="1"/>
  <c r="P82" i="25"/>
  <c r="AB82" i="25" s="1"/>
  <c r="P50" i="25"/>
  <c r="AB50" i="25" s="1"/>
  <c r="P34" i="25"/>
  <c r="AB34" i="25" s="1"/>
  <c r="O293" i="25"/>
  <c r="AA293" i="25" s="1"/>
  <c r="O123" i="25"/>
  <c r="AA123" i="25" s="1"/>
  <c r="O139" i="25"/>
  <c r="AA139" i="25" s="1"/>
  <c r="O155" i="25"/>
  <c r="AA155" i="25" s="1"/>
  <c r="O171" i="25"/>
  <c r="AA171" i="25" s="1"/>
  <c r="O187" i="25"/>
  <c r="AA187" i="25" s="1"/>
  <c r="O203" i="25"/>
  <c r="AA203" i="25" s="1"/>
  <c r="O227" i="25"/>
  <c r="AA227" i="25" s="1"/>
  <c r="O233" i="25"/>
  <c r="AA233" i="25" s="1"/>
  <c r="O265" i="25"/>
  <c r="AA265" i="25" s="1"/>
  <c r="O229" i="25"/>
  <c r="AA229" i="25" s="1"/>
  <c r="O261" i="25"/>
  <c r="AA261" i="25" s="1"/>
  <c r="O332" i="25"/>
  <c r="AA332" i="25" s="1"/>
  <c r="O239" i="25"/>
  <c r="AA239" i="25" s="1"/>
  <c r="O267" i="25"/>
  <c r="AA267" i="25" s="1"/>
  <c r="O340" i="25"/>
  <c r="AA340" i="25" s="1"/>
  <c r="O344" i="25"/>
  <c r="AA344" i="25" s="1"/>
  <c r="O360" i="25"/>
  <c r="AA360" i="25" s="1"/>
  <c r="O346" i="25"/>
  <c r="AA346" i="25" s="1"/>
  <c r="O362" i="25"/>
  <c r="AA362" i="25" s="1"/>
  <c r="O364" i="25"/>
  <c r="AA364" i="25" s="1"/>
  <c r="O454" i="25"/>
  <c r="AA454" i="25" s="1"/>
  <c r="O501" i="25"/>
  <c r="AA501" i="25" s="1"/>
  <c r="O438" i="25"/>
  <c r="AA438" i="25" s="1"/>
  <c r="O456" i="25"/>
  <c r="AA456" i="25" s="1"/>
  <c r="O436" i="25"/>
  <c r="AA436" i="25" s="1"/>
  <c r="O493" i="25"/>
  <c r="AA493" i="25" s="1"/>
  <c r="O458" i="25"/>
  <c r="AA458" i="25" s="1"/>
  <c r="O512" i="25"/>
  <c r="AA512" i="25" s="1"/>
  <c r="O495" i="25"/>
  <c r="AA495" i="25" s="1"/>
  <c r="O491" i="25"/>
  <c r="AA491" i="25" s="1"/>
  <c r="O465" i="25"/>
  <c r="AA465" i="25" s="1"/>
  <c r="O497" i="25"/>
  <c r="AA497" i="25" s="1"/>
  <c r="O524" i="25"/>
  <c r="AA524" i="25" s="1"/>
  <c r="O549" i="25"/>
  <c r="AA549" i="25" s="1"/>
  <c r="O531" i="25"/>
  <c r="AA531" i="25" s="1"/>
  <c r="O535" i="25"/>
  <c r="AA535" i="25" s="1"/>
  <c r="O568" i="25"/>
  <c r="AA568" i="25" s="1"/>
  <c r="O553" i="25"/>
  <c r="AA553" i="25" s="1"/>
  <c r="O584" i="25"/>
  <c r="AA584" i="25" s="1"/>
  <c r="O566" i="25"/>
  <c r="AA566" i="25" s="1"/>
  <c r="O572" i="25"/>
  <c r="AA572" i="25" s="1"/>
  <c r="O586" i="25"/>
  <c r="AA586" i="25" s="1"/>
  <c r="O602" i="25"/>
  <c r="AA602" i="25" s="1"/>
  <c r="O611" i="25"/>
  <c r="AA611" i="25" s="1"/>
  <c r="O59" i="25"/>
  <c r="AA59" i="25" s="1"/>
  <c r="O66" i="25"/>
  <c r="AA66" i="25" s="1"/>
  <c r="O193" i="25"/>
  <c r="AA193" i="25" s="1"/>
  <c r="O74" i="25"/>
  <c r="AA74" i="25" s="1"/>
  <c r="O137" i="25"/>
  <c r="AA137" i="25" s="1"/>
  <c r="O205" i="25"/>
  <c r="AA205" i="25" s="1"/>
  <c r="O243" i="25"/>
  <c r="AA243" i="25" s="1"/>
  <c r="O131" i="25"/>
  <c r="AA131" i="25" s="1"/>
  <c r="O195" i="25"/>
  <c r="AA195" i="25" s="1"/>
  <c r="O249" i="25"/>
  <c r="AA249" i="25" s="1"/>
  <c r="O277" i="25"/>
  <c r="AA277" i="25" s="1"/>
  <c r="O352" i="25"/>
  <c r="AA352" i="25" s="1"/>
  <c r="O374" i="25"/>
  <c r="AA374" i="25" s="1"/>
  <c r="O446" i="25"/>
  <c r="AA446" i="25" s="1"/>
  <c r="O442" i="25"/>
  <c r="AA442" i="25" s="1"/>
  <c r="O471" i="25"/>
  <c r="AA471" i="25" s="1"/>
  <c r="O533" i="25"/>
  <c r="AA533" i="25" s="1"/>
  <c r="O551" i="25"/>
  <c r="AA551" i="25" s="1"/>
  <c r="O537" i="25"/>
  <c r="AA537" i="25" s="1"/>
  <c r="O590" i="25"/>
  <c r="AA590" i="25" s="1"/>
  <c r="O324" i="25"/>
  <c r="AA324" i="25" s="1"/>
  <c r="O189" i="25"/>
  <c r="AA189" i="25" s="1"/>
  <c r="O78" i="25"/>
  <c r="AA78" i="25" s="1"/>
  <c r="O149" i="25"/>
  <c r="AA149" i="25" s="1"/>
  <c r="O213" i="25"/>
  <c r="AA213" i="25" s="1"/>
  <c r="O223" i="25"/>
  <c r="AA223" i="25" s="1"/>
  <c r="O219" i="25"/>
  <c r="AA219" i="25" s="1"/>
  <c r="O127" i="25"/>
  <c r="AA127" i="25" s="1"/>
  <c r="O143" i="25"/>
  <c r="AA143" i="25" s="1"/>
  <c r="O159" i="25"/>
  <c r="AA159" i="25" s="1"/>
  <c r="O175" i="25"/>
  <c r="AA175" i="25" s="1"/>
  <c r="O191" i="25"/>
  <c r="AA191" i="25" s="1"/>
  <c r="O207" i="25"/>
  <c r="AA207" i="25" s="1"/>
  <c r="O259" i="25"/>
  <c r="AA259" i="25" s="1"/>
  <c r="O241" i="25"/>
  <c r="AA241" i="25" s="1"/>
  <c r="O273" i="25"/>
  <c r="AA273" i="25" s="1"/>
  <c r="O237" i="25"/>
  <c r="AA237" i="25" s="1"/>
  <c r="O269" i="25"/>
  <c r="AA269" i="25" s="1"/>
  <c r="O398" i="25"/>
  <c r="AA398" i="25" s="1"/>
  <c r="O247" i="25"/>
  <c r="AA247" i="25" s="1"/>
  <c r="O275" i="25"/>
  <c r="AA275" i="25" s="1"/>
  <c r="O391" i="25"/>
  <c r="AA391" i="25" s="1"/>
  <c r="O348" i="25"/>
  <c r="AA348" i="25" s="1"/>
  <c r="O370" i="25"/>
  <c r="AA370" i="25" s="1"/>
  <c r="O350" i="25"/>
  <c r="AA350" i="25" s="1"/>
  <c r="O366" i="25"/>
  <c r="AA366" i="25" s="1"/>
  <c r="O372" i="25"/>
  <c r="AA372" i="25" s="1"/>
  <c r="O417" i="25"/>
  <c r="AA417" i="25" s="1"/>
  <c r="O401" i="25"/>
  <c r="AA401" i="25" s="1"/>
  <c r="O432" i="25"/>
  <c r="AA432" i="25" s="1"/>
  <c r="O477" i="25"/>
  <c r="AA477" i="25" s="1"/>
  <c r="O444" i="25"/>
  <c r="AA444" i="25" s="1"/>
  <c r="O434" i="25"/>
  <c r="AA434" i="25" s="1"/>
  <c r="O469" i="25"/>
  <c r="AA469" i="25" s="1"/>
  <c r="O467" i="25"/>
  <c r="AA467" i="25" s="1"/>
  <c r="O503" i="25"/>
  <c r="AA503" i="25" s="1"/>
  <c r="O499" i="25"/>
  <c r="AA499" i="25" s="1"/>
  <c r="O473" i="25"/>
  <c r="AA473" i="25" s="1"/>
  <c r="O505" i="25"/>
  <c r="AA505" i="25" s="1"/>
  <c r="O525" i="25"/>
  <c r="AA525" i="25" s="1"/>
  <c r="O576" i="25"/>
  <c r="AA576" i="25" s="1"/>
  <c r="O543" i="25"/>
  <c r="AA543" i="25" s="1"/>
  <c r="O539" i="25"/>
  <c r="AA539" i="25" s="1"/>
  <c r="O529" i="25"/>
  <c r="AA529" i="25" s="1"/>
  <c r="O562" i="25"/>
  <c r="AA562" i="25" s="1"/>
  <c r="O595" i="25"/>
  <c r="AA595" i="25" s="1"/>
  <c r="O574" i="25"/>
  <c r="AA574" i="25" s="1"/>
  <c r="O582" i="25"/>
  <c r="AA582" i="25" s="1"/>
  <c r="O580" i="25"/>
  <c r="AA580" i="25" s="1"/>
  <c r="O600" i="25"/>
  <c r="AA600" i="25" s="1"/>
  <c r="O609" i="25"/>
  <c r="AA609" i="25" s="1"/>
  <c r="O28" i="25"/>
  <c r="AA28" i="25" s="1"/>
  <c r="O129" i="25"/>
  <c r="AA129" i="25" s="1"/>
  <c r="O173" i="25"/>
  <c r="AA173" i="25" s="1"/>
  <c r="O201" i="25"/>
  <c r="AA201" i="25" s="1"/>
  <c r="O90" i="25"/>
  <c r="AA90" i="25" s="1"/>
  <c r="O235" i="25"/>
  <c r="AA235" i="25" s="1"/>
  <c r="O147" i="25"/>
  <c r="AA147" i="25" s="1"/>
  <c r="O211" i="25"/>
  <c r="AA211" i="25" s="1"/>
  <c r="O284" i="25"/>
  <c r="AA284" i="25" s="1"/>
  <c r="O399" i="25"/>
  <c r="AA399" i="25" s="1"/>
  <c r="O425" i="25"/>
  <c r="AA425" i="25" s="1"/>
  <c r="O354" i="25"/>
  <c r="AA354" i="25" s="1"/>
  <c r="O430" i="25"/>
  <c r="AA430" i="25" s="1"/>
  <c r="O509" i="25"/>
  <c r="AA509" i="25" s="1"/>
  <c r="O483" i="25"/>
  <c r="AA483" i="25" s="1"/>
  <c r="O481" i="25"/>
  <c r="AA481" i="25" s="1"/>
  <c r="O516" i="25"/>
  <c r="AA516" i="25" s="1"/>
  <c r="O560" i="25"/>
  <c r="AA560" i="25" s="1"/>
  <c r="O598" i="25"/>
  <c r="AA598" i="25" s="1"/>
  <c r="O94" i="25"/>
  <c r="AA94" i="25" s="1"/>
  <c r="O25" i="25"/>
  <c r="AA25" i="25" s="1"/>
  <c r="O102" i="25"/>
  <c r="AA102" i="25" s="1"/>
  <c r="O153" i="25"/>
  <c r="AA153" i="25" s="1"/>
  <c r="O217" i="25"/>
  <c r="AA217" i="25" s="1"/>
  <c r="O125" i="25"/>
  <c r="AA125" i="25" s="1"/>
  <c r="O34" i="25"/>
  <c r="AA34" i="25" s="1"/>
  <c r="O110" i="25"/>
  <c r="AA110" i="25" s="1"/>
  <c r="O181" i="25"/>
  <c r="AA181" i="25" s="1"/>
  <c r="O292" i="25"/>
  <c r="AA292" i="25" s="1"/>
  <c r="O271" i="25"/>
  <c r="AA271" i="25" s="1"/>
  <c r="O135" i="25"/>
  <c r="AA135" i="25" s="1"/>
  <c r="O151" i="25"/>
  <c r="AA151" i="25" s="1"/>
  <c r="O167" i="25"/>
  <c r="AA167" i="25" s="1"/>
  <c r="O183" i="25"/>
  <c r="AA183" i="25" s="1"/>
  <c r="O199" i="25"/>
  <c r="AA199" i="25" s="1"/>
  <c r="O215" i="25"/>
  <c r="AA215" i="25" s="1"/>
  <c r="O396" i="25"/>
  <c r="AA396" i="25" s="1"/>
  <c r="O257" i="25"/>
  <c r="AA257" i="25" s="1"/>
  <c r="O316" i="25"/>
  <c r="AA316" i="25" s="1"/>
  <c r="O253" i="25"/>
  <c r="AA253" i="25" s="1"/>
  <c r="O300" i="25"/>
  <c r="AA300" i="25" s="1"/>
  <c r="O231" i="25"/>
  <c r="AA231" i="25" s="1"/>
  <c r="O263" i="25"/>
  <c r="AA263" i="25" s="1"/>
  <c r="O328" i="25"/>
  <c r="AA328" i="25" s="1"/>
  <c r="O426" i="25"/>
  <c r="AA426" i="25" s="1"/>
  <c r="O356" i="25"/>
  <c r="AA356" i="25" s="1"/>
  <c r="O390" i="25"/>
  <c r="AA390" i="25" s="1"/>
  <c r="O358" i="25"/>
  <c r="AA358" i="25" s="1"/>
  <c r="O418" i="25"/>
  <c r="AA418" i="25" s="1"/>
  <c r="O382" i="25"/>
  <c r="AA382" i="25" s="1"/>
  <c r="O462" i="25"/>
  <c r="AA462" i="25" s="1"/>
  <c r="O409" i="25"/>
  <c r="AA409" i="25" s="1"/>
  <c r="O448" i="25"/>
  <c r="AA448" i="25" s="1"/>
  <c r="O428" i="25"/>
  <c r="AA428" i="25" s="1"/>
  <c r="O460" i="25"/>
  <c r="AA460" i="25" s="1"/>
  <c r="O450" i="25"/>
  <c r="AA450" i="25" s="1"/>
  <c r="O485" i="25"/>
  <c r="AA485" i="25" s="1"/>
  <c r="O487" i="25"/>
  <c r="AA487" i="25" s="1"/>
  <c r="O479" i="25"/>
  <c r="AA479" i="25" s="1"/>
  <c r="O520" i="25"/>
  <c r="AA520" i="25" s="1"/>
  <c r="O489" i="25"/>
  <c r="AA489" i="25" s="1"/>
  <c r="O518" i="25"/>
  <c r="AA518" i="25" s="1"/>
  <c r="O522" i="25"/>
  <c r="AA522" i="25" s="1"/>
  <c r="O541" i="25"/>
  <c r="AA541" i="25" s="1"/>
  <c r="O527" i="25"/>
  <c r="AA527" i="25" s="1"/>
  <c r="O555" i="25"/>
  <c r="AA555" i="25" s="1"/>
  <c r="O545" i="25"/>
  <c r="AA545" i="25" s="1"/>
  <c r="O570" i="25"/>
  <c r="AA570" i="25" s="1"/>
  <c r="O564" i="25"/>
  <c r="AA564" i="25" s="1"/>
  <c r="O558" i="25"/>
  <c r="AA558" i="25" s="1"/>
  <c r="O578" i="25"/>
  <c r="AA578" i="25" s="1"/>
  <c r="O606" i="25"/>
  <c r="AA606" i="25" s="1"/>
  <c r="O607" i="25"/>
  <c r="AA607" i="25" s="1"/>
  <c r="O17" i="25"/>
  <c r="AA17" i="25" s="1"/>
  <c r="O82" i="25"/>
  <c r="AA82" i="25" s="1"/>
  <c r="O325" i="25"/>
  <c r="AA325" i="25" s="1"/>
  <c r="O165" i="25"/>
  <c r="AA165" i="25" s="1"/>
  <c r="O251" i="25"/>
  <c r="AA251" i="25" s="1"/>
  <c r="O163" i="25"/>
  <c r="AA163" i="25" s="1"/>
  <c r="O179" i="25"/>
  <c r="AA179" i="25" s="1"/>
  <c r="O368" i="25"/>
  <c r="AA368" i="25" s="1"/>
  <c r="O245" i="25"/>
  <c r="AA245" i="25" s="1"/>
  <c r="O255" i="25"/>
  <c r="AA255" i="25" s="1"/>
  <c r="O308" i="25"/>
  <c r="AA308" i="25" s="1"/>
  <c r="O388" i="25"/>
  <c r="AA388" i="25" s="1"/>
  <c r="O380" i="25"/>
  <c r="AA380" i="25" s="1"/>
  <c r="O440" i="25"/>
  <c r="AA440" i="25" s="1"/>
  <c r="O452" i="25"/>
  <c r="AA452" i="25" s="1"/>
  <c r="O475" i="25"/>
  <c r="AA475" i="25" s="1"/>
  <c r="O507" i="25"/>
  <c r="AA507" i="25" s="1"/>
  <c r="O514" i="25"/>
  <c r="AA514" i="25" s="1"/>
  <c r="O547" i="25"/>
  <c r="AA547" i="25" s="1"/>
  <c r="O604" i="25"/>
  <c r="AA604" i="25" s="1"/>
  <c r="O588" i="25"/>
  <c r="AA588" i="25" s="1"/>
  <c r="O613" i="25"/>
  <c r="AA613" i="25" s="1"/>
  <c r="O612" i="25"/>
  <c r="AA612" i="25" s="1"/>
  <c r="O592" i="25"/>
  <c r="AA592" i="25" s="1"/>
  <c r="O587" i="25"/>
  <c r="AA587" i="25" s="1"/>
  <c r="O597" i="25"/>
  <c r="AA597" i="25" s="1"/>
  <c r="O581" i="25"/>
  <c r="AA581" i="25" s="1"/>
  <c r="O561" i="25"/>
  <c r="AA561" i="25" s="1"/>
  <c r="O563" i="25"/>
  <c r="AA563" i="25" s="1"/>
  <c r="O544" i="25"/>
  <c r="AA544" i="25" s="1"/>
  <c r="O546" i="25"/>
  <c r="AA546" i="25" s="1"/>
  <c r="O567" i="25"/>
  <c r="AA567" i="25" s="1"/>
  <c r="O534" i="25"/>
  <c r="AA534" i="25" s="1"/>
  <c r="O511" i="25"/>
  <c r="AA511" i="25" s="1"/>
  <c r="O521" i="25"/>
  <c r="AA521" i="25" s="1"/>
  <c r="O488" i="25"/>
  <c r="AA488" i="25" s="1"/>
  <c r="O498" i="25"/>
  <c r="AA498" i="25" s="1"/>
  <c r="O466" i="25"/>
  <c r="AA466" i="25" s="1"/>
  <c r="O494" i="25"/>
  <c r="AA494" i="25" s="1"/>
  <c r="O470" i="25"/>
  <c r="AA470" i="25" s="1"/>
  <c r="O457" i="25"/>
  <c r="AA457" i="25" s="1"/>
  <c r="O449" i="25"/>
  <c r="AA449" i="25" s="1"/>
  <c r="O441" i="25"/>
  <c r="AA441" i="25" s="1"/>
  <c r="O433" i="25"/>
  <c r="AA433" i="25" s="1"/>
  <c r="O472" i="25"/>
  <c r="AA472" i="25" s="1"/>
  <c r="O414" i="25"/>
  <c r="AA414" i="25" s="1"/>
  <c r="O464" i="25"/>
  <c r="AA464" i="25" s="1"/>
  <c r="O412" i="25"/>
  <c r="AA412" i="25" s="1"/>
  <c r="O492" i="25"/>
  <c r="AA492" i="25" s="1"/>
  <c r="O408" i="25"/>
  <c r="AA408" i="25" s="1"/>
  <c r="O395" i="25"/>
  <c r="AA395" i="25" s="1"/>
  <c r="O410" i="25"/>
  <c r="AA410" i="25" s="1"/>
  <c r="O385" i="25"/>
  <c r="AA385" i="25" s="1"/>
  <c r="O371" i="25"/>
  <c r="AA371" i="25" s="1"/>
  <c r="O427" i="25"/>
  <c r="AA427" i="25" s="1"/>
  <c r="O403" i="25"/>
  <c r="AA403" i="25" s="1"/>
  <c r="O353" i="25"/>
  <c r="AA353" i="25" s="1"/>
  <c r="O337" i="25"/>
  <c r="AA337" i="25" s="1"/>
  <c r="O321" i="25"/>
  <c r="AA321" i="25" s="1"/>
  <c r="O305" i="25"/>
  <c r="AA305" i="25" s="1"/>
  <c r="O289" i="25"/>
  <c r="AA289" i="25" s="1"/>
  <c r="O343" i="25"/>
  <c r="AA343" i="25" s="1"/>
  <c r="O320" i="25"/>
  <c r="AA320" i="25" s="1"/>
  <c r="O304" i="25"/>
  <c r="AA304" i="25" s="1"/>
  <c r="O288" i="25"/>
  <c r="AA288" i="25" s="1"/>
  <c r="O278" i="25"/>
  <c r="AA278" i="25" s="1"/>
  <c r="O270" i="25"/>
  <c r="AA270" i="25" s="1"/>
  <c r="O339" i="25"/>
  <c r="AA339" i="25" s="1"/>
  <c r="O307" i="25"/>
  <c r="AA307" i="25" s="1"/>
  <c r="O351" i="25"/>
  <c r="AA351" i="25" s="1"/>
  <c r="O285" i="25"/>
  <c r="AA285" i="25" s="1"/>
  <c r="O234" i="25"/>
  <c r="AA234" i="25" s="1"/>
  <c r="O375" i="25"/>
  <c r="AA375" i="25" s="1"/>
  <c r="O310" i="25"/>
  <c r="AA310" i="25" s="1"/>
  <c r="O240" i="25"/>
  <c r="AA240" i="25" s="1"/>
  <c r="O347" i="25"/>
  <c r="AA347" i="25" s="1"/>
  <c r="O252" i="25"/>
  <c r="AA252" i="25" s="1"/>
  <c r="O302" i="25"/>
  <c r="AA302" i="25" s="1"/>
  <c r="O119" i="25"/>
  <c r="AA119" i="25" s="1"/>
  <c r="O103" i="25"/>
  <c r="AA103" i="25" s="1"/>
  <c r="O87" i="25"/>
  <c r="AA87" i="25" s="1"/>
  <c r="O71" i="25"/>
  <c r="AA71" i="25" s="1"/>
  <c r="O55" i="25"/>
  <c r="AA55" i="25" s="1"/>
  <c r="O333" i="25"/>
  <c r="AA333" i="25" s="1"/>
  <c r="O208" i="25"/>
  <c r="AA208" i="25" s="1"/>
  <c r="O192" i="25"/>
  <c r="AA192" i="25" s="1"/>
  <c r="O176" i="25"/>
  <c r="AA176" i="25" s="1"/>
  <c r="O160" i="25"/>
  <c r="AA160" i="25" s="1"/>
  <c r="O144" i="25"/>
  <c r="AA144" i="25" s="1"/>
  <c r="O128" i="25"/>
  <c r="AA128" i="25" s="1"/>
  <c r="O109" i="25"/>
  <c r="AA109" i="25" s="1"/>
  <c r="O77" i="25"/>
  <c r="AA77" i="25" s="1"/>
  <c r="O46" i="25"/>
  <c r="AA46" i="25" s="1"/>
  <c r="O222" i="25"/>
  <c r="AA222" i="25" s="1"/>
  <c r="O206" i="25"/>
  <c r="AA206" i="25" s="1"/>
  <c r="O190" i="25"/>
  <c r="AA190" i="25" s="1"/>
  <c r="O174" i="25"/>
  <c r="AA174" i="25" s="1"/>
  <c r="O158" i="25"/>
  <c r="AA158" i="25" s="1"/>
  <c r="O142" i="25"/>
  <c r="AA142" i="25" s="1"/>
  <c r="O126" i="25"/>
  <c r="AA126" i="25" s="1"/>
  <c r="O97" i="25"/>
  <c r="AA97" i="25" s="1"/>
  <c r="O65" i="25"/>
  <c r="AA65" i="25" s="1"/>
  <c r="O33" i="25"/>
  <c r="AA33" i="25" s="1"/>
  <c r="O68" i="25"/>
  <c r="AA68" i="25" s="1"/>
  <c r="O21" i="25"/>
  <c r="AA21" i="25" s="1"/>
  <c r="O30" i="25"/>
  <c r="AA30" i="25" s="1"/>
  <c r="O20" i="25"/>
  <c r="AA20" i="25" s="1"/>
  <c r="O51" i="25"/>
  <c r="AA51" i="25" s="1"/>
  <c r="O76" i="25"/>
  <c r="AA76" i="25" s="1"/>
  <c r="O14" i="25"/>
  <c r="AA14" i="25" s="1"/>
  <c r="O83" i="25"/>
  <c r="AA83" i="25" s="1"/>
  <c r="O209" i="25"/>
  <c r="AA209" i="25" s="1"/>
  <c r="O75" i="25"/>
  <c r="AA75" i="25" s="1"/>
  <c r="O70" i="25"/>
  <c r="AA70" i="25" s="1"/>
  <c r="O118" i="25"/>
  <c r="AA118" i="25" s="1"/>
  <c r="O24" i="25"/>
  <c r="AA24" i="25" s="1"/>
  <c r="O141" i="25"/>
  <c r="AA141" i="25" s="1"/>
  <c r="O50" i="25"/>
  <c r="AA50" i="25" s="1"/>
  <c r="O161" i="25"/>
  <c r="AA161" i="25" s="1"/>
  <c r="O37" i="25"/>
  <c r="AA37" i="25" s="1"/>
  <c r="O197" i="25"/>
  <c r="AA197" i="25" s="1"/>
  <c r="O98" i="25"/>
  <c r="AA98" i="25" s="1"/>
  <c r="O591" i="25"/>
  <c r="AA591" i="25" s="1"/>
  <c r="O557" i="25"/>
  <c r="AA557" i="25" s="1"/>
  <c r="O550" i="25"/>
  <c r="AA550" i="25" s="1"/>
  <c r="O504" i="25"/>
  <c r="AA504" i="25" s="1"/>
  <c r="O484" i="25"/>
  <c r="AA484" i="25" s="1"/>
  <c r="O453" i="25"/>
  <c r="AA453" i="25" s="1"/>
  <c r="O429" i="25"/>
  <c r="AA429" i="25" s="1"/>
  <c r="O404" i="25"/>
  <c r="AA404" i="25" s="1"/>
  <c r="O379" i="25"/>
  <c r="AA379" i="25" s="1"/>
  <c r="O389" i="25"/>
  <c r="AA389" i="25" s="1"/>
  <c r="O329" i="25"/>
  <c r="AA329" i="25" s="1"/>
  <c r="O281" i="25"/>
  <c r="AA281" i="25" s="1"/>
  <c r="O280" i="25"/>
  <c r="AA280" i="25" s="1"/>
  <c r="O317" i="25"/>
  <c r="AA317" i="25" s="1"/>
  <c r="O256" i="25"/>
  <c r="AA256" i="25" s="1"/>
  <c r="O236" i="25"/>
  <c r="AA236" i="25" s="1"/>
  <c r="O95" i="25"/>
  <c r="AA95" i="25" s="1"/>
  <c r="O39" i="25"/>
  <c r="AA39" i="25" s="1"/>
  <c r="O184" i="25"/>
  <c r="AA184" i="25" s="1"/>
  <c r="O120" i="25"/>
  <c r="AA120" i="25" s="1"/>
  <c r="O334" i="25"/>
  <c r="AA334" i="25" s="1"/>
  <c r="O182" i="25"/>
  <c r="AA182" i="25" s="1"/>
  <c r="O38" i="25"/>
  <c r="AA38" i="25" s="1"/>
  <c r="O301" i="25"/>
  <c r="AA301" i="25" s="1"/>
  <c r="O26" i="25"/>
  <c r="AA26" i="25" s="1"/>
  <c r="O31" i="25"/>
  <c r="AA31" i="25" s="1"/>
  <c r="O610" i="25"/>
  <c r="AA610" i="25" s="1"/>
  <c r="O601" i="25"/>
  <c r="AA601" i="25" s="1"/>
  <c r="O585" i="25"/>
  <c r="AA585" i="25" s="1"/>
  <c r="O594" i="25"/>
  <c r="AA594" i="25" s="1"/>
  <c r="O596" i="25"/>
  <c r="AA596" i="25" s="1"/>
  <c r="O573" i="25"/>
  <c r="AA573" i="25" s="1"/>
  <c r="O579" i="25"/>
  <c r="AA579" i="25" s="1"/>
  <c r="O532" i="25"/>
  <c r="AA532" i="25" s="1"/>
  <c r="O538" i="25"/>
  <c r="AA538" i="25" s="1"/>
  <c r="O565" i="25"/>
  <c r="AA565" i="25" s="1"/>
  <c r="O526" i="25"/>
  <c r="AA526" i="25" s="1"/>
  <c r="O517" i="25"/>
  <c r="AA517" i="25" s="1"/>
  <c r="O513" i="25"/>
  <c r="AA513" i="25" s="1"/>
  <c r="O476" i="25"/>
  <c r="AA476" i="25" s="1"/>
  <c r="O490" i="25"/>
  <c r="AA490" i="25" s="1"/>
  <c r="O540" i="25"/>
  <c r="AA540" i="25" s="1"/>
  <c r="O486" i="25"/>
  <c r="AA486" i="25" s="1"/>
  <c r="O463" i="25"/>
  <c r="AA463" i="25" s="1"/>
  <c r="O455" i="25"/>
  <c r="AA455" i="25" s="1"/>
  <c r="O447" i="25"/>
  <c r="AA447" i="25" s="1"/>
  <c r="O439" i="25"/>
  <c r="AA439" i="25" s="1"/>
  <c r="O431" i="25"/>
  <c r="AA431" i="25" s="1"/>
  <c r="O423" i="25"/>
  <c r="AA423" i="25" s="1"/>
  <c r="O407" i="25"/>
  <c r="AA407" i="25" s="1"/>
  <c r="O421" i="25"/>
  <c r="AA421" i="25" s="1"/>
  <c r="O405" i="25"/>
  <c r="AA405" i="25" s="1"/>
  <c r="O480" i="25"/>
  <c r="AA480" i="25" s="1"/>
  <c r="O400" i="25"/>
  <c r="AA400" i="25" s="1"/>
  <c r="O387" i="25"/>
  <c r="AA387" i="25" s="1"/>
  <c r="O394" i="25"/>
  <c r="AA394" i="25" s="1"/>
  <c r="O378" i="25"/>
  <c r="AA378" i="25" s="1"/>
  <c r="O369" i="25"/>
  <c r="AA369" i="25" s="1"/>
  <c r="O397" i="25"/>
  <c r="AA397" i="25" s="1"/>
  <c r="O392" i="25"/>
  <c r="AA392" i="25" s="1"/>
  <c r="O349" i="25"/>
  <c r="AA349" i="25" s="1"/>
  <c r="O330" i="25"/>
  <c r="AA330" i="25" s="1"/>
  <c r="O314" i="25"/>
  <c r="AA314" i="25" s="1"/>
  <c r="O298" i="25"/>
  <c r="AA298" i="25" s="1"/>
  <c r="O282" i="25"/>
  <c r="AA282" i="25" s="1"/>
  <c r="O336" i="25"/>
  <c r="AA336" i="25" s="1"/>
  <c r="O319" i="25"/>
  <c r="AA319" i="25" s="1"/>
  <c r="O303" i="25"/>
  <c r="AA303" i="25" s="1"/>
  <c r="O287" i="25"/>
  <c r="AA287" i="25" s="1"/>
  <c r="O276" i="25"/>
  <c r="AA276" i="25" s="1"/>
  <c r="O268" i="25"/>
  <c r="AA268" i="25" s="1"/>
  <c r="O331" i="25"/>
  <c r="AA331" i="25" s="1"/>
  <c r="O299" i="25"/>
  <c r="AA299" i="25" s="1"/>
  <c r="O318" i="25"/>
  <c r="AA318" i="25" s="1"/>
  <c r="O258" i="25"/>
  <c r="AA258" i="25" s="1"/>
  <c r="O226" i="25"/>
  <c r="AA226" i="25" s="1"/>
  <c r="O355" i="25"/>
  <c r="AA355" i="25" s="1"/>
  <c r="O309" i="25"/>
  <c r="AA309" i="25" s="1"/>
  <c r="O232" i="25"/>
  <c r="AA232" i="25" s="1"/>
  <c r="O326" i="25"/>
  <c r="AA326" i="25" s="1"/>
  <c r="O244" i="25"/>
  <c r="AA244" i="25" s="1"/>
  <c r="O262" i="25"/>
  <c r="AA262" i="25" s="1"/>
  <c r="O112" i="25"/>
  <c r="AA112" i="25" s="1"/>
  <c r="O96" i="25"/>
  <c r="AA96" i="25" s="1"/>
  <c r="O80" i="25"/>
  <c r="AA80" i="25" s="1"/>
  <c r="O64" i="25"/>
  <c r="AA64" i="25" s="1"/>
  <c r="O47" i="25"/>
  <c r="AA47" i="25" s="1"/>
  <c r="O254" i="25"/>
  <c r="AA254" i="25" s="1"/>
  <c r="O204" i="25"/>
  <c r="AA204" i="25" s="1"/>
  <c r="O188" i="25"/>
  <c r="AA188" i="25" s="1"/>
  <c r="O172" i="25"/>
  <c r="AA172" i="25" s="1"/>
  <c r="O156" i="25"/>
  <c r="AA156" i="25" s="1"/>
  <c r="O140" i="25"/>
  <c r="AA140" i="25" s="1"/>
  <c r="O124" i="25"/>
  <c r="AA124" i="25" s="1"/>
  <c r="O101" i="25"/>
  <c r="AA101" i="25" s="1"/>
  <c r="O69" i="25"/>
  <c r="AA69" i="25" s="1"/>
  <c r="O45" i="25"/>
  <c r="AA45" i="25" s="1"/>
  <c r="O218" i="25"/>
  <c r="AA218" i="25" s="1"/>
  <c r="O202" i="25"/>
  <c r="AA202" i="25" s="1"/>
  <c r="O186" i="25"/>
  <c r="AA186" i="25" s="1"/>
  <c r="O170" i="25"/>
  <c r="AA170" i="25" s="1"/>
  <c r="O154" i="25"/>
  <c r="AA154" i="25" s="1"/>
  <c r="O138" i="25"/>
  <c r="AA138" i="25" s="1"/>
  <c r="O122" i="25"/>
  <c r="AA122" i="25" s="1"/>
  <c r="O89" i="25"/>
  <c r="AA89" i="25" s="1"/>
  <c r="O57" i="25"/>
  <c r="AA57" i="25" s="1"/>
  <c r="O48" i="25"/>
  <c r="AA48" i="25" s="1"/>
  <c r="O67" i="25"/>
  <c r="AA67" i="25" s="1"/>
  <c r="O359" i="25"/>
  <c r="AA359" i="25" s="1"/>
  <c r="O92" i="25"/>
  <c r="AA92" i="25" s="1"/>
  <c r="O19" i="25"/>
  <c r="AA19" i="25" s="1"/>
  <c r="O36" i="25"/>
  <c r="AA36" i="25" s="1"/>
  <c r="O44" i="25"/>
  <c r="AA44" i="25" s="1"/>
  <c r="O13" i="25"/>
  <c r="AA13" i="25" s="1"/>
  <c r="O29" i="25"/>
  <c r="AA29" i="25" s="1"/>
  <c r="O145" i="25"/>
  <c r="AA145" i="25" s="1"/>
  <c r="O35" i="25"/>
  <c r="AA35" i="25" s="1"/>
  <c r="O603" i="25"/>
  <c r="AA603" i="25" s="1"/>
  <c r="O548" i="25"/>
  <c r="AA548" i="25" s="1"/>
  <c r="O482" i="25"/>
  <c r="AA482" i="25" s="1"/>
  <c r="O445" i="25"/>
  <c r="AA445" i="25" s="1"/>
  <c r="O406" i="25"/>
  <c r="AA406" i="25" s="1"/>
  <c r="O424" i="25"/>
  <c r="AA424" i="25" s="1"/>
  <c r="O377" i="25"/>
  <c r="AA377" i="25" s="1"/>
  <c r="O361" i="25"/>
  <c r="AA361" i="25" s="1"/>
  <c r="O313" i="25"/>
  <c r="AA313" i="25" s="1"/>
  <c r="O335" i="25"/>
  <c r="AA335" i="25" s="1"/>
  <c r="O274" i="25"/>
  <c r="AA274" i="25" s="1"/>
  <c r="O291" i="25"/>
  <c r="AA291" i="25" s="1"/>
  <c r="O342" i="25"/>
  <c r="AA342" i="25" s="1"/>
  <c r="O294" i="25"/>
  <c r="AA294" i="25" s="1"/>
  <c r="O111" i="25"/>
  <c r="AA111" i="25" s="1"/>
  <c r="O216" i="25"/>
  <c r="AA216" i="25" s="1"/>
  <c r="O168" i="25"/>
  <c r="AA168" i="25" s="1"/>
  <c r="O93" i="25"/>
  <c r="AA93" i="25" s="1"/>
  <c r="O214" i="25"/>
  <c r="AA214" i="25" s="1"/>
  <c r="O150" i="25"/>
  <c r="AA150" i="25" s="1"/>
  <c r="O81" i="25"/>
  <c r="AA81" i="25" s="1"/>
  <c r="O246" i="25"/>
  <c r="AA246" i="25" s="1"/>
  <c r="O220" i="25"/>
  <c r="AA220" i="25" s="1"/>
  <c r="O86" i="25"/>
  <c r="AA86" i="25" s="1"/>
  <c r="O107" i="25"/>
  <c r="AA107" i="25" s="1"/>
  <c r="O133" i="25"/>
  <c r="AA133" i="25" s="1"/>
  <c r="O593" i="25"/>
  <c r="AA593" i="25" s="1"/>
  <c r="O589" i="25"/>
  <c r="AA589" i="25" s="1"/>
  <c r="O605" i="25"/>
  <c r="AA605" i="25" s="1"/>
  <c r="O583" i="25"/>
  <c r="AA583" i="25" s="1"/>
  <c r="O571" i="25"/>
  <c r="AA571" i="25" s="1"/>
  <c r="O569" i="25"/>
  <c r="AA569" i="25" s="1"/>
  <c r="O552" i="25"/>
  <c r="AA552" i="25" s="1"/>
  <c r="O554" i="25"/>
  <c r="AA554" i="25" s="1"/>
  <c r="O523" i="25"/>
  <c r="AA523" i="25" s="1"/>
  <c r="O542" i="25"/>
  <c r="AA542" i="25" s="1"/>
  <c r="O519" i="25"/>
  <c r="AA519" i="25" s="1"/>
  <c r="O528" i="25"/>
  <c r="AA528" i="25" s="1"/>
  <c r="O496" i="25"/>
  <c r="AA496" i="25" s="1"/>
  <c r="O506" i="25"/>
  <c r="AA506" i="25" s="1"/>
  <c r="O474" i="25"/>
  <c r="AA474" i="25" s="1"/>
  <c r="O502" i="25"/>
  <c r="AA502" i="25" s="1"/>
  <c r="O478" i="25"/>
  <c r="AA478" i="25" s="1"/>
  <c r="O459" i="25"/>
  <c r="AA459" i="25" s="1"/>
  <c r="O451" i="25"/>
  <c r="AA451" i="25" s="1"/>
  <c r="O443" i="25"/>
  <c r="AA443" i="25" s="1"/>
  <c r="O435" i="25"/>
  <c r="AA435" i="25" s="1"/>
  <c r="O500" i="25"/>
  <c r="AA500" i="25" s="1"/>
  <c r="O415" i="25"/>
  <c r="AA415" i="25" s="1"/>
  <c r="O508" i="25"/>
  <c r="AA508" i="25" s="1"/>
  <c r="O413" i="25"/>
  <c r="AA413" i="25" s="1"/>
  <c r="O536" i="25"/>
  <c r="AA536" i="25" s="1"/>
  <c r="O416" i="25"/>
  <c r="AA416" i="25" s="1"/>
  <c r="O419" i="25"/>
  <c r="AA419" i="25" s="1"/>
  <c r="O411" i="25"/>
  <c r="AA411" i="25" s="1"/>
  <c r="O386" i="25"/>
  <c r="AA386" i="25" s="1"/>
  <c r="O373" i="25"/>
  <c r="AA373" i="25" s="1"/>
  <c r="O365" i="25"/>
  <c r="AA365" i="25" s="1"/>
  <c r="O381" i="25"/>
  <c r="AA381" i="25" s="1"/>
  <c r="O357" i="25"/>
  <c r="AA357" i="25" s="1"/>
  <c r="O338" i="25"/>
  <c r="AA338" i="25" s="1"/>
  <c r="O322" i="25"/>
  <c r="AA322" i="25" s="1"/>
  <c r="O306" i="25"/>
  <c r="AA306" i="25" s="1"/>
  <c r="O290" i="25"/>
  <c r="AA290" i="25" s="1"/>
  <c r="O384" i="25"/>
  <c r="AA384" i="25" s="1"/>
  <c r="O327" i="25"/>
  <c r="AA327" i="25" s="1"/>
  <c r="O311" i="25"/>
  <c r="AA311" i="25" s="1"/>
  <c r="O295" i="25"/>
  <c r="AA295" i="25" s="1"/>
  <c r="O279" i="25"/>
  <c r="AA279" i="25" s="1"/>
  <c r="O272" i="25"/>
  <c r="AA272" i="25" s="1"/>
  <c r="O264" i="25"/>
  <c r="AA264" i="25" s="1"/>
  <c r="O315" i="25"/>
  <c r="AA315" i="25" s="1"/>
  <c r="O283" i="25"/>
  <c r="AA283" i="25" s="1"/>
  <c r="O286" i="25"/>
  <c r="AA286" i="25" s="1"/>
  <c r="O242" i="25"/>
  <c r="AA242" i="25" s="1"/>
  <c r="O402" i="25"/>
  <c r="AA402" i="25" s="1"/>
  <c r="O341" i="25"/>
  <c r="AA341" i="25" s="1"/>
  <c r="O248" i="25"/>
  <c r="AA248" i="25" s="1"/>
  <c r="O363" i="25"/>
  <c r="AA363" i="25" s="1"/>
  <c r="O260" i="25"/>
  <c r="AA260" i="25" s="1"/>
  <c r="O228" i="25"/>
  <c r="AA228" i="25" s="1"/>
  <c r="O224" i="25"/>
  <c r="AA224" i="25" s="1"/>
  <c r="O104" i="25"/>
  <c r="AA104" i="25" s="1"/>
  <c r="O88" i="25"/>
  <c r="AA88" i="25" s="1"/>
  <c r="O72" i="25"/>
  <c r="AA72" i="25" s="1"/>
  <c r="O56" i="25"/>
  <c r="AA56" i="25" s="1"/>
  <c r="O32" i="25"/>
  <c r="AA32" i="25" s="1"/>
  <c r="O212" i="25"/>
  <c r="AA212" i="25" s="1"/>
  <c r="O196" i="25"/>
  <c r="AA196" i="25" s="1"/>
  <c r="O180" i="25"/>
  <c r="AA180" i="25" s="1"/>
  <c r="O164" i="25"/>
  <c r="AA164" i="25" s="1"/>
  <c r="O148" i="25"/>
  <c r="AA148" i="25" s="1"/>
  <c r="O132" i="25"/>
  <c r="AA132" i="25" s="1"/>
  <c r="O117" i="25"/>
  <c r="AA117" i="25" s="1"/>
  <c r="O85" i="25"/>
  <c r="AA85" i="25" s="1"/>
  <c r="O53" i="25"/>
  <c r="AA53" i="25" s="1"/>
  <c r="O238" i="25"/>
  <c r="AA238" i="25" s="1"/>
  <c r="O210" i="25"/>
  <c r="AA210" i="25" s="1"/>
  <c r="O194" i="25"/>
  <c r="AA194" i="25" s="1"/>
  <c r="O178" i="25"/>
  <c r="AA178" i="25" s="1"/>
  <c r="O162" i="25"/>
  <c r="AA162" i="25" s="1"/>
  <c r="O146" i="25"/>
  <c r="AA146" i="25" s="1"/>
  <c r="O130" i="25"/>
  <c r="AA130" i="25" s="1"/>
  <c r="O105" i="25"/>
  <c r="AA105" i="25" s="1"/>
  <c r="O73" i="25"/>
  <c r="AA73" i="25" s="1"/>
  <c r="O41" i="25"/>
  <c r="AA41" i="25" s="1"/>
  <c r="O100" i="25"/>
  <c r="AA100" i="25" s="1"/>
  <c r="O22" i="25"/>
  <c r="AA22" i="25" s="1"/>
  <c r="O115" i="25"/>
  <c r="AA115" i="25" s="1"/>
  <c r="O60" i="25"/>
  <c r="AA60" i="25" s="1"/>
  <c r="O52" i="25"/>
  <c r="AA52" i="25" s="1"/>
  <c r="O108" i="25"/>
  <c r="AA108" i="25" s="1"/>
  <c r="O15" i="25"/>
  <c r="AA15" i="25" s="1"/>
  <c r="O84" i="25"/>
  <c r="AA84" i="25" s="1"/>
  <c r="O18" i="25"/>
  <c r="AA18" i="25" s="1"/>
  <c r="O62" i="25"/>
  <c r="AA62" i="25" s="1"/>
  <c r="O121" i="25"/>
  <c r="AA121" i="25" s="1"/>
  <c r="O177" i="25"/>
  <c r="AA177" i="25" s="1"/>
  <c r="O43" i="25"/>
  <c r="AA43" i="25" s="1"/>
  <c r="O58" i="25"/>
  <c r="AA58" i="25" s="1"/>
  <c r="O114" i="25"/>
  <c r="AA114" i="25" s="1"/>
  <c r="O383" i="25"/>
  <c r="AA383" i="25" s="1"/>
  <c r="O99" i="25"/>
  <c r="AA99" i="25" s="1"/>
  <c r="O157" i="25"/>
  <c r="AA157" i="25" s="1"/>
  <c r="O54" i="25"/>
  <c r="AA54" i="25" s="1"/>
  <c r="O221" i="25"/>
  <c r="AA221" i="25" s="1"/>
  <c r="O106" i="25"/>
  <c r="AA106" i="25" s="1"/>
  <c r="O16" i="25"/>
  <c r="AA16" i="25" s="1"/>
  <c r="O599" i="25"/>
  <c r="AA599" i="25" s="1"/>
  <c r="O608" i="25"/>
  <c r="AA608" i="25" s="1"/>
  <c r="O577" i="25"/>
  <c r="AA577" i="25" s="1"/>
  <c r="O559" i="25"/>
  <c r="AA559" i="25" s="1"/>
  <c r="O575" i="25"/>
  <c r="AA575" i="25" s="1"/>
  <c r="O530" i="25"/>
  <c r="AA530" i="25" s="1"/>
  <c r="O556" i="25"/>
  <c r="AA556" i="25" s="1"/>
  <c r="O468" i="25"/>
  <c r="AA468" i="25" s="1"/>
  <c r="O510" i="25"/>
  <c r="AA510" i="25" s="1"/>
  <c r="O461" i="25"/>
  <c r="AA461" i="25" s="1"/>
  <c r="O437" i="25"/>
  <c r="AA437" i="25" s="1"/>
  <c r="O422" i="25"/>
  <c r="AA422" i="25" s="1"/>
  <c r="O420" i="25"/>
  <c r="AA420" i="25" s="1"/>
  <c r="O515" i="25"/>
  <c r="AA515" i="25" s="1"/>
  <c r="O393" i="25"/>
  <c r="AA393" i="25" s="1"/>
  <c r="O367" i="25"/>
  <c r="AA367" i="25" s="1"/>
  <c r="O345" i="25"/>
  <c r="AA345" i="25" s="1"/>
  <c r="O297" i="25"/>
  <c r="AA297" i="25" s="1"/>
  <c r="O312" i="25"/>
  <c r="AA312" i="25" s="1"/>
  <c r="O296" i="25"/>
  <c r="AA296" i="25" s="1"/>
  <c r="O266" i="25"/>
  <c r="AA266" i="25" s="1"/>
  <c r="O323" i="25"/>
  <c r="AA323" i="25" s="1"/>
  <c r="O250" i="25"/>
  <c r="AA250" i="25" s="1"/>
  <c r="O225" i="25"/>
  <c r="AA225" i="25" s="1"/>
  <c r="O376" i="25"/>
  <c r="AA376" i="25" s="1"/>
  <c r="O230" i="25"/>
  <c r="AA230" i="25" s="1"/>
  <c r="O79" i="25"/>
  <c r="AA79" i="25" s="1"/>
  <c r="O63" i="25"/>
  <c r="AA63" i="25" s="1"/>
  <c r="O200" i="25"/>
  <c r="AA200" i="25" s="1"/>
  <c r="O152" i="25"/>
  <c r="AA152" i="25" s="1"/>
  <c r="O136" i="25"/>
  <c r="AA136" i="25" s="1"/>
  <c r="O61" i="25"/>
  <c r="AA61" i="25" s="1"/>
  <c r="O198" i="25"/>
  <c r="AA198" i="25" s="1"/>
  <c r="O166" i="25"/>
  <c r="AA166" i="25" s="1"/>
  <c r="O134" i="25"/>
  <c r="AA134" i="25" s="1"/>
  <c r="O113" i="25"/>
  <c r="AA113" i="25" s="1"/>
  <c r="O49" i="25"/>
  <c r="AA49" i="25" s="1"/>
  <c r="O40" i="25"/>
  <c r="AA40" i="25" s="1"/>
  <c r="O91" i="25"/>
  <c r="AA91" i="25" s="1"/>
  <c r="O23" i="25"/>
  <c r="AA23" i="25" s="1"/>
  <c r="O116" i="25"/>
  <c r="AA116" i="25" s="1"/>
  <c r="O185" i="25"/>
  <c r="AA185" i="25" s="1"/>
  <c r="O42" i="25"/>
  <c r="AA42" i="25" s="1"/>
  <c r="O169" i="25"/>
  <c r="AA169" i="25" s="1"/>
  <c r="O27" i="25"/>
  <c r="AA27" i="25" s="1"/>
  <c r="AA628" i="25"/>
  <c r="AB128" i="25"/>
  <c r="AB628" i="25"/>
  <c r="C622" i="25"/>
  <c r="F622" i="25"/>
  <c r="D622" i="25"/>
  <c r="E622" i="25"/>
  <c r="BA10" i="21"/>
  <c r="AZ59" i="23"/>
  <c r="H2" i="23"/>
  <c r="B368" i="2"/>
  <c r="H4" i="21"/>
  <c r="AV23" i="21"/>
  <c r="AZ23" i="21" s="1"/>
  <c r="AZ19" i="21"/>
  <c r="H2" i="21"/>
  <c r="AZ59" i="21"/>
  <c r="H3" i="21"/>
  <c r="D607" i="17"/>
  <c r="D194" i="17"/>
  <c r="C598" i="17"/>
  <c r="D606" i="17"/>
  <c r="C174" i="17"/>
  <c r="D291" i="17"/>
  <c r="D60" i="17"/>
  <c r="C524" i="17"/>
  <c r="C420" i="17"/>
  <c r="C446" i="17"/>
  <c r="C228" i="17"/>
  <c r="D222" i="17"/>
  <c r="D562" i="17"/>
  <c r="C484" i="17"/>
  <c r="D418" i="17"/>
  <c r="D163" i="17"/>
  <c r="D472" i="17"/>
  <c r="D561" i="17"/>
  <c r="D381" i="17"/>
  <c r="C449" i="17"/>
  <c r="C123" i="17"/>
  <c r="C30" i="17"/>
  <c r="D594" i="17"/>
  <c r="C541" i="17"/>
  <c r="C516" i="17"/>
  <c r="C594" i="17"/>
  <c r="C546" i="17"/>
  <c r="C380" i="17"/>
  <c r="D227" i="17"/>
  <c r="D585" i="17"/>
  <c r="C535" i="17"/>
  <c r="C382" i="17"/>
  <c r="D215" i="17"/>
  <c r="D281" i="17"/>
  <c r="D509" i="17"/>
  <c r="D304" i="17"/>
  <c r="C513" i="17"/>
  <c r="D359" i="17"/>
  <c r="C251" i="17"/>
  <c r="D29" i="17"/>
  <c r="C77" i="17"/>
  <c r="D368" i="17"/>
  <c r="C610" i="17"/>
  <c r="D546" i="17"/>
  <c r="C570" i="17"/>
  <c r="D494" i="17"/>
  <c r="D430" i="17"/>
  <c r="C468" i="17"/>
  <c r="D559" i="17"/>
  <c r="D474" i="17"/>
  <c r="D575" i="17"/>
  <c r="C480" i="17"/>
  <c r="C404" i="17"/>
  <c r="C387" i="17"/>
  <c r="D259" i="17"/>
  <c r="D131" i="17"/>
  <c r="C571" i="17"/>
  <c r="D600" i="17"/>
  <c r="C590" i="17"/>
  <c r="D440" i="17"/>
  <c r="C414" i="17"/>
  <c r="C389" i="17"/>
  <c r="C343" i="17"/>
  <c r="D576" i="17"/>
  <c r="C345" i="17"/>
  <c r="C293" i="17"/>
  <c r="C471" i="17"/>
  <c r="D317" i="17"/>
  <c r="C164" i="17"/>
  <c r="C113" i="17"/>
  <c r="D92" i="17"/>
  <c r="D519" i="17"/>
  <c r="D391" i="17"/>
  <c r="D366" i="17"/>
  <c r="D314" i="17"/>
  <c r="C64" i="17"/>
  <c r="D158" i="17"/>
  <c r="D268" i="17"/>
  <c r="C13" i="17"/>
  <c r="C157" i="17"/>
  <c r="C240" i="17"/>
  <c r="D597" i="17"/>
  <c r="D598" i="17"/>
  <c r="D586" i="17"/>
  <c r="D554" i="17"/>
  <c r="D551" i="17"/>
  <c r="C586" i="17"/>
  <c r="C533" i="17"/>
  <c r="D502" i="17"/>
  <c r="D470" i="17"/>
  <c r="D438" i="17"/>
  <c r="C508" i="17"/>
  <c r="C476" i="17"/>
  <c r="C606" i="17"/>
  <c r="D591" i="17"/>
  <c r="C562" i="17"/>
  <c r="D490" i="17"/>
  <c r="D426" i="17"/>
  <c r="D566" i="17"/>
  <c r="D514" i="17"/>
  <c r="C496" i="17"/>
  <c r="C444" i="17"/>
  <c r="C412" i="17"/>
  <c r="C364" i="17"/>
  <c r="C403" i="17"/>
  <c r="C339" i="17"/>
  <c r="D275" i="17"/>
  <c r="D211" i="17"/>
  <c r="D147" i="17"/>
  <c r="C287" i="17"/>
  <c r="C587" i="17"/>
  <c r="D553" i="17"/>
  <c r="D534" i="17"/>
  <c r="D572" i="17"/>
  <c r="C534" i="17"/>
  <c r="C519" i="17"/>
  <c r="D456" i="17"/>
  <c r="C494" i="17"/>
  <c r="C430" i="17"/>
  <c r="C366" i="17"/>
  <c r="C405" i="17"/>
  <c r="D582" i="17"/>
  <c r="C407" i="17"/>
  <c r="D151" i="17"/>
  <c r="D538" i="17"/>
  <c r="D460" i="17"/>
  <c r="C409" i="17"/>
  <c r="D249" i="17"/>
  <c r="D121" i="17"/>
  <c r="C561" i="17"/>
  <c r="C503" i="17"/>
  <c r="D477" i="17"/>
  <c r="D349" i="17"/>
  <c r="D324" i="17"/>
  <c r="C196" i="17"/>
  <c r="D272" i="17"/>
  <c r="C145" i="17"/>
  <c r="C106" i="17"/>
  <c r="D76" i="17"/>
  <c r="C497" i="17"/>
  <c r="C433" i="17"/>
  <c r="D471" i="17"/>
  <c r="D407" i="17"/>
  <c r="D343" i="17"/>
  <c r="D382" i="17"/>
  <c r="C270" i="17"/>
  <c r="C142" i="17"/>
  <c r="C219" i="17"/>
  <c r="C32" i="17"/>
  <c r="D62" i="17"/>
  <c r="D190" i="17"/>
  <c r="D61" i="17"/>
  <c r="C91" i="17"/>
  <c r="D172" i="17"/>
  <c r="D79" i="17"/>
  <c r="C109" i="17"/>
  <c r="C125" i="17"/>
  <c r="C253" i="17"/>
  <c r="C176" i="17"/>
  <c r="D329" i="17"/>
  <c r="D544" i="17"/>
  <c r="C378" i="17"/>
  <c r="C208" i="17"/>
  <c r="D336" i="17"/>
  <c r="D361" i="17"/>
  <c r="D489" i="17"/>
  <c r="D573" i="17"/>
  <c r="D221" i="17"/>
  <c r="C506" i="17"/>
  <c r="D75" i="17"/>
  <c r="C585" i="17"/>
  <c r="C408" i="17"/>
  <c r="D599" i="17"/>
  <c r="D547" i="17"/>
  <c r="C442" i="17"/>
  <c r="C317" i="17"/>
  <c r="D189" i="17"/>
  <c r="C609" i="17"/>
  <c r="D527" i="17"/>
  <c r="C443" i="17"/>
  <c r="D473" i="17"/>
  <c r="D409" i="17"/>
  <c r="D345" i="17"/>
  <c r="D384" i="17"/>
  <c r="D320" i="17"/>
  <c r="C256" i="17"/>
  <c r="C192" i="17"/>
  <c r="C128" i="17"/>
  <c r="C269" i="17"/>
  <c r="C205" i="17"/>
  <c r="C141" i="17"/>
  <c r="C46" i="17"/>
  <c r="C110" i="17"/>
  <c r="C61" i="17"/>
  <c r="D95" i="17"/>
  <c r="D31" i="17"/>
  <c r="D156" i="17"/>
  <c r="D220" i="17"/>
  <c r="C107" i="17"/>
  <c r="C43" i="17"/>
  <c r="D77" i="17"/>
  <c r="D13" i="17"/>
  <c r="D174" i="17"/>
  <c r="D238" i="17"/>
  <c r="D78" i="17"/>
  <c r="D14" i="17"/>
  <c r="C48" i="17"/>
  <c r="C139" i="17"/>
  <c r="C203" i="17"/>
  <c r="C267" i="17"/>
  <c r="C126" i="17"/>
  <c r="C190" i="17"/>
  <c r="C254" i="17"/>
  <c r="D318" i="17"/>
  <c r="D374" i="17"/>
  <c r="D406" i="17"/>
  <c r="D335" i="17"/>
  <c r="D367" i="17"/>
  <c r="D399" i="17"/>
  <c r="D431" i="17"/>
  <c r="D463" i="17"/>
  <c r="D495" i="17"/>
  <c r="C425" i="17"/>
  <c r="C457" i="17"/>
  <c r="C489" i="17"/>
  <c r="D520" i="17"/>
  <c r="D84" i="17"/>
  <c r="D52" i="17"/>
  <c r="D20" i="17"/>
  <c r="C58" i="17"/>
  <c r="C129" i="17"/>
  <c r="C193" i="17"/>
  <c r="C257" i="17"/>
  <c r="C116" i="17"/>
  <c r="C180" i="17"/>
  <c r="C244" i="17"/>
  <c r="C308" i="17"/>
  <c r="D372" i="17"/>
  <c r="D333" i="17"/>
  <c r="D397" i="17"/>
  <c r="D461" i="17"/>
  <c r="C423" i="17"/>
  <c r="C487" i="17"/>
  <c r="C568" i="17"/>
  <c r="C545" i="17"/>
  <c r="D609" i="17"/>
  <c r="C309" i="17"/>
  <c r="D169" i="17"/>
  <c r="D233" i="17"/>
  <c r="D297" i="17"/>
  <c r="C377" i="17"/>
  <c r="C402" i="17"/>
  <c r="D428" i="17"/>
  <c r="C566" i="17"/>
  <c r="C608" i="17"/>
  <c r="C559" i="17"/>
  <c r="D610" i="17"/>
  <c r="D536" i="17"/>
  <c r="D446" i="17"/>
  <c r="D47" i="17"/>
  <c r="D603" i="17"/>
  <c r="D423" i="17"/>
  <c r="D510" i="17"/>
  <c r="C316" i="17"/>
  <c r="C318" i="17"/>
  <c r="C177" i="17"/>
  <c r="C59" i="17"/>
  <c r="D567" i="17"/>
  <c r="D602" i="17"/>
  <c r="C452" i="17"/>
  <c r="C303" i="17"/>
  <c r="C510" i="17"/>
  <c r="C523" i="17"/>
  <c r="D356" i="17"/>
  <c r="D487" i="17"/>
  <c r="D30" i="17"/>
  <c r="C221" i="17"/>
  <c r="D578" i="17"/>
  <c r="C525" i="17"/>
  <c r="C500" i="17"/>
  <c r="C537" i="17"/>
  <c r="D482" i="17"/>
  <c r="C348" i="17"/>
  <c r="D195" i="17"/>
  <c r="D533" i="17"/>
  <c r="D504" i="17"/>
  <c r="C350" i="17"/>
  <c r="C291" i="17"/>
  <c r="D217" i="17"/>
  <c r="D445" i="17"/>
  <c r="C241" i="17"/>
  <c r="C481" i="17"/>
  <c r="D327" i="17"/>
  <c r="C187" i="17"/>
  <c r="D93" i="17"/>
  <c r="C94" i="17"/>
  <c r="D393" i="17"/>
  <c r="C602" i="17"/>
  <c r="D583" i="17"/>
  <c r="C554" i="17"/>
  <c r="D486" i="17"/>
  <c r="D422" i="17"/>
  <c r="C460" i="17"/>
  <c r="C536" i="17"/>
  <c r="D458" i="17"/>
  <c r="C528" i="17"/>
  <c r="C464" i="17"/>
  <c r="C396" i="17"/>
  <c r="C371" i="17"/>
  <c r="D243" i="17"/>
  <c r="D115" i="17"/>
  <c r="C555" i="17"/>
  <c r="C604" i="17"/>
  <c r="C558" i="17"/>
  <c r="D424" i="17"/>
  <c r="C398" i="17"/>
  <c r="C373" i="17"/>
  <c r="D279" i="17"/>
  <c r="C538" i="17"/>
  <c r="D313" i="17"/>
  <c r="C605" i="17"/>
  <c r="C439" i="17"/>
  <c r="D388" i="17"/>
  <c r="C132" i="17"/>
  <c r="C42" i="17"/>
  <c r="D528" i="17"/>
  <c r="D503" i="17"/>
  <c r="D375" i="17"/>
  <c r="D334" i="17"/>
  <c r="D282" i="17"/>
  <c r="C96" i="17"/>
  <c r="D126" i="17"/>
  <c r="D236" i="17"/>
  <c r="C45" i="17"/>
  <c r="C189" i="17"/>
  <c r="C304" i="17"/>
  <c r="D157" i="17"/>
  <c r="C272" i="17"/>
  <c r="D425" i="17"/>
  <c r="C297" i="17"/>
  <c r="D577" i="17"/>
  <c r="C275" i="17"/>
  <c r="C548" i="17"/>
  <c r="C417" i="17"/>
  <c r="D125" i="17"/>
  <c r="C507" i="17"/>
  <c r="D441" i="17"/>
  <c r="D416" i="17"/>
  <c r="C288" i="17"/>
  <c r="C160" i="17"/>
  <c r="C237" i="17"/>
  <c r="C14" i="17"/>
  <c r="C93" i="17"/>
  <c r="D63" i="17"/>
  <c r="D188" i="17"/>
  <c r="C75" i="17"/>
  <c r="D45" i="17"/>
  <c r="D206" i="17"/>
  <c r="D46" i="17"/>
  <c r="C16" i="17"/>
  <c r="C235" i="17"/>
  <c r="C158" i="17"/>
  <c r="C286" i="17"/>
  <c r="D390" i="17"/>
  <c r="D351" i="17"/>
  <c r="D415" i="17"/>
  <c r="D479" i="17"/>
  <c r="C441" i="17"/>
  <c r="C505" i="17"/>
  <c r="D68" i="17"/>
  <c r="C90" i="17"/>
  <c r="C161" i="17"/>
  <c r="D288" i="17"/>
  <c r="C212" i="17"/>
  <c r="D340" i="17"/>
  <c r="D365" i="17"/>
  <c r="D493" i="17"/>
  <c r="C520" i="17"/>
  <c r="C577" i="17"/>
  <c r="D137" i="17"/>
  <c r="D265" i="17"/>
  <c r="C338" i="17"/>
  <c r="D492" i="17"/>
  <c r="D521" i="17"/>
  <c r="D119" i="17"/>
  <c r="D247" i="17"/>
  <c r="C375" i="17"/>
  <c r="C400" i="17"/>
  <c r="C544" i="17"/>
  <c r="C365" i="17"/>
  <c r="C397" i="17"/>
  <c r="C326" i="17"/>
  <c r="C358" i="17"/>
  <c r="C390" i="17"/>
  <c r="C422" i="17"/>
  <c r="C454" i="17"/>
  <c r="C486" i="17"/>
  <c r="C518" i="17"/>
  <c r="D448" i="17"/>
  <c r="D480" i="17"/>
  <c r="D512" i="17"/>
  <c r="C543" i="17"/>
  <c r="C526" i="17"/>
  <c r="D571" i="17"/>
  <c r="D564" i="17"/>
  <c r="C596" i="17"/>
  <c r="D608" i="17"/>
  <c r="C572" i="17"/>
  <c r="D541" i="17"/>
  <c r="C547" i="17"/>
  <c r="C579" i="17"/>
  <c r="D611" i="17"/>
  <c r="C279" i="17"/>
  <c r="C311" i="17"/>
  <c r="D139" i="17"/>
  <c r="D171" i="17"/>
  <c r="D203" i="17"/>
  <c r="D235" i="17"/>
  <c r="D267" i="17"/>
  <c r="D299" i="17"/>
  <c r="C331" i="17"/>
  <c r="C363" i="17"/>
  <c r="C395" i="17"/>
  <c r="C324" i="17"/>
  <c r="C356" i="17"/>
  <c r="C388" i="17"/>
  <c r="D127" i="17"/>
  <c r="D348" i="17"/>
  <c r="D342" i="17"/>
  <c r="C310" i="17"/>
  <c r="C278" i="17"/>
  <c r="C246" i="17"/>
  <c r="C214" i="17"/>
  <c r="C182" i="17"/>
  <c r="C150" i="17"/>
  <c r="C118" i="17"/>
  <c r="D290" i="17"/>
  <c r="C259" i="17"/>
  <c r="C227" i="17"/>
  <c r="C195" i="17"/>
  <c r="C163" i="17"/>
  <c r="C131" i="17"/>
  <c r="C24" i="17"/>
  <c r="C56" i="17"/>
  <c r="C88" i="17"/>
  <c r="D22" i="17"/>
  <c r="D54" i="17"/>
  <c r="D86" i="17"/>
  <c r="D262" i="17"/>
  <c r="D230" i="17"/>
  <c r="D198" i="17"/>
  <c r="D166" i="17"/>
  <c r="D134" i="17"/>
  <c r="D21" i="17"/>
  <c r="D53" i="17"/>
  <c r="D85" i="17"/>
  <c r="C19" i="17"/>
  <c r="C51" i="17"/>
  <c r="C83" i="17"/>
  <c r="D104" i="17"/>
  <c r="D244" i="17"/>
  <c r="D212" i="17"/>
  <c r="D180" i="17"/>
  <c r="D148" i="17"/>
  <c r="D116" i="17"/>
  <c r="D39" i="17"/>
  <c r="D71" i="17"/>
  <c r="D103" i="17"/>
  <c r="C37" i="17"/>
  <c r="C69" i="17"/>
  <c r="C101" i="17"/>
  <c r="C102" i="17"/>
  <c r="C70" i="17"/>
  <c r="C38" i="17"/>
  <c r="C117" i="17"/>
  <c r="C149" i="17"/>
  <c r="C181" i="17"/>
  <c r="C213" i="17"/>
  <c r="C245" i="17"/>
  <c r="D276" i="17"/>
  <c r="D308" i="17"/>
  <c r="C136" i="17"/>
  <c r="C168" i="17"/>
  <c r="C200" i="17"/>
  <c r="C232" i="17"/>
  <c r="C264" i="17"/>
  <c r="C296" i="17"/>
  <c r="D328" i="17"/>
  <c r="D360" i="17"/>
  <c r="D392" i="17"/>
  <c r="D321" i="17"/>
  <c r="D353" i="17"/>
  <c r="D385" i="17"/>
  <c r="D417" i="17"/>
  <c r="D449" i="17"/>
  <c r="D481" i="17"/>
  <c r="D513" i="17"/>
  <c r="C459" i="17"/>
  <c r="D522" i="17"/>
  <c r="D543" i="17"/>
  <c r="C581" i="17"/>
  <c r="C281" i="17"/>
  <c r="D141" i="17"/>
  <c r="D205" i="17"/>
  <c r="D269" i="17"/>
  <c r="C333" i="17"/>
  <c r="C346" i="17"/>
  <c r="C474" i="17"/>
  <c r="D500" i="17"/>
  <c r="D552" i="17"/>
  <c r="D529" i="17"/>
  <c r="C611" i="17"/>
  <c r="C319" i="17"/>
  <c r="C488" i="17"/>
  <c r="C482" i="17"/>
  <c r="D501" i="17"/>
  <c r="C151" i="17"/>
  <c r="D331" i="17"/>
  <c r="D159" i="17"/>
  <c r="D287" i="17"/>
  <c r="C415" i="17"/>
  <c r="C440" i="17"/>
  <c r="C504" i="17"/>
  <c r="D560" i="17"/>
  <c r="C450" i="17"/>
  <c r="D526" i="17"/>
  <c r="C156" i="17"/>
  <c r="C202" i="17"/>
  <c r="D507" i="17"/>
  <c r="D199" i="17"/>
  <c r="D508" i="17"/>
  <c r="D295" i="17"/>
  <c r="C337" i="17"/>
  <c r="C285" i="17"/>
  <c r="C463" i="17"/>
  <c r="D412" i="17"/>
  <c r="C233" i="17"/>
  <c r="D483" i="17"/>
  <c r="D278" i="17"/>
  <c r="D136" i="17"/>
  <c r="D302" i="17"/>
  <c r="D225" i="17"/>
  <c r="D427" i="17"/>
  <c r="D296" i="17"/>
  <c r="C82" i="17"/>
  <c r="C445" i="17"/>
  <c r="D394" i="17"/>
  <c r="C138" i="17"/>
  <c r="C68" i="17"/>
  <c r="D264" i="17"/>
  <c r="C613" i="17"/>
  <c r="D354" i="17"/>
  <c r="D256" i="17"/>
  <c r="C127" i="17"/>
  <c r="C23" i="17"/>
  <c r="D96" i="17"/>
  <c r="D515" i="17"/>
  <c r="D387" i="17"/>
  <c r="D362" i="17"/>
  <c r="C234" i="17"/>
  <c r="D310" i="17"/>
  <c r="C183" i="17"/>
  <c r="D34" i="17"/>
  <c r="D33" i="17"/>
  <c r="D200" i="17"/>
  <c r="C81" i="17"/>
  <c r="C447" i="17"/>
  <c r="D532" i="17"/>
  <c r="C226" i="17"/>
  <c r="D106" i="17"/>
  <c r="D128" i="17"/>
  <c r="C485" i="17"/>
  <c r="D226" i="17"/>
  <c r="D312" i="17"/>
  <c r="C514" i="17"/>
  <c r="D389" i="17"/>
  <c r="C100" i="17"/>
  <c r="D250" i="17"/>
  <c r="D122" i="17"/>
  <c r="C31" i="17"/>
  <c r="D232" i="17"/>
  <c r="D19" i="17"/>
  <c r="C49" i="17"/>
  <c r="C539" i="17"/>
  <c r="D531" i="17"/>
  <c r="C268" i="17"/>
  <c r="D40" i="17"/>
  <c r="D443" i="17"/>
  <c r="C290" i="17"/>
  <c r="C239" i="17"/>
  <c r="D42" i="17"/>
  <c r="D41" i="17"/>
  <c r="D192" i="17"/>
  <c r="C89" i="17"/>
  <c r="D581" i="17"/>
  <c r="D24" i="17"/>
  <c r="C306" i="17"/>
  <c r="D26" i="17"/>
  <c r="D208" i="17"/>
  <c r="D517" i="17"/>
  <c r="C210" i="17"/>
  <c r="D112" i="17"/>
  <c r="C223" i="17"/>
  <c r="C28" i="17"/>
  <c r="C453" i="17"/>
  <c r="C87" i="17"/>
  <c r="D161" i="17"/>
  <c r="D58" i="17"/>
  <c r="D56" i="17"/>
  <c r="C41" i="17"/>
  <c r="D130" i="17"/>
  <c r="D286" i="17"/>
  <c r="D491" i="17"/>
  <c r="D364" i="17"/>
  <c r="C307" i="17"/>
  <c r="D144" i="17"/>
  <c r="D89" i="17"/>
  <c r="D90" i="17"/>
  <c r="C191" i="17"/>
  <c r="C242" i="17"/>
  <c r="D395" i="17"/>
  <c r="D88" i="17"/>
  <c r="C172" i="17"/>
  <c r="C479" i="17"/>
  <c r="C361" i="17"/>
  <c r="C623" i="17"/>
  <c r="D91" i="17"/>
  <c r="D160" i="17"/>
  <c r="C103" i="17"/>
  <c r="D73" i="17"/>
  <c r="D178" i="17"/>
  <c r="D74" i="17"/>
  <c r="C44" i="17"/>
  <c r="C207" i="17"/>
  <c r="C130" i="17"/>
  <c r="C258" i="17"/>
  <c r="D386" i="17"/>
  <c r="D411" i="17"/>
  <c r="C437" i="17"/>
  <c r="D72" i="17"/>
  <c r="C153" i="17"/>
  <c r="C204" i="17"/>
  <c r="D357" i="17"/>
  <c r="C511" i="17"/>
  <c r="D129" i="17"/>
  <c r="C386" i="17"/>
  <c r="C384" i="17"/>
  <c r="C65" i="17"/>
  <c r="D99" i="17"/>
  <c r="D35" i="17"/>
  <c r="D152" i="17"/>
  <c r="D216" i="17"/>
  <c r="D100" i="17"/>
  <c r="C47" i="17"/>
  <c r="D81" i="17"/>
  <c r="D17" i="17"/>
  <c r="D170" i="17"/>
  <c r="D234" i="17"/>
  <c r="D82" i="17"/>
  <c r="D18" i="17"/>
  <c r="C52" i="17"/>
  <c r="C135" i="17"/>
  <c r="C199" i="17"/>
  <c r="C263" i="17"/>
  <c r="C122" i="17"/>
  <c r="C186" i="17"/>
  <c r="C250" i="17"/>
  <c r="C314" i="17"/>
  <c r="D378" i="17"/>
  <c r="D339" i="17"/>
  <c r="D403" i="17"/>
  <c r="D467" i="17"/>
  <c r="C429" i="17"/>
  <c r="C493" i="17"/>
  <c r="D80" i="17"/>
  <c r="D16" i="17"/>
  <c r="C137" i="17"/>
  <c r="C265" i="17"/>
  <c r="C188" i="17"/>
  <c r="D316" i="17"/>
  <c r="D341" i="17"/>
  <c r="D469" i="17"/>
  <c r="C495" i="17"/>
  <c r="C553" i="17"/>
  <c r="D113" i="17"/>
  <c r="D241" i="17"/>
  <c r="C322" i="17"/>
  <c r="C564" i="17"/>
  <c r="C320" i="17"/>
  <c r="C418" i="17"/>
  <c r="C522" i="17"/>
  <c r="C575" i="17"/>
  <c r="D263" i="17"/>
  <c r="C416" i="17"/>
  <c r="C578" i="17"/>
  <c r="C456" i="17"/>
  <c r="C392" i="17"/>
  <c r="C328" i="17"/>
  <c r="C367" i="17"/>
  <c r="D303" i="17"/>
  <c r="D239" i="17"/>
  <c r="D175" i="17"/>
  <c r="D111" i="17"/>
  <c r="C632" i="17"/>
  <c r="C551" i="17"/>
  <c r="C580" i="17"/>
  <c r="C600" i="17"/>
  <c r="D579" i="17"/>
  <c r="C550" i="17"/>
  <c r="D484" i="17"/>
  <c r="D420" i="17"/>
  <c r="C458" i="17"/>
  <c r="C394" i="17"/>
  <c r="C330" i="17"/>
  <c r="C369" i="17"/>
  <c r="C325" i="17"/>
  <c r="D293" i="17"/>
  <c r="D261" i="17"/>
  <c r="D229" i="17"/>
  <c r="D197" i="17"/>
  <c r="D165" i="17"/>
  <c r="D133" i="17"/>
  <c r="C305" i="17"/>
  <c r="C273" i="17"/>
  <c r="D605" i="17"/>
  <c r="C573" i="17"/>
  <c r="D589" i="17"/>
  <c r="D535" i="17"/>
  <c r="C560" i="17"/>
  <c r="C515" i="17"/>
  <c r="C483" i="17"/>
  <c r="C451" i="17"/>
  <c r="D231" i="17"/>
  <c r="D555" i="17"/>
  <c r="C368" i="17"/>
  <c r="D558" i="17"/>
  <c r="C370" i="17"/>
  <c r="C144" i="17"/>
  <c r="D506" i="17"/>
  <c r="C556" i="17"/>
  <c r="D153" i="17"/>
  <c r="D398" i="17"/>
  <c r="C419" i="17"/>
  <c r="D478" i="17"/>
  <c r="D442" i="17"/>
  <c r="C355" i="17"/>
  <c r="D588" i="17"/>
  <c r="C357" i="17"/>
  <c r="C593" i="17"/>
  <c r="C74" i="17"/>
  <c r="C302" i="17"/>
  <c r="D204" i="17"/>
  <c r="D285" i="17"/>
  <c r="C540" i="17"/>
  <c r="D462" i="17"/>
  <c r="D590" i="17"/>
  <c r="C512" i="17"/>
  <c r="C436" i="17"/>
  <c r="C323" i="17"/>
  <c r="C271" i="17"/>
  <c r="D556" i="17"/>
  <c r="C478" i="17"/>
  <c r="D466" i="17"/>
  <c r="C498" i="17"/>
  <c r="D565" i="17"/>
  <c r="C292" i="17"/>
  <c r="D28" i="17"/>
  <c r="D455" i="17"/>
  <c r="C238" i="17"/>
  <c r="D140" i="17"/>
  <c r="C531" i="17"/>
  <c r="C532" i="17"/>
  <c r="D454" i="17"/>
  <c r="D574" i="17"/>
  <c r="A622" i="17"/>
  <c r="C428" i="17"/>
  <c r="D307" i="17"/>
  <c r="C599" i="17"/>
  <c r="D587" i="17"/>
  <c r="C462" i="17"/>
  <c r="C432" i="17"/>
  <c r="C434" i="17"/>
  <c r="D523" i="17"/>
  <c r="C260" i="17"/>
  <c r="D44" i="17"/>
  <c r="D439" i="17"/>
  <c r="C206" i="17"/>
  <c r="D254" i="17"/>
  <c r="D15" i="17"/>
  <c r="C112" i="17"/>
  <c r="C383" i="17"/>
  <c r="C475" i="17"/>
  <c r="D355" i="17"/>
  <c r="D468" i="17"/>
  <c r="C565" i="17"/>
  <c r="D377" i="17"/>
  <c r="C224" i="17"/>
  <c r="C173" i="17"/>
  <c r="C29" i="17"/>
  <c r="D252" i="17"/>
  <c r="D142" i="17"/>
  <c r="C80" i="17"/>
  <c r="D298" i="17"/>
  <c r="D350" i="17"/>
  <c r="D383" i="17"/>
  <c r="D511" i="17"/>
  <c r="D540" i="17"/>
  <c r="C26" i="17"/>
  <c r="C148" i="17"/>
  <c r="D404" i="17"/>
  <c r="C455" i="17"/>
  <c r="C277" i="17"/>
  <c r="C329" i="17"/>
  <c r="D595" i="17"/>
  <c r="D183" i="17"/>
  <c r="C336" i="17"/>
  <c r="C349" i="17"/>
  <c r="C413" i="17"/>
  <c r="C374" i="17"/>
  <c r="C438" i="17"/>
  <c r="C502" i="17"/>
  <c r="D464" i="17"/>
  <c r="C527" i="17"/>
  <c r="C542" i="17"/>
  <c r="D580" i="17"/>
  <c r="D542" i="17"/>
  <c r="D569" i="17"/>
  <c r="C595" i="17"/>
  <c r="C295" i="17"/>
  <c r="D155" i="17"/>
  <c r="D219" i="17"/>
  <c r="D283" i="17"/>
  <c r="C347" i="17"/>
  <c r="C411" i="17"/>
  <c r="C372" i="17"/>
  <c r="D550" i="17"/>
  <c r="D326" i="17"/>
  <c r="C262" i="17"/>
  <c r="C198" i="17"/>
  <c r="C134" i="17"/>
  <c r="D274" i="17"/>
  <c r="C211" i="17"/>
  <c r="C147" i="17"/>
  <c r="C40" i="17"/>
  <c r="C104" i="17"/>
  <c r="D70" i="17"/>
  <c r="D246" i="17"/>
  <c r="D182" i="17"/>
  <c r="D118" i="17"/>
  <c r="D69" i="17"/>
  <c r="C35" i="17"/>
  <c r="C99" i="17"/>
  <c r="D228" i="17"/>
  <c r="D164" i="17"/>
  <c r="D23" i="17"/>
  <c r="D87" i="17"/>
  <c r="C53" i="17"/>
  <c r="C626" i="17"/>
  <c r="C54" i="17"/>
  <c r="C133" i="17"/>
  <c r="C197" i="17"/>
  <c r="C261" i="17"/>
  <c r="C120" i="17"/>
  <c r="C184" i="17"/>
  <c r="C248" i="17"/>
  <c r="C312" i="17"/>
  <c r="D376" i="17"/>
  <c r="D337" i="17"/>
  <c r="D401" i="17"/>
  <c r="D465" i="17"/>
  <c r="C427" i="17"/>
  <c r="C576" i="17"/>
  <c r="D613" i="17"/>
  <c r="D173" i="17"/>
  <c r="D301" i="17"/>
  <c r="C410" i="17"/>
  <c r="C582" i="17"/>
  <c r="C567" i="17"/>
  <c r="C344" i="17"/>
  <c r="D273" i="17"/>
  <c r="D146" i="17"/>
  <c r="D223" i="17"/>
  <c r="C376" i="17"/>
  <c r="C327" i="17"/>
  <c r="D145" i="17"/>
  <c r="C509" i="17"/>
  <c r="D363" i="17"/>
  <c r="C354" i="17"/>
  <c r="D209" i="17"/>
  <c r="D437" i="17"/>
  <c r="D32" i="17"/>
  <c r="D98" i="17"/>
  <c r="C25" i="17"/>
  <c r="C220" i="17"/>
  <c r="D64" i="17"/>
  <c r="C266" i="17"/>
  <c r="D154" i="17"/>
  <c r="C34" i="17"/>
  <c r="C249" i="17"/>
  <c r="C185" i="17"/>
  <c r="D451" i="17"/>
  <c r="C298" i="17"/>
  <c r="C247" i="17"/>
  <c r="D218" i="17"/>
  <c r="D51" i="17"/>
  <c r="C140" i="17"/>
  <c r="C175" i="17"/>
  <c r="D453" i="17"/>
  <c r="D43" i="17"/>
  <c r="D57" i="17"/>
  <c r="D66" i="17"/>
  <c r="D65" i="17"/>
  <c r="D168" i="17"/>
  <c r="D626" i="17"/>
  <c r="D421" i="17"/>
  <c r="C469" i="17"/>
  <c r="C162" i="17"/>
  <c r="D210" i="17"/>
  <c r="D59" i="17"/>
  <c r="C300" i="17"/>
  <c r="C255" i="17"/>
  <c r="C73" i="17"/>
  <c r="D258" i="17"/>
  <c r="C105" i="17"/>
  <c r="C146" i="17"/>
  <c r="D176" i="17"/>
  <c r="C552" i="17"/>
  <c r="C92" i="17"/>
  <c r="C66" i="17"/>
  <c r="D107" i="17"/>
  <c r="D162" i="17"/>
  <c r="C114" i="17"/>
  <c r="C421" i="17"/>
  <c r="D325" i="17"/>
  <c r="C359" i="17"/>
  <c r="D27" i="17"/>
  <c r="C39" i="17"/>
  <c r="D242" i="17"/>
  <c r="C143" i="17"/>
  <c r="C194" i="17"/>
  <c r="D347" i="17"/>
  <c r="C501" i="17"/>
  <c r="D280" i="17"/>
  <c r="D485" i="17"/>
  <c r="D257" i="17"/>
  <c r="C97" i="17"/>
  <c r="D67" i="17"/>
  <c r="D184" i="17"/>
  <c r="C79" i="17"/>
  <c r="D49" i="17"/>
  <c r="D202" i="17"/>
  <c r="D50" i="17"/>
  <c r="C20" i="17"/>
  <c r="C231" i="17"/>
  <c r="C154" i="17"/>
  <c r="C282" i="17"/>
  <c r="D410" i="17"/>
  <c r="D435" i="17"/>
  <c r="C461" i="17"/>
  <c r="D48" i="17"/>
  <c r="C201" i="17"/>
  <c r="C252" i="17"/>
  <c r="D405" i="17"/>
  <c r="C584" i="17"/>
  <c r="D177" i="17"/>
  <c r="D476" i="17"/>
  <c r="C393" i="17"/>
  <c r="D604" i="17"/>
  <c r="C391" i="17"/>
  <c r="D434" i="17"/>
  <c r="C360" i="17"/>
  <c r="C335" i="17"/>
  <c r="D207" i="17"/>
  <c r="C283" i="17"/>
  <c r="D545" i="17"/>
  <c r="D568" i="17"/>
  <c r="D516" i="17"/>
  <c r="C490" i="17"/>
  <c r="C362" i="17"/>
  <c r="C341" i="17"/>
  <c r="D277" i="17"/>
  <c r="D213" i="17"/>
  <c r="D149" i="17"/>
  <c r="C289" i="17"/>
  <c r="C589" i="17"/>
  <c r="D557" i="17"/>
  <c r="D530" i="17"/>
  <c r="C467" i="17"/>
  <c r="D94" i="17"/>
  <c r="D284" i="17"/>
  <c r="D570" i="17"/>
  <c r="D518" i="17"/>
  <c r="C492" i="17"/>
  <c r="C521" i="17"/>
  <c r="D450" i="17"/>
  <c r="C332" i="17"/>
  <c r="D179" i="17"/>
  <c r="C588" i="17"/>
  <c r="D488" i="17"/>
  <c r="C334" i="17"/>
  <c r="C591" i="17"/>
  <c r="D185" i="17"/>
  <c r="D413" i="17"/>
  <c r="C209" i="17"/>
  <c r="C465" i="17"/>
  <c r="D414" i="17"/>
  <c r="C155" i="17"/>
  <c r="C27" i="17"/>
  <c r="C62" i="17"/>
  <c r="D457" i="17"/>
  <c r="D400" i="17"/>
  <c r="C353" i="17"/>
  <c r="D255" i="17"/>
  <c r="D253" i="17"/>
  <c r="D505" i="17"/>
  <c r="D352" i="17"/>
  <c r="D300" i="17"/>
  <c r="C78" i="17"/>
  <c r="D124" i="17"/>
  <c r="D109" i="17"/>
  <c r="D110" i="17"/>
  <c r="C171" i="17"/>
  <c r="C222" i="17"/>
  <c r="D319" i="17"/>
  <c r="D447" i="17"/>
  <c r="C473" i="17"/>
  <c r="D36" i="17"/>
  <c r="C225" i="17"/>
  <c r="C276" i="17"/>
  <c r="D429" i="17"/>
  <c r="D539" i="17"/>
  <c r="D201" i="17"/>
  <c r="C466" i="17"/>
  <c r="C603" i="17"/>
  <c r="D311" i="17"/>
  <c r="C472" i="17"/>
  <c r="C381" i="17"/>
  <c r="C342" i="17"/>
  <c r="C406" i="17"/>
  <c r="C470" i="17"/>
  <c r="D432" i="17"/>
  <c r="D496" i="17"/>
  <c r="C574" i="17"/>
  <c r="D548" i="17"/>
  <c r="C612" i="17"/>
  <c r="D525" i="17"/>
  <c r="C563" i="17"/>
  <c r="C607" i="17"/>
  <c r="D123" i="17"/>
  <c r="D187" i="17"/>
  <c r="D251" i="17"/>
  <c r="C315" i="17"/>
  <c r="C379" i="17"/>
  <c r="C340" i="17"/>
  <c r="D584" i="17"/>
  <c r="D358" i="17"/>
  <c r="C294" i="17"/>
  <c r="C230" i="17"/>
  <c r="C166" i="17"/>
  <c r="D306" i="17"/>
  <c r="C243" i="17"/>
  <c r="C179" i="17"/>
  <c r="C115" i="17"/>
  <c r="C72" i="17"/>
  <c r="D38" i="17"/>
  <c r="D102" i="17"/>
  <c r="D214" i="17"/>
  <c r="D150" i="17"/>
  <c r="D37" i="17"/>
  <c r="D101" i="17"/>
  <c r="C67" i="17"/>
  <c r="D260" i="17"/>
  <c r="D196" i="17"/>
  <c r="D132" i="17"/>
  <c r="D55" i="17"/>
  <c r="C21" i="17"/>
  <c r="C85" i="17"/>
  <c r="C86" i="17"/>
  <c r="C22" i="17"/>
  <c r="C165" i="17"/>
  <c r="C229" i="17"/>
  <c r="D292" i="17"/>
  <c r="C152" i="17"/>
  <c r="C216" i="17"/>
  <c r="C280" i="17"/>
  <c r="D344" i="17"/>
  <c r="D408" i="17"/>
  <c r="D369" i="17"/>
  <c r="D433" i="17"/>
  <c r="D497" i="17"/>
  <c r="C491" i="17"/>
  <c r="C549" i="17"/>
  <c r="C313" i="17"/>
  <c r="D237" i="17"/>
  <c r="C385" i="17"/>
  <c r="D436" i="17"/>
  <c r="D596" i="17"/>
  <c r="D191" i="17"/>
  <c r="C352" i="17"/>
  <c r="C18" i="17"/>
  <c r="C299" i="17"/>
  <c r="C351" i="17"/>
  <c r="D498" i="17"/>
  <c r="C448" i="17"/>
  <c r="D373" i="17"/>
  <c r="D97" i="17"/>
  <c r="D537" i="17"/>
  <c r="D563" i="17"/>
  <c r="D549" i="17"/>
  <c r="C284" i="17"/>
  <c r="D330" i="17"/>
  <c r="D396" i="17"/>
  <c r="C55" i="17"/>
  <c r="C169" i="17"/>
  <c r="D419" i="17"/>
  <c r="C215" i="17"/>
  <c r="C17" i="17"/>
  <c r="C76" i="17"/>
  <c r="D289" i="17"/>
  <c r="C477" i="17"/>
  <c r="D323" i="17"/>
  <c r="C170" i="17"/>
  <c r="C119" i="17"/>
  <c r="C63" i="17"/>
  <c r="C321" i="17"/>
  <c r="D379" i="17"/>
  <c r="D105" i="17"/>
  <c r="C178" i="17"/>
  <c r="C159" i="17"/>
  <c r="C36" i="17"/>
  <c r="D186" i="17"/>
  <c r="C95" i="17"/>
  <c r="D83" i="17"/>
  <c r="D193" i="17"/>
  <c r="C217" i="17"/>
  <c r="D315" i="17"/>
  <c r="C111" i="17"/>
  <c r="C71" i="17"/>
  <c r="D592" i="17"/>
  <c r="D459" i="17"/>
  <c r="D25" i="17"/>
  <c r="C517" i="17"/>
  <c r="C236" i="17"/>
  <c r="C529" i="17"/>
  <c r="D402" i="17"/>
  <c r="C274" i="17"/>
  <c r="D240" i="17"/>
  <c r="D338" i="17"/>
  <c r="D601" i="17"/>
  <c r="D108" i="17"/>
  <c r="C60" i="17"/>
  <c r="D370" i="17"/>
  <c r="C121" i="17"/>
  <c r="C301" i="17"/>
  <c r="C57" i="17"/>
  <c r="D224" i="17"/>
  <c r="D114" i="17"/>
  <c r="C108" i="17"/>
  <c r="D270" i="17"/>
  <c r="D322" i="17"/>
  <c r="D475" i="17"/>
  <c r="C98" i="17"/>
  <c r="D332" i="17"/>
  <c r="C569" i="17"/>
  <c r="D593" i="17"/>
  <c r="C33" i="17"/>
  <c r="D120" i="17"/>
  <c r="D248" i="17"/>
  <c r="C15" i="17"/>
  <c r="D138" i="17"/>
  <c r="D266" i="17"/>
  <c r="C84" i="17"/>
  <c r="C167" i="17"/>
  <c r="D294" i="17"/>
  <c r="C218" i="17"/>
  <c r="D346" i="17"/>
  <c r="D371" i="17"/>
  <c r="D499" i="17"/>
  <c r="D524" i="17"/>
  <c r="C50" i="17"/>
  <c r="C124" i="17"/>
  <c r="D380" i="17"/>
  <c r="C431" i="17"/>
  <c r="C597" i="17"/>
  <c r="D305" i="17"/>
  <c r="D167" i="17"/>
  <c r="D444" i="17"/>
  <c r="D135" i="17"/>
  <c r="D623" i="17"/>
  <c r="C424" i="17"/>
  <c r="C399" i="17"/>
  <c r="D271" i="17"/>
  <c r="D143" i="17"/>
  <c r="C583" i="17"/>
  <c r="D612" i="17"/>
  <c r="C530" i="17"/>
  <c r="D452" i="17"/>
  <c r="C426" i="17"/>
  <c r="C401" i="17"/>
  <c r="D309" i="17"/>
  <c r="D245" i="17"/>
  <c r="D181" i="17"/>
  <c r="D117" i="17"/>
  <c r="C601" i="17"/>
  <c r="C557" i="17"/>
  <c r="C592" i="17"/>
  <c r="C499" i="17"/>
  <c r="C435" i="17"/>
  <c r="O16" i="8"/>
  <c r="B373" i="2" s="1"/>
  <c r="AA622" i="25" l="1"/>
  <c r="E632" i="25" s="1"/>
  <c r="AB622" i="25"/>
  <c r="B369" i="2"/>
  <c r="G622" i="17"/>
  <c r="H622" i="17"/>
  <c r="F622" i="17"/>
  <c r="E622" i="17"/>
  <c r="D622" i="17"/>
  <c r="C622" i="17"/>
  <c r="G4" i="8"/>
  <c r="O17" i="8" l="1"/>
  <c r="B168" i="2"/>
  <c r="B374" i="2"/>
  <c r="D383" i="2" l="1"/>
  <c r="B383" i="2"/>
  <c r="C50" i="16"/>
  <c r="D50" i="16" s="1"/>
  <c r="E54" i="1"/>
  <c r="B372" i="2"/>
  <c r="A372" i="2" l="1"/>
  <c r="D64" i="16" l="1"/>
  <c r="A628" i="17" l="1"/>
  <c r="O622" i="17"/>
  <c r="P623" i="17"/>
  <c r="P622" i="17"/>
  <c r="AB622" i="17" s="1"/>
  <c r="O626" i="17"/>
  <c r="AA626" i="17" s="1"/>
  <c r="O623" i="17"/>
  <c r="AA623" i="17" s="1"/>
  <c r="P626" i="17"/>
  <c r="AB626" i="17" s="1"/>
  <c r="P573" i="17"/>
  <c r="AB573" i="17" s="1"/>
  <c r="B70" i="1"/>
  <c r="N7" i="8"/>
  <c r="O7" i="8" s="1"/>
  <c r="G628" i="17" l="1"/>
  <c r="H628" i="17"/>
  <c r="AA622" i="17"/>
  <c r="E632" i="17" s="1"/>
  <c r="AB623" i="17"/>
  <c r="D628" i="17"/>
  <c r="F628" i="17"/>
  <c r="P628" i="17"/>
  <c r="C628" i="17"/>
  <c r="E628" i="17"/>
  <c r="O628" i="17"/>
  <c r="E636" i="17"/>
  <c r="N30" i="8"/>
  <c r="O30" i="8"/>
  <c r="C70" i="1" s="1"/>
  <c r="D70" i="1" s="1"/>
  <c r="O74" i="17"/>
  <c r="AA74" i="17" s="1"/>
  <c r="O121" i="17"/>
  <c r="AA121" i="17" s="1"/>
  <c r="O106" i="17"/>
  <c r="AA106" i="17" s="1"/>
  <c r="O90" i="17"/>
  <c r="AA90" i="17" s="1"/>
  <c r="O17" i="17"/>
  <c r="AA17" i="17" s="1"/>
  <c r="O81" i="17"/>
  <c r="AA81" i="17" s="1"/>
  <c r="O101" i="17"/>
  <c r="AA101" i="17" s="1"/>
  <c r="O58" i="17"/>
  <c r="AA58" i="17" s="1"/>
  <c r="O42" i="17"/>
  <c r="AA42" i="17" s="1"/>
  <c r="O26" i="17"/>
  <c r="AA26" i="17" s="1"/>
  <c r="O49" i="17"/>
  <c r="AA49" i="17" s="1"/>
  <c r="O69" i="17"/>
  <c r="AA69" i="17" s="1"/>
  <c r="O236" i="17"/>
  <c r="AA236" i="17" s="1"/>
  <c r="O300" i="17"/>
  <c r="AA300" i="17" s="1"/>
  <c r="O217" i="17"/>
  <c r="AA217" i="17" s="1"/>
  <c r="O281" i="17"/>
  <c r="AA281" i="17" s="1"/>
  <c r="O140" i="17"/>
  <c r="AA140" i="17" s="1"/>
  <c r="O70" i="17"/>
  <c r="AA70" i="17" s="1"/>
  <c r="O41" i="17"/>
  <c r="AA41" i="17" s="1"/>
  <c r="O105" i="17"/>
  <c r="AA105" i="17" s="1"/>
  <c r="O45" i="17"/>
  <c r="AA45" i="17" s="1"/>
  <c r="O77" i="17"/>
  <c r="AA77" i="17" s="1"/>
  <c r="O173" i="17"/>
  <c r="AA173" i="17" s="1"/>
  <c r="O237" i="17"/>
  <c r="AA237" i="17" s="1"/>
  <c r="O301" i="17"/>
  <c r="AA301" i="17" s="1"/>
  <c r="O160" i="17"/>
  <c r="AA160" i="17" s="1"/>
  <c r="O338" i="17"/>
  <c r="AA338" i="17" s="1"/>
  <c r="O370" i="17"/>
  <c r="AA370" i="17" s="1"/>
  <c r="O402" i="17"/>
  <c r="AA402" i="17" s="1"/>
  <c r="O172" i="17"/>
  <c r="AA172" i="17" s="1"/>
  <c r="O204" i="17"/>
  <c r="AA204" i="17" s="1"/>
  <c r="O153" i="17"/>
  <c r="AA153" i="17" s="1"/>
  <c r="O38" i="17"/>
  <c r="AA38" i="17" s="1"/>
  <c r="O73" i="17"/>
  <c r="AA73" i="17" s="1"/>
  <c r="O141" i="17"/>
  <c r="AA141" i="17" s="1"/>
  <c r="O269" i="17"/>
  <c r="AA269" i="17" s="1"/>
  <c r="O319" i="17"/>
  <c r="AA319" i="17" s="1"/>
  <c r="O383" i="17"/>
  <c r="AA383" i="17" s="1"/>
  <c r="O180" i="17"/>
  <c r="AA180" i="17" s="1"/>
  <c r="O244" i="17"/>
  <c r="AA244" i="17" s="1"/>
  <c r="O308" i="17"/>
  <c r="AA308" i="17" s="1"/>
  <c r="O339" i="17"/>
  <c r="AA339" i="17" s="1"/>
  <c r="O403" i="17"/>
  <c r="AA403" i="17" s="1"/>
  <c r="O366" i="17"/>
  <c r="AA366" i="17" s="1"/>
  <c r="O169" i="17"/>
  <c r="AA169" i="17" s="1"/>
  <c r="O233" i="17"/>
  <c r="AA233" i="17" s="1"/>
  <c r="O132" i="17"/>
  <c r="AA132" i="17" s="1"/>
  <c r="O62" i="17"/>
  <c r="AA62" i="17" s="1"/>
  <c r="O232" i="17"/>
  <c r="AA232" i="17" s="1"/>
  <c r="O296" i="17"/>
  <c r="AA296" i="17" s="1"/>
  <c r="O322" i="17"/>
  <c r="AA322" i="17" s="1"/>
  <c r="O386" i="17"/>
  <c r="AA386" i="17" s="1"/>
  <c r="O438" i="17"/>
  <c r="AA438" i="17" s="1"/>
  <c r="O65" i="17"/>
  <c r="AA65" i="17" s="1"/>
  <c r="O85" i="17"/>
  <c r="AA85" i="17" s="1"/>
  <c r="O117" i="17"/>
  <c r="AA117" i="17" s="1"/>
  <c r="O149" i="17"/>
  <c r="AA149" i="17" s="1"/>
  <c r="O181" i="17"/>
  <c r="AA181" i="17" s="1"/>
  <c r="O213" i="17"/>
  <c r="AA213" i="17" s="1"/>
  <c r="O245" i="17"/>
  <c r="AA245" i="17" s="1"/>
  <c r="O277" i="17"/>
  <c r="AA277" i="17" s="1"/>
  <c r="O309" i="17"/>
  <c r="AA309" i="17" s="1"/>
  <c r="O136" i="17"/>
  <c r="AA136" i="17" s="1"/>
  <c r="O168" i="17"/>
  <c r="AA168" i="17" s="1"/>
  <c r="O184" i="17"/>
  <c r="AA184" i="17" s="1"/>
  <c r="O248" i="17"/>
  <c r="AA248" i="17" s="1"/>
  <c r="O312" i="17"/>
  <c r="AA312" i="17" s="1"/>
  <c r="O327" i="17"/>
  <c r="AA327" i="17" s="1"/>
  <c r="O359" i="17"/>
  <c r="AA359" i="17" s="1"/>
  <c r="O391" i="17"/>
  <c r="AA391" i="17" s="1"/>
  <c r="O407" i="17"/>
  <c r="AA407" i="17" s="1"/>
  <c r="O378" i="17"/>
  <c r="AA378" i="17" s="1"/>
  <c r="O188" i="17"/>
  <c r="AA188" i="17" s="1"/>
  <c r="O252" i="17"/>
  <c r="AA252" i="17" s="1"/>
  <c r="O331" i="17"/>
  <c r="AA331" i="17" s="1"/>
  <c r="O363" i="17"/>
  <c r="AA363" i="17" s="1"/>
  <c r="O395" i="17"/>
  <c r="AA395" i="17" s="1"/>
  <c r="O411" i="17"/>
  <c r="AA411" i="17" s="1"/>
  <c r="O326" i="17"/>
  <c r="AA326" i="17" s="1"/>
  <c r="O358" i="17"/>
  <c r="AA358" i="17" s="1"/>
  <c r="O390" i="17"/>
  <c r="AA390" i="17" s="1"/>
  <c r="O454" i="17"/>
  <c r="AA454" i="17" s="1"/>
  <c r="O249" i="17"/>
  <c r="AA249" i="17" s="1"/>
  <c r="O297" i="17"/>
  <c r="AA297" i="17" s="1"/>
  <c r="O22" i="17"/>
  <c r="AA22" i="17" s="1"/>
  <c r="O86" i="17"/>
  <c r="AA86" i="17" s="1"/>
  <c r="O192" i="17"/>
  <c r="AA192" i="17" s="1"/>
  <c r="O256" i="17"/>
  <c r="AA256" i="17" s="1"/>
  <c r="O415" i="17"/>
  <c r="AA415" i="17" s="1"/>
  <c r="O462" i="17"/>
  <c r="AA462" i="17" s="1"/>
  <c r="O57" i="17"/>
  <c r="AA57" i="17" s="1"/>
  <c r="O289" i="17"/>
  <c r="AA289" i="17" s="1"/>
  <c r="O14" i="17"/>
  <c r="AA14" i="17" s="1"/>
  <c r="O78" i="17"/>
  <c r="AA78" i="17" s="1"/>
  <c r="O93" i="17"/>
  <c r="AA93" i="17" s="1"/>
  <c r="O125" i="17"/>
  <c r="AA125" i="17" s="1"/>
  <c r="O189" i="17"/>
  <c r="AA189" i="17" s="1"/>
  <c r="O253" i="17"/>
  <c r="AA253" i="17" s="1"/>
  <c r="O112" i="17"/>
  <c r="AA112" i="17" s="1"/>
  <c r="O176" i="17"/>
  <c r="AA176" i="17" s="1"/>
  <c r="O208" i="17"/>
  <c r="AA208" i="17" s="1"/>
  <c r="O272" i="17"/>
  <c r="AA272" i="17" s="1"/>
  <c r="O367" i="17"/>
  <c r="AA367" i="17" s="1"/>
  <c r="O330" i="17"/>
  <c r="AA330" i="17" s="1"/>
  <c r="O394" i="17"/>
  <c r="AA394" i="17" s="1"/>
  <c r="O228" i="17"/>
  <c r="AA228" i="17" s="1"/>
  <c r="O292" i="17"/>
  <c r="AA292" i="17" s="1"/>
  <c r="O323" i="17"/>
  <c r="AA323" i="17" s="1"/>
  <c r="O387" i="17"/>
  <c r="AA387" i="17" s="1"/>
  <c r="O350" i="17"/>
  <c r="AA350" i="17" s="1"/>
  <c r="O414" i="17"/>
  <c r="AA414" i="17" s="1"/>
  <c r="O446" i="17"/>
  <c r="AA446" i="17" s="1"/>
  <c r="O423" i="17"/>
  <c r="AA423" i="17" s="1"/>
  <c r="O487" i="17"/>
  <c r="AA487" i="17" s="1"/>
  <c r="O519" i="17"/>
  <c r="AA519" i="17" s="1"/>
  <c r="O528" i="17"/>
  <c r="AA528" i="17" s="1"/>
  <c r="O560" i="17"/>
  <c r="AA560" i="17" s="1"/>
  <c r="O606" i="17"/>
  <c r="AA606" i="17" s="1"/>
  <c r="P17" i="17"/>
  <c r="AB17" i="17" s="1"/>
  <c r="P81" i="17"/>
  <c r="AB81" i="17" s="1"/>
  <c r="P16" i="17"/>
  <c r="AB16" i="17" s="1"/>
  <c r="P80" i="17"/>
  <c r="AB80" i="17" s="1"/>
  <c r="O32" i="17"/>
  <c r="AA32" i="17" s="1"/>
  <c r="O96" i="17"/>
  <c r="AA96" i="17" s="1"/>
  <c r="O31" i="17"/>
  <c r="AA31" i="17" s="1"/>
  <c r="O95" i="17"/>
  <c r="AA95" i="17" s="1"/>
  <c r="O127" i="17"/>
  <c r="AA127" i="17" s="1"/>
  <c r="O191" i="17"/>
  <c r="AA191" i="17" s="1"/>
  <c r="O255" i="17"/>
  <c r="AA255" i="17" s="1"/>
  <c r="O114" i="17"/>
  <c r="AA114" i="17" s="1"/>
  <c r="O178" i="17"/>
  <c r="AA178" i="17" s="1"/>
  <c r="O210" i="17"/>
  <c r="AA210" i="17" s="1"/>
  <c r="O274" i="17"/>
  <c r="AA274" i="17" s="1"/>
  <c r="O369" i="17"/>
  <c r="AA369" i="17" s="1"/>
  <c r="O332" i="17"/>
  <c r="AA332" i="17" s="1"/>
  <c r="O396" i="17"/>
  <c r="AA396" i="17" s="1"/>
  <c r="O428" i="17"/>
  <c r="AA428" i="17" s="1"/>
  <c r="O492" i="17"/>
  <c r="AA492" i="17" s="1"/>
  <c r="O453" i="17"/>
  <c r="AA453" i="17" s="1"/>
  <c r="O517" i="17"/>
  <c r="AA517" i="17" s="1"/>
  <c r="O558" i="17"/>
  <c r="AA558" i="17" s="1"/>
  <c r="O571" i="17"/>
  <c r="AA571" i="17" s="1"/>
  <c r="O268" i="17"/>
  <c r="AA268" i="17" s="1"/>
  <c r="O313" i="17"/>
  <c r="AA313" i="17" s="1"/>
  <c r="O102" i="17"/>
  <c r="AA102" i="17" s="1"/>
  <c r="O109" i="17"/>
  <c r="AA109" i="17" s="1"/>
  <c r="O205" i="17"/>
  <c r="AA205" i="17" s="1"/>
  <c r="O128" i="17"/>
  <c r="AA128" i="17" s="1"/>
  <c r="O351" i="17"/>
  <c r="AA351" i="17" s="1"/>
  <c r="O212" i="17"/>
  <c r="AA212" i="17" s="1"/>
  <c r="O276" i="17"/>
  <c r="AA276" i="17" s="1"/>
  <c r="O371" i="17"/>
  <c r="AA371" i="17" s="1"/>
  <c r="O334" i="17"/>
  <c r="AA334" i="17" s="1"/>
  <c r="O398" i="17"/>
  <c r="AA398" i="17" s="1"/>
  <c r="O137" i="17"/>
  <c r="AA137" i="17" s="1"/>
  <c r="O201" i="17"/>
  <c r="AA201" i="17" s="1"/>
  <c r="O265" i="17"/>
  <c r="AA265" i="17" s="1"/>
  <c r="O305" i="17"/>
  <c r="AA305" i="17" s="1"/>
  <c r="O30" i="17"/>
  <c r="AA30" i="17" s="1"/>
  <c r="O94" i="17"/>
  <c r="AA94" i="17" s="1"/>
  <c r="O200" i="17"/>
  <c r="AA200" i="17" s="1"/>
  <c r="O264" i="17"/>
  <c r="AA264" i="17" s="1"/>
  <c r="O354" i="17"/>
  <c r="AA354" i="17" s="1"/>
  <c r="O156" i="17"/>
  <c r="AA156" i="17" s="1"/>
  <c r="O470" i="17"/>
  <c r="AA470" i="17" s="1"/>
  <c r="O33" i="17"/>
  <c r="AA33" i="17" s="1"/>
  <c r="O97" i="17"/>
  <c r="AA97" i="17" s="1"/>
  <c r="O29" i="17"/>
  <c r="AA29" i="17" s="1"/>
  <c r="O53" i="17"/>
  <c r="AA53" i="17" s="1"/>
  <c r="O133" i="17"/>
  <c r="AA133" i="17" s="1"/>
  <c r="O165" i="17"/>
  <c r="AA165" i="17" s="1"/>
  <c r="O197" i="17"/>
  <c r="AA197" i="17" s="1"/>
  <c r="O229" i="17"/>
  <c r="AA229" i="17" s="1"/>
  <c r="O261" i="17"/>
  <c r="AA261" i="17" s="1"/>
  <c r="O293" i="17"/>
  <c r="AA293" i="17" s="1"/>
  <c r="O120" i="17"/>
  <c r="AA120" i="17" s="1"/>
  <c r="O152" i="17"/>
  <c r="AA152" i="17" s="1"/>
  <c r="O216" i="17"/>
  <c r="AA216" i="17" s="1"/>
  <c r="O280" i="17"/>
  <c r="AA280" i="17" s="1"/>
  <c r="O343" i="17"/>
  <c r="AA343" i="17" s="1"/>
  <c r="O375" i="17"/>
  <c r="AA375" i="17" s="1"/>
  <c r="O346" i="17"/>
  <c r="AA346" i="17" s="1"/>
  <c r="O148" i="17"/>
  <c r="AA148" i="17" s="1"/>
  <c r="O220" i="17"/>
  <c r="AA220" i="17" s="1"/>
  <c r="O284" i="17"/>
  <c r="AA284" i="17" s="1"/>
  <c r="O315" i="17"/>
  <c r="AA315" i="17" s="1"/>
  <c r="O347" i="17"/>
  <c r="AA347" i="17" s="1"/>
  <c r="O379" i="17"/>
  <c r="AA379" i="17" s="1"/>
  <c r="O342" i="17"/>
  <c r="AA342" i="17" s="1"/>
  <c r="O374" i="17"/>
  <c r="AA374" i="17" s="1"/>
  <c r="O406" i="17"/>
  <c r="AA406" i="17" s="1"/>
  <c r="O422" i="17"/>
  <c r="AA422" i="17" s="1"/>
  <c r="O185" i="17"/>
  <c r="AA185" i="17" s="1"/>
  <c r="O124" i="17"/>
  <c r="AA124" i="17" s="1"/>
  <c r="O54" i="17"/>
  <c r="AA54" i="17" s="1"/>
  <c r="O224" i="17"/>
  <c r="AA224" i="17" s="1"/>
  <c r="O288" i="17"/>
  <c r="AA288" i="17" s="1"/>
  <c r="O430" i="17"/>
  <c r="AA430" i="17" s="1"/>
  <c r="O25" i="17"/>
  <c r="AA25" i="17" s="1"/>
  <c r="O89" i="17"/>
  <c r="AA89" i="17" s="1"/>
  <c r="O116" i="17"/>
  <c r="AA116" i="17" s="1"/>
  <c r="O46" i="17"/>
  <c r="AA46" i="17" s="1"/>
  <c r="O61" i="17"/>
  <c r="AA61" i="17" s="1"/>
  <c r="O157" i="17"/>
  <c r="AA157" i="17" s="1"/>
  <c r="O221" i="17"/>
  <c r="AA221" i="17" s="1"/>
  <c r="O285" i="17"/>
  <c r="AA285" i="17" s="1"/>
  <c r="O144" i="17"/>
  <c r="AA144" i="17" s="1"/>
  <c r="O240" i="17"/>
  <c r="AA240" i="17" s="1"/>
  <c r="O304" i="17"/>
  <c r="AA304" i="17" s="1"/>
  <c r="O335" i="17"/>
  <c r="AA335" i="17" s="1"/>
  <c r="O399" i="17"/>
  <c r="AA399" i="17" s="1"/>
  <c r="O362" i="17"/>
  <c r="AA362" i="17" s="1"/>
  <c r="O164" i="17"/>
  <c r="AA164" i="17" s="1"/>
  <c r="O196" i="17"/>
  <c r="AA196" i="17" s="1"/>
  <c r="O260" i="17"/>
  <c r="AA260" i="17" s="1"/>
  <c r="O355" i="17"/>
  <c r="AA355" i="17" s="1"/>
  <c r="O318" i="17"/>
  <c r="AA318" i="17" s="1"/>
  <c r="O382" i="17"/>
  <c r="AA382" i="17" s="1"/>
  <c r="O478" i="17"/>
  <c r="AA478" i="17" s="1"/>
  <c r="O494" i="17"/>
  <c r="AA494" i="17" s="1"/>
  <c r="O455" i="17"/>
  <c r="AA455" i="17" s="1"/>
  <c r="O592" i="17"/>
  <c r="AA592" i="17" s="1"/>
  <c r="O573" i="17"/>
  <c r="AA573" i="17" s="1"/>
  <c r="P49" i="17"/>
  <c r="AB49" i="17" s="1"/>
  <c r="P48" i="17"/>
  <c r="AB48" i="17" s="1"/>
  <c r="O64" i="17"/>
  <c r="AA64" i="17" s="1"/>
  <c r="O63" i="17"/>
  <c r="AA63" i="17" s="1"/>
  <c r="O159" i="17"/>
  <c r="AA159" i="17" s="1"/>
  <c r="O223" i="17"/>
  <c r="AA223" i="17" s="1"/>
  <c r="O287" i="17"/>
  <c r="AA287" i="17" s="1"/>
  <c r="O146" i="17"/>
  <c r="AA146" i="17" s="1"/>
  <c r="O242" i="17"/>
  <c r="AA242" i="17" s="1"/>
  <c r="O306" i="17"/>
  <c r="AA306" i="17" s="1"/>
  <c r="O337" i="17"/>
  <c r="AA337" i="17" s="1"/>
  <c r="O401" i="17"/>
  <c r="AA401" i="17" s="1"/>
  <c r="O364" i="17"/>
  <c r="AA364" i="17" s="1"/>
  <c r="O460" i="17"/>
  <c r="AA460" i="17" s="1"/>
  <c r="O421" i="17"/>
  <c r="AA421" i="17" s="1"/>
  <c r="O485" i="17"/>
  <c r="AA485" i="17" s="1"/>
  <c r="O526" i="17"/>
  <c r="AA526" i="17" s="1"/>
  <c r="O590" i="17"/>
  <c r="AA590" i="17" s="1"/>
  <c r="O604" i="17"/>
  <c r="AA604" i="17" s="1"/>
  <c r="P15" i="17"/>
  <c r="AB15" i="17" s="1"/>
  <c r="P79" i="17"/>
  <c r="AB79" i="17" s="1"/>
  <c r="P14" i="17"/>
  <c r="AB14" i="17" s="1"/>
  <c r="P78" i="17"/>
  <c r="AB78" i="17" s="1"/>
  <c r="O450" i="17"/>
  <c r="AA450" i="17" s="1"/>
  <c r="O514" i="17"/>
  <c r="AA514" i="17" s="1"/>
  <c r="O475" i="17"/>
  <c r="AA475" i="17" s="1"/>
  <c r="O76" i="17"/>
  <c r="AA76" i="17" s="1"/>
  <c r="O43" i="17"/>
  <c r="AA43" i="17" s="1"/>
  <c r="O75" i="17"/>
  <c r="AA75" i="17" s="1"/>
  <c r="O107" i="17"/>
  <c r="AA107" i="17" s="1"/>
  <c r="O139" i="17"/>
  <c r="AA139" i="17" s="1"/>
  <c r="O203" i="17"/>
  <c r="AA203" i="17" s="1"/>
  <c r="O267" i="17"/>
  <c r="AA267" i="17" s="1"/>
  <c r="O158" i="17"/>
  <c r="AA158" i="17" s="1"/>
  <c r="O440" i="17"/>
  <c r="AA440" i="17" s="1"/>
  <c r="O472" i="17"/>
  <c r="AA472" i="17" s="1"/>
  <c r="O504" i="17"/>
  <c r="AA504" i="17" s="1"/>
  <c r="O433" i="17"/>
  <c r="AA433" i="17" s="1"/>
  <c r="O465" i="17"/>
  <c r="AA465" i="17" s="1"/>
  <c r="O497" i="17"/>
  <c r="AA497" i="17" s="1"/>
  <c r="O597" i="17"/>
  <c r="AA597" i="17" s="1"/>
  <c r="P59" i="17"/>
  <c r="AB59" i="17" s="1"/>
  <c r="O431" i="17"/>
  <c r="AA431" i="17" s="1"/>
  <c r="O495" i="17"/>
  <c r="AA495" i="17" s="1"/>
  <c r="O527" i="17"/>
  <c r="AA527" i="17" s="1"/>
  <c r="O536" i="17"/>
  <c r="AA536" i="17" s="1"/>
  <c r="O568" i="17"/>
  <c r="AA568" i="17" s="1"/>
  <c r="O549" i="17"/>
  <c r="AA549" i="17" s="1"/>
  <c r="O595" i="17"/>
  <c r="AA595" i="17" s="1"/>
  <c r="P25" i="17"/>
  <c r="AB25" i="17" s="1"/>
  <c r="P89" i="17"/>
  <c r="AB89" i="17" s="1"/>
  <c r="P24" i="17"/>
  <c r="AB24" i="17" s="1"/>
  <c r="P88" i="17"/>
  <c r="AB88" i="17" s="1"/>
  <c r="O40" i="17"/>
  <c r="AA40" i="17" s="1"/>
  <c r="O104" i="17"/>
  <c r="AA104" i="17" s="1"/>
  <c r="O39" i="17"/>
  <c r="AA39" i="17" s="1"/>
  <c r="O103" i="17"/>
  <c r="AA103" i="17" s="1"/>
  <c r="O135" i="17"/>
  <c r="AA135" i="17" s="1"/>
  <c r="O199" i="17"/>
  <c r="AA199" i="17" s="1"/>
  <c r="O263" i="17"/>
  <c r="AA263" i="17" s="1"/>
  <c r="O122" i="17"/>
  <c r="AA122" i="17" s="1"/>
  <c r="O218" i="17"/>
  <c r="AA218" i="17" s="1"/>
  <c r="O282" i="17"/>
  <c r="AA282" i="17" s="1"/>
  <c r="O314" i="17"/>
  <c r="AA314" i="17" s="1"/>
  <c r="O377" i="17"/>
  <c r="AA377" i="17" s="1"/>
  <c r="O409" i="17"/>
  <c r="AA409" i="17" s="1"/>
  <c r="O340" i="17"/>
  <c r="AA340" i="17" s="1"/>
  <c r="O404" i="17"/>
  <c r="AA404" i="17" s="1"/>
  <c r="O436" i="17"/>
  <c r="AA436" i="17" s="1"/>
  <c r="O500" i="17"/>
  <c r="AA500" i="17" s="1"/>
  <c r="O461" i="17"/>
  <c r="AA461" i="17" s="1"/>
  <c r="O566" i="17"/>
  <c r="AA566" i="17" s="1"/>
  <c r="O579" i="17"/>
  <c r="AA579" i="17" s="1"/>
  <c r="P55" i="17"/>
  <c r="AB55" i="17" s="1"/>
  <c r="P54" i="17"/>
  <c r="AB54" i="17" s="1"/>
  <c r="O426" i="17"/>
  <c r="AA426" i="17" s="1"/>
  <c r="O490" i="17"/>
  <c r="AA490" i="17" s="1"/>
  <c r="O451" i="17"/>
  <c r="AA451" i="17" s="1"/>
  <c r="O588" i="17"/>
  <c r="AA588" i="17" s="1"/>
  <c r="P45" i="17"/>
  <c r="AB45" i="17" s="1"/>
  <c r="P109" i="17"/>
  <c r="AB109" i="17" s="1"/>
  <c r="O50" i="17"/>
  <c r="AA50" i="17" s="1"/>
  <c r="O177" i="17"/>
  <c r="AA177" i="17" s="1"/>
  <c r="O37" i="17"/>
  <c r="AA37" i="17" s="1"/>
  <c r="O84" i="17"/>
  <c r="AA84" i="17" s="1"/>
  <c r="O147" i="17"/>
  <c r="AA147" i="17" s="1"/>
  <c r="O211" i="17"/>
  <c r="AA211" i="17" s="1"/>
  <c r="O275" i="17"/>
  <c r="AA275" i="17" s="1"/>
  <c r="O134" i="17"/>
  <c r="AA134" i="17" s="1"/>
  <c r="O230" i="17"/>
  <c r="AA230" i="17" s="1"/>
  <c r="O294" i="17"/>
  <c r="AA294" i="17" s="1"/>
  <c r="P35" i="17"/>
  <c r="AB35" i="17" s="1"/>
  <c r="P99" i="17"/>
  <c r="AB99" i="17" s="1"/>
  <c r="P34" i="17"/>
  <c r="AB34" i="17" s="1"/>
  <c r="P100" i="17"/>
  <c r="AB100" i="17" s="1"/>
  <c r="O507" i="17"/>
  <c r="AA507" i="17" s="1"/>
  <c r="O561" i="17"/>
  <c r="AA561" i="17" s="1"/>
  <c r="P36" i="17"/>
  <c r="AB36" i="17" s="1"/>
  <c r="O52" i="17"/>
  <c r="AA52" i="17" s="1"/>
  <c r="O27" i="17"/>
  <c r="AA27" i="17" s="1"/>
  <c r="O91" i="17"/>
  <c r="AA91" i="17" s="1"/>
  <c r="O333" i="17"/>
  <c r="AA333" i="17" s="1"/>
  <c r="O397" i="17"/>
  <c r="AA397" i="17" s="1"/>
  <c r="O360" i="17"/>
  <c r="AA360" i="17" s="1"/>
  <c r="O456" i="17"/>
  <c r="AA456" i="17" s="1"/>
  <c r="O481" i="17"/>
  <c r="AA481" i="17" s="1"/>
  <c r="O522" i="17"/>
  <c r="AA522" i="17" s="1"/>
  <c r="O586" i="17"/>
  <c r="AA586" i="17" s="1"/>
  <c r="O600" i="17"/>
  <c r="AA600" i="17" s="1"/>
  <c r="O439" i="17"/>
  <c r="AA439" i="17" s="1"/>
  <c r="O503" i="17"/>
  <c r="AA503" i="17" s="1"/>
  <c r="O535" i="17"/>
  <c r="AA535" i="17" s="1"/>
  <c r="O576" i="17"/>
  <c r="AA576" i="17" s="1"/>
  <c r="O557" i="17"/>
  <c r="AA557" i="17" s="1"/>
  <c r="P33" i="17"/>
  <c r="AB33" i="17" s="1"/>
  <c r="P97" i="17"/>
  <c r="AB97" i="17" s="1"/>
  <c r="P32" i="17"/>
  <c r="AB32" i="17" s="1"/>
  <c r="O48" i="17"/>
  <c r="AA48" i="17" s="1"/>
  <c r="O47" i="17"/>
  <c r="AA47" i="17" s="1"/>
  <c r="O143" i="17"/>
  <c r="AA143" i="17" s="1"/>
  <c r="O207" i="17"/>
  <c r="AA207" i="17" s="1"/>
  <c r="O271" i="17"/>
  <c r="AA271" i="17" s="1"/>
  <c r="O130" i="17"/>
  <c r="AA130" i="17" s="1"/>
  <c r="O226" i="17"/>
  <c r="AA226" i="17" s="1"/>
  <c r="O290" i="17"/>
  <c r="AA290" i="17" s="1"/>
  <c r="O321" i="17"/>
  <c r="AA321" i="17" s="1"/>
  <c r="O385" i="17"/>
  <c r="AA385" i="17" s="1"/>
  <c r="O348" i="17"/>
  <c r="AA348" i="17" s="1"/>
  <c r="O412" i="17"/>
  <c r="AA412" i="17" s="1"/>
  <c r="O444" i="17"/>
  <c r="AA444" i="17" s="1"/>
  <c r="O508" i="17"/>
  <c r="AA508" i="17" s="1"/>
  <c r="O469" i="17"/>
  <c r="AA469" i="17" s="1"/>
  <c r="O574" i="17"/>
  <c r="AA574" i="17" s="1"/>
  <c r="O587" i="17"/>
  <c r="AA587" i="17" s="1"/>
  <c r="O601" i="17"/>
  <c r="AA601" i="17" s="1"/>
  <c r="P63" i="17"/>
  <c r="AB63" i="17" s="1"/>
  <c r="P62" i="17"/>
  <c r="AB62" i="17" s="1"/>
  <c r="O434" i="17"/>
  <c r="AA434" i="17" s="1"/>
  <c r="O498" i="17"/>
  <c r="AA498" i="17" s="1"/>
  <c r="O459" i="17"/>
  <c r="AA459" i="17" s="1"/>
  <c r="O564" i="17"/>
  <c r="AA564" i="17" s="1"/>
  <c r="P47" i="17"/>
  <c r="AB47" i="17" s="1"/>
  <c r="P46" i="17"/>
  <c r="AB46" i="17" s="1"/>
  <c r="O418" i="17"/>
  <c r="AA418" i="17" s="1"/>
  <c r="O482" i="17"/>
  <c r="AA482" i="17" s="1"/>
  <c r="O443" i="17"/>
  <c r="AA443" i="17" s="1"/>
  <c r="O532" i="17"/>
  <c r="AA532" i="17" s="1"/>
  <c r="O36" i="17"/>
  <c r="AA36" i="17" s="1"/>
  <c r="O108" i="17"/>
  <c r="AA108" i="17" s="1"/>
  <c r="O171" i="17"/>
  <c r="AA171" i="17" s="1"/>
  <c r="O235" i="17"/>
  <c r="AA235" i="17" s="1"/>
  <c r="O299" i="17"/>
  <c r="AA299" i="17" s="1"/>
  <c r="O126" i="17"/>
  <c r="AA126" i="17" s="1"/>
  <c r="O538" i="17"/>
  <c r="AA538" i="17" s="1"/>
  <c r="O570" i="17"/>
  <c r="AA570" i="17" s="1"/>
  <c r="O551" i="17"/>
  <c r="AA551" i="17" s="1"/>
  <c r="O583" i="17"/>
  <c r="AA583" i="17" s="1"/>
  <c r="P27" i="17"/>
  <c r="AB27" i="17" s="1"/>
  <c r="P91" i="17"/>
  <c r="AB91" i="17" s="1"/>
  <c r="O502" i="17"/>
  <c r="AA502" i="17" s="1"/>
  <c r="O463" i="17"/>
  <c r="AA463" i="17" s="1"/>
  <c r="O581" i="17"/>
  <c r="AA581" i="17" s="1"/>
  <c r="P57" i="17"/>
  <c r="AB57" i="17" s="1"/>
  <c r="P56" i="17"/>
  <c r="AB56" i="17" s="1"/>
  <c r="O72" i="17"/>
  <c r="AA72" i="17" s="1"/>
  <c r="O71" i="17"/>
  <c r="AA71" i="17" s="1"/>
  <c r="O167" i="17"/>
  <c r="AA167" i="17" s="1"/>
  <c r="O231" i="17"/>
  <c r="AA231" i="17" s="1"/>
  <c r="O295" i="17"/>
  <c r="AA295" i="17" s="1"/>
  <c r="O154" i="17"/>
  <c r="AA154" i="17" s="1"/>
  <c r="O186" i="17"/>
  <c r="AA186" i="17" s="1"/>
  <c r="O250" i="17"/>
  <c r="AA250" i="17" s="1"/>
  <c r="O345" i="17"/>
  <c r="AA345" i="17" s="1"/>
  <c r="O372" i="17"/>
  <c r="AA372" i="17" s="1"/>
  <c r="O468" i="17"/>
  <c r="AA468" i="17" s="1"/>
  <c r="O429" i="17"/>
  <c r="AA429" i="17" s="1"/>
  <c r="O493" i="17"/>
  <c r="AA493" i="17" s="1"/>
  <c r="O525" i="17"/>
  <c r="AA525" i="17" s="1"/>
  <c r="O534" i="17"/>
  <c r="AA534" i="17" s="1"/>
  <c r="O547" i="17"/>
  <c r="AA547" i="17" s="1"/>
  <c r="O612" i="17"/>
  <c r="AA612" i="17" s="1"/>
  <c r="P23" i="17"/>
  <c r="AB23" i="17" s="1"/>
  <c r="P87" i="17"/>
  <c r="AB87" i="17" s="1"/>
  <c r="P22" i="17"/>
  <c r="AB22" i="17" s="1"/>
  <c r="P86" i="17"/>
  <c r="AB86" i="17" s="1"/>
  <c r="O458" i="17"/>
  <c r="AA458" i="17" s="1"/>
  <c r="O419" i="17"/>
  <c r="AA419" i="17" s="1"/>
  <c r="O524" i="17"/>
  <c r="AA524" i="17" s="1"/>
  <c r="O556" i="17"/>
  <c r="AA556" i="17" s="1"/>
  <c r="P13" i="17"/>
  <c r="AB13" i="17" s="1"/>
  <c r="P77" i="17"/>
  <c r="AB77" i="17" s="1"/>
  <c r="O113" i="17"/>
  <c r="AA113" i="17" s="1"/>
  <c r="O241" i="17"/>
  <c r="AA241" i="17" s="1"/>
  <c r="O115" i="17"/>
  <c r="AA115" i="17" s="1"/>
  <c r="O179" i="17"/>
  <c r="AA179" i="17" s="1"/>
  <c r="O243" i="17"/>
  <c r="AA243" i="17" s="1"/>
  <c r="O307" i="17"/>
  <c r="AA307" i="17" s="1"/>
  <c r="O166" i="17"/>
  <c r="AA166" i="17" s="1"/>
  <c r="O198" i="17"/>
  <c r="AA198" i="17" s="1"/>
  <c r="O262" i="17"/>
  <c r="AA262" i="17" s="1"/>
  <c r="O605" i="17"/>
  <c r="AA605" i="17" s="1"/>
  <c r="P67" i="17"/>
  <c r="AB67" i="17" s="1"/>
  <c r="P66" i="17"/>
  <c r="AB66" i="17" s="1"/>
  <c r="P132" i="17"/>
  <c r="AB132" i="17" s="1"/>
  <c r="O593" i="17"/>
  <c r="AA593" i="17" s="1"/>
  <c r="P68" i="17"/>
  <c r="AB68" i="17" s="1"/>
  <c r="O20" i="17"/>
  <c r="AA20" i="17" s="1"/>
  <c r="O59" i="17"/>
  <c r="AA59" i="17" s="1"/>
  <c r="O365" i="17"/>
  <c r="AA365" i="17" s="1"/>
  <c r="O328" i="17"/>
  <c r="AA328" i="17" s="1"/>
  <c r="O392" i="17"/>
  <c r="AA392" i="17" s="1"/>
  <c r="O424" i="17"/>
  <c r="AA424" i="17" s="1"/>
  <c r="O488" i="17"/>
  <c r="AA488" i="17" s="1"/>
  <c r="O417" i="17"/>
  <c r="AA417" i="17" s="1"/>
  <c r="O449" i="17"/>
  <c r="AA449" i="17" s="1"/>
  <c r="O513" i="17"/>
  <c r="AA513" i="17" s="1"/>
  <c r="O554" i="17"/>
  <c r="AA554" i="17" s="1"/>
  <c r="O567" i="17"/>
  <c r="AA567" i="17" s="1"/>
  <c r="O510" i="17"/>
  <c r="AA510" i="17" s="1"/>
  <c r="O471" i="17"/>
  <c r="AA471" i="17" s="1"/>
  <c r="O544" i="17"/>
  <c r="AA544" i="17" s="1"/>
  <c r="O589" i="17"/>
  <c r="AA589" i="17" s="1"/>
  <c r="O603" i="17"/>
  <c r="AA603" i="17" s="1"/>
  <c r="P65" i="17"/>
  <c r="AB65" i="17" s="1"/>
  <c r="P64" i="17"/>
  <c r="AB64" i="17" s="1"/>
  <c r="O16" i="17"/>
  <c r="AA16" i="17" s="1"/>
  <c r="O80" i="17"/>
  <c r="AA80" i="17" s="1"/>
  <c r="O15" i="17"/>
  <c r="AA15" i="17" s="1"/>
  <c r="O79" i="17"/>
  <c r="AA79" i="17" s="1"/>
  <c r="O111" i="17"/>
  <c r="AA111" i="17" s="1"/>
  <c r="O175" i="17"/>
  <c r="AA175" i="17" s="1"/>
  <c r="O239" i="17"/>
  <c r="AA239" i="17" s="1"/>
  <c r="O303" i="17"/>
  <c r="AA303" i="17" s="1"/>
  <c r="O162" i="17"/>
  <c r="AA162" i="17" s="1"/>
  <c r="O194" i="17"/>
  <c r="AA194" i="17" s="1"/>
  <c r="O258" i="17"/>
  <c r="AA258" i="17" s="1"/>
  <c r="O353" i="17"/>
  <c r="AA353" i="17" s="1"/>
  <c r="O316" i="17"/>
  <c r="AA316" i="17" s="1"/>
  <c r="O380" i="17"/>
  <c r="AA380" i="17" s="1"/>
  <c r="O476" i="17"/>
  <c r="AA476" i="17" s="1"/>
  <c r="O437" i="17"/>
  <c r="AA437" i="17" s="1"/>
  <c r="O501" i="17"/>
  <c r="AA501" i="17" s="1"/>
  <c r="O533" i="17"/>
  <c r="AA533" i="17" s="1"/>
  <c r="O542" i="17"/>
  <c r="AA542" i="17" s="1"/>
  <c r="O555" i="17"/>
  <c r="AA555" i="17" s="1"/>
  <c r="P31" i="17"/>
  <c r="AB31" i="17" s="1"/>
  <c r="P95" i="17"/>
  <c r="AB95" i="17" s="1"/>
  <c r="P30" i="17"/>
  <c r="AB30" i="17" s="1"/>
  <c r="P96" i="17"/>
  <c r="AB96" i="17" s="1"/>
  <c r="O466" i="17"/>
  <c r="AA466" i="17" s="1"/>
  <c r="O427" i="17"/>
  <c r="AA427" i="17" s="1"/>
  <c r="O491" i="17"/>
  <c r="AA491" i="17" s="1"/>
  <c r="O523" i="17"/>
  <c r="AA523" i="17" s="1"/>
  <c r="O539" i="17"/>
  <c r="AA539" i="17" s="1"/>
  <c r="O548" i="17"/>
  <c r="AA548" i="17" s="1"/>
  <c r="O580" i="17"/>
  <c r="AA580" i="17" s="1"/>
  <c r="O545" i="17"/>
  <c r="AA545" i="17" s="1"/>
  <c r="O610" i="17"/>
  <c r="AA610" i="17" s="1"/>
  <c r="O607" i="17"/>
  <c r="AA607" i="17" s="1"/>
  <c r="P37" i="17"/>
  <c r="AB37" i="17" s="1"/>
  <c r="P69" i="17"/>
  <c r="AB69" i="17" s="1"/>
  <c r="P101" i="17"/>
  <c r="AB101" i="17" s="1"/>
  <c r="P20" i="17"/>
  <c r="AB20" i="17" s="1"/>
  <c r="P84" i="17"/>
  <c r="AB84" i="17" s="1"/>
  <c r="O34" i="17"/>
  <c r="AA34" i="17" s="1"/>
  <c r="O98" i="17"/>
  <c r="AA98" i="17" s="1"/>
  <c r="O161" i="17"/>
  <c r="AA161" i="17" s="1"/>
  <c r="O225" i="17"/>
  <c r="AA225" i="17" s="1"/>
  <c r="O21" i="17"/>
  <c r="AA21" i="17" s="1"/>
  <c r="O60" i="17"/>
  <c r="AA60" i="17" s="1"/>
  <c r="O19" i="17"/>
  <c r="AA19" i="17" s="1"/>
  <c r="O83" i="17"/>
  <c r="AA83" i="17" s="1"/>
  <c r="O155" i="17"/>
  <c r="AA155" i="17" s="1"/>
  <c r="O219" i="17"/>
  <c r="AA219" i="17" s="1"/>
  <c r="O283" i="17"/>
  <c r="AA283" i="17" s="1"/>
  <c r="O110" i="17"/>
  <c r="AA110" i="17" s="1"/>
  <c r="O142" i="17"/>
  <c r="AA142" i="17" s="1"/>
  <c r="O206" i="17"/>
  <c r="AA206" i="17" s="1"/>
  <c r="O238" i="17"/>
  <c r="AA238" i="17" s="1"/>
  <c r="O270" i="17"/>
  <c r="AA270" i="17" s="1"/>
  <c r="O302" i="17"/>
  <c r="AA302" i="17" s="1"/>
  <c r="O317" i="17"/>
  <c r="AA317" i="17" s="1"/>
  <c r="O381" i="17"/>
  <c r="AA381" i="17" s="1"/>
  <c r="O413" i="17"/>
  <c r="AA413" i="17" s="1"/>
  <c r="O344" i="17"/>
  <c r="AA344" i="17" s="1"/>
  <c r="O408" i="17"/>
  <c r="AA408" i="17" s="1"/>
  <c r="O480" i="17"/>
  <c r="AA480" i="17" s="1"/>
  <c r="O441" i="17"/>
  <c r="AA441" i="17" s="1"/>
  <c r="O505" i="17"/>
  <c r="AA505" i="17" s="1"/>
  <c r="O546" i="17"/>
  <c r="AA546" i="17" s="1"/>
  <c r="O559" i="17"/>
  <c r="AA559" i="17" s="1"/>
  <c r="O613" i="17"/>
  <c r="AA613" i="17" s="1"/>
  <c r="P75" i="17"/>
  <c r="AB75" i="17" s="1"/>
  <c r="P42" i="17"/>
  <c r="AB42" i="17" s="1"/>
  <c r="P74" i="17"/>
  <c r="AB74" i="17" s="1"/>
  <c r="P108" i="17"/>
  <c r="AB108" i="17" s="1"/>
  <c r="O483" i="17"/>
  <c r="AA483" i="17" s="1"/>
  <c r="O602" i="17"/>
  <c r="AA602" i="17" s="1"/>
  <c r="P76" i="17"/>
  <c r="AB76" i="17" s="1"/>
  <c r="O325" i="17"/>
  <c r="AA325" i="17" s="1"/>
  <c r="O389" i="17"/>
  <c r="AA389" i="17" s="1"/>
  <c r="O352" i="17"/>
  <c r="AA352" i="17" s="1"/>
  <c r="O416" i="17"/>
  <c r="AA416" i="17" s="1"/>
  <c r="O479" i="17"/>
  <c r="AA479" i="17" s="1"/>
  <c r="O543" i="17"/>
  <c r="AA543" i="17" s="1"/>
  <c r="O552" i="17"/>
  <c r="AA552" i="17" s="1"/>
  <c r="O598" i="17"/>
  <c r="AA598" i="17" s="1"/>
  <c r="O611" i="17"/>
  <c r="AA611" i="17" s="1"/>
  <c r="P73" i="17"/>
  <c r="AB73" i="17" s="1"/>
  <c r="P72" i="17"/>
  <c r="AB72" i="17" s="1"/>
  <c r="O24" i="17"/>
  <c r="AA24" i="17" s="1"/>
  <c r="O88" i="17"/>
  <c r="AA88" i="17" s="1"/>
  <c r="O23" i="17"/>
  <c r="AA23" i="17" s="1"/>
  <c r="O87" i="17"/>
  <c r="AA87" i="17" s="1"/>
  <c r="O119" i="17"/>
  <c r="AA119" i="17" s="1"/>
  <c r="O183" i="17"/>
  <c r="AA183" i="17" s="1"/>
  <c r="O247" i="17"/>
  <c r="AA247" i="17" s="1"/>
  <c r="O311" i="17"/>
  <c r="AA311" i="17" s="1"/>
  <c r="O170" i="17"/>
  <c r="AA170" i="17" s="1"/>
  <c r="O202" i="17"/>
  <c r="AA202" i="17" s="1"/>
  <c r="O266" i="17"/>
  <c r="AA266" i="17" s="1"/>
  <c r="O361" i="17"/>
  <c r="AA361" i="17" s="1"/>
  <c r="O324" i="17"/>
  <c r="AA324" i="17" s="1"/>
  <c r="O388" i="17"/>
  <c r="AA388" i="17" s="1"/>
  <c r="O420" i="17"/>
  <c r="AA420" i="17" s="1"/>
  <c r="O484" i="17"/>
  <c r="AA484" i="17" s="1"/>
  <c r="O445" i="17"/>
  <c r="AA445" i="17" s="1"/>
  <c r="O509" i="17"/>
  <c r="AA509" i="17" s="1"/>
  <c r="O550" i="17"/>
  <c r="AA550" i="17" s="1"/>
  <c r="O563" i="17"/>
  <c r="AA563" i="17" s="1"/>
  <c r="P39" i="17"/>
  <c r="AB39" i="17" s="1"/>
  <c r="P103" i="17"/>
  <c r="AB103" i="17" s="1"/>
  <c r="P38" i="17"/>
  <c r="AB38" i="17" s="1"/>
  <c r="O474" i="17"/>
  <c r="AA474" i="17" s="1"/>
  <c r="O435" i="17"/>
  <c r="AA435" i="17" s="1"/>
  <c r="O499" i="17"/>
  <c r="AA499" i="17" s="1"/>
  <c r="O531" i="17"/>
  <c r="AA531" i="17" s="1"/>
  <c r="O540" i="17"/>
  <c r="AA540" i="17" s="1"/>
  <c r="O572" i="17"/>
  <c r="AA572" i="17" s="1"/>
  <c r="O553" i="17"/>
  <c r="AA553" i="17" s="1"/>
  <c r="P29" i="17"/>
  <c r="AB29" i="17" s="1"/>
  <c r="P93" i="17"/>
  <c r="AB93" i="17" s="1"/>
  <c r="P28" i="17"/>
  <c r="AB28" i="17" s="1"/>
  <c r="P92" i="17"/>
  <c r="AB92" i="17" s="1"/>
  <c r="O44" i="17"/>
  <c r="AA44" i="17" s="1"/>
  <c r="O82" i="17"/>
  <c r="AA82" i="17" s="1"/>
  <c r="O209" i="17"/>
  <c r="AA209" i="17" s="1"/>
  <c r="O100" i="17"/>
  <c r="AA100" i="17" s="1"/>
  <c r="O35" i="17"/>
  <c r="AA35" i="17" s="1"/>
  <c r="O99" i="17"/>
  <c r="AA99" i="17" s="1"/>
  <c r="O131" i="17"/>
  <c r="AA131" i="17" s="1"/>
  <c r="O195" i="17"/>
  <c r="AA195" i="17" s="1"/>
  <c r="O259" i="17"/>
  <c r="AA259" i="17" s="1"/>
  <c r="O118" i="17"/>
  <c r="AA118" i="17" s="1"/>
  <c r="O214" i="17"/>
  <c r="AA214" i="17" s="1"/>
  <c r="O278" i="17"/>
  <c r="AA278" i="17" s="1"/>
  <c r="O373" i="17"/>
  <c r="AA373" i="17" s="1"/>
  <c r="O336" i="17"/>
  <c r="AA336" i="17" s="1"/>
  <c r="O400" i="17"/>
  <c r="AA400" i="17" s="1"/>
  <c r="O432" i="17"/>
  <c r="AA432" i="17" s="1"/>
  <c r="O496" i="17"/>
  <c r="AA496" i="17" s="1"/>
  <c r="O457" i="17"/>
  <c r="AA457" i="17" s="1"/>
  <c r="O562" i="17"/>
  <c r="AA562" i="17" s="1"/>
  <c r="O575" i="17"/>
  <c r="AA575" i="17" s="1"/>
  <c r="P51" i="17"/>
  <c r="AB51" i="17" s="1"/>
  <c r="P50" i="17"/>
  <c r="AB50" i="17" s="1"/>
  <c r="P116" i="17"/>
  <c r="AB116" i="17" s="1"/>
  <c r="P180" i="17"/>
  <c r="AB180" i="17" s="1"/>
  <c r="P160" i="17"/>
  <c r="AB160" i="17" s="1"/>
  <c r="P224" i="17"/>
  <c r="AB224" i="17" s="1"/>
  <c r="P288" i="17"/>
  <c r="AB288" i="17" s="1"/>
  <c r="P147" i="17"/>
  <c r="AB147" i="17" s="1"/>
  <c r="P211" i="17"/>
  <c r="AB211" i="17" s="1"/>
  <c r="P275" i="17"/>
  <c r="AB275" i="17" s="1"/>
  <c r="P372" i="17"/>
  <c r="AB372" i="17" s="1"/>
  <c r="P365" i="17"/>
  <c r="AB365" i="17" s="1"/>
  <c r="P461" i="17"/>
  <c r="AB461" i="17" s="1"/>
  <c r="P424" i="17"/>
  <c r="AB424" i="17" s="1"/>
  <c r="P488" i="17"/>
  <c r="AB488" i="17" s="1"/>
  <c r="P583" i="17"/>
  <c r="AB583" i="17" s="1"/>
  <c r="P541" i="17"/>
  <c r="AB541" i="17" s="1"/>
  <c r="P603" i="17"/>
  <c r="AB603" i="17" s="1"/>
  <c r="P94" i="17"/>
  <c r="AB94" i="17" s="1"/>
  <c r="P158" i="17"/>
  <c r="AB158" i="17" s="1"/>
  <c r="P222" i="17"/>
  <c r="AB222" i="17" s="1"/>
  <c r="P286" i="17"/>
  <c r="AB286" i="17" s="1"/>
  <c r="P145" i="17"/>
  <c r="AB145" i="17" s="1"/>
  <c r="P209" i="17"/>
  <c r="AB209" i="17" s="1"/>
  <c r="P273" i="17"/>
  <c r="AB273" i="17" s="1"/>
  <c r="P370" i="17"/>
  <c r="AB370" i="17" s="1"/>
  <c r="P363" i="17"/>
  <c r="AB363" i="17" s="1"/>
  <c r="P459" i="17"/>
  <c r="AB459" i="17" s="1"/>
  <c r="P422" i="17"/>
  <c r="AB422" i="17" s="1"/>
  <c r="P486" i="17"/>
  <c r="AB486" i="17" s="1"/>
  <c r="P549" i="17"/>
  <c r="AB549" i="17" s="1"/>
  <c r="P539" i="17"/>
  <c r="AB539" i="17" s="1"/>
  <c r="P601" i="17"/>
  <c r="AB601" i="17" s="1"/>
  <c r="O518" i="17"/>
  <c r="AA518" i="17" s="1"/>
  <c r="O577" i="17"/>
  <c r="AA577" i="17" s="1"/>
  <c r="P21" i="17"/>
  <c r="AB21" i="17" s="1"/>
  <c r="P53" i="17"/>
  <c r="AB53" i="17" s="1"/>
  <c r="P85" i="17"/>
  <c r="AB85" i="17" s="1"/>
  <c r="P52" i="17"/>
  <c r="AB52" i="17" s="1"/>
  <c r="O28" i="17"/>
  <c r="AA28" i="17" s="1"/>
  <c r="O66" i="17"/>
  <c r="AA66" i="17" s="1"/>
  <c r="O129" i="17"/>
  <c r="AA129" i="17" s="1"/>
  <c r="O193" i="17"/>
  <c r="AA193" i="17" s="1"/>
  <c r="O257" i="17"/>
  <c r="AA257" i="17" s="1"/>
  <c r="O92" i="17"/>
  <c r="AA92" i="17" s="1"/>
  <c r="O51" i="17"/>
  <c r="AA51" i="17" s="1"/>
  <c r="O123" i="17"/>
  <c r="AA123" i="17" s="1"/>
  <c r="O187" i="17"/>
  <c r="AA187" i="17" s="1"/>
  <c r="O251" i="17"/>
  <c r="AA251" i="17" s="1"/>
  <c r="O174" i="17"/>
  <c r="AA174" i="17" s="1"/>
  <c r="O190" i="17"/>
  <c r="AA190" i="17" s="1"/>
  <c r="O222" i="17"/>
  <c r="AA222" i="17" s="1"/>
  <c r="O254" i="17"/>
  <c r="AA254" i="17" s="1"/>
  <c r="O286" i="17"/>
  <c r="AA286" i="17" s="1"/>
  <c r="O349" i="17"/>
  <c r="AA349" i="17" s="1"/>
  <c r="O376" i="17"/>
  <c r="AA376" i="17" s="1"/>
  <c r="O448" i="17"/>
  <c r="AA448" i="17" s="1"/>
  <c r="O512" i="17"/>
  <c r="AA512" i="17" s="1"/>
  <c r="O473" i="17"/>
  <c r="AA473" i="17" s="1"/>
  <c r="O529" i="17"/>
  <c r="AA529" i="17" s="1"/>
  <c r="O578" i="17"/>
  <c r="AA578" i="17" s="1"/>
  <c r="O591" i="17"/>
  <c r="AA591" i="17" s="1"/>
  <c r="P43" i="17"/>
  <c r="AB43" i="17" s="1"/>
  <c r="P107" i="17"/>
  <c r="AB107" i="17" s="1"/>
  <c r="P26" i="17"/>
  <c r="AB26" i="17" s="1"/>
  <c r="P58" i="17"/>
  <c r="AB58" i="17" s="1"/>
  <c r="P90" i="17"/>
  <c r="AB90" i="17" s="1"/>
  <c r="P124" i="17"/>
  <c r="AB124" i="17" s="1"/>
  <c r="O515" i="17"/>
  <c r="AA515" i="17" s="1"/>
  <c r="O569" i="17"/>
  <c r="AA569" i="17" s="1"/>
  <c r="P44" i="17"/>
  <c r="AB44" i="17" s="1"/>
  <c r="O357" i="17"/>
  <c r="AA357" i="17" s="1"/>
  <c r="O320" i="17"/>
  <c r="AA320" i="17" s="1"/>
  <c r="O384" i="17"/>
  <c r="AA384" i="17" s="1"/>
  <c r="O537" i="17"/>
  <c r="AA537" i="17" s="1"/>
  <c r="O486" i="17"/>
  <c r="AA486" i="17" s="1"/>
  <c r="O520" i="17"/>
  <c r="AA520" i="17" s="1"/>
  <c r="O447" i="17"/>
  <c r="AA447" i="17" s="1"/>
  <c r="O511" i="17"/>
  <c r="AA511" i="17" s="1"/>
  <c r="O584" i="17"/>
  <c r="AA584" i="17" s="1"/>
  <c r="O565" i="17"/>
  <c r="AA565" i="17" s="1"/>
  <c r="P41" i="17"/>
  <c r="AB41" i="17" s="1"/>
  <c r="P105" i="17"/>
  <c r="AB105" i="17" s="1"/>
  <c r="P40" i="17"/>
  <c r="AB40" i="17" s="1"/>
  <c r="O56" i="17"/>
  <c r="AA56" i="17" s="1"/>
  <c r="O55" i="17"/>
  <c r="AA55" i="17" s="1"/>
  <c r="O151" i="17"/>
  <c r="AA151" i="17" s="1"/>
  <c r="O215" i="17"/>
  <c r="AA215" i="17" s="1"/>
  <c r="O279" i="17"/>
  <c r="AA279" i="17" s="1"/>
  <c r="O138" i="17"/>
  <c r="AA138" i="17" s="1"/>
  <c r="O234" i="17"/>
  <c r="AA234" i="17" s="1"/>
  <c r="O298" i="17"/>
  <c r="AA298" i="17" s="1"/>
  <c r="O329" i="17"/>
  <c r="AA329" i="17" s="1"/>
  <c r="O393" i="17"/>
  <c r="AA393" i="17" s="1"/>
  <c r="O356" i="17"/>
  <c r="AA356" i="17" s="1"/>
  <c r="O452" i="17"/>
  <c r="AA452" i="17" s="1"/>
  <c r="O516" i="17"/>
  <c r="AA516" i="17" s="1"/>
  <c r="O477" i="17"/>
  <c r="AA477" i="17" s="1"/>
  <c r="O541" i="17"/>
  <c r="AA541" i="17" s="1"/>
  <c r="O582" i="17"/>
  <c r="AA582" i="17" s="1"/>
  <c r="O596" i="17"/>
  <c r="AA596" i="17" s="1"/>
  <c r="O609" i="17"/>
  <c r="AA609" i="17" s="1"/>
  <c r="P71" i="17"/>
  <c r="AB71" i="17" s="1"/>
  <c r="P70" i="17"/>
  <c r="AB70" i="17" s="1"/>
  <c r="O410" i="17"/>
  <c r="AA410" i="17" s="1"/>
  <c r="O442" i="17"/>
  <c r="AA442" i="17" s="1"/>
  <c r="O506" i="17"/>
  <c r="AA506" i="17" s="1"/>
  <c r="O467" i="17"/>
  <c r="AA467" i="17" s="1"/>
  <c r="O585" i="17"/>
  <c r="AA585" i="17" s="1"/>
  <c r="O599" i="17"/>
  <c r="AA599" i="17" s="1"/>
  <c r="P61" i="17"/>
  <c r="AB61" i="17" s="1"/>
  <c r="P60" i="17"/>
  <c r="AB60" i="17" s="1"/>
  <c r="O18" i="17"/>
  <c r="AA18" i="17" s="1"/>
  <c r="O145" i="17"/>
  <c r="AA145" i="17" s="1"/>
  <c r="O273" i="17"/>
  <c r="AA273" i="17" s="1"/>
  <c r="O68" i="17"/>
  <c r="AA68" i="17" s="1"/>
  <c r="O67" i="17"/>
  <c r="AA67" i="17" s="1"/>
  <c r="O163" i="17"/>
  <c r="AA163" i="17" s="1"/>
  <c r="O227" i="17"/>
  <c r="AA227" i="17" s="1"/>
  <c r="O291" i="17"/>
  <c r="AA291" i="17" s="1"/>
  <c r="O150" i="17"/>
  <c r="AA150" i="17" s="1"/>
  <c r="O182" i="17"/>
  <c r="AA182" i="17" s="1"/>
  <c r="O246" i="17"/>
  <c r="AA246" i="17" s="1"/>
  <c r="O310" i="17"/>
  <c r="AA310" i="17" s="1"/>
  <c r="O341" i="17"/>
  <c r="AA341" i="17" s="1"/>
  <c r="O405" i="17"/>
  <c r="AA405" i="17" s="1"/>
  <c r="O368" i="17"/>
  <c r="AA368" i="17" s="1"/>
  <c r="O464" i="17"/>
  <c r="AA464" i="17" s="1"/>
  <c r="O425" i="17"/>
  <c r="AA425" i="17" s="1"/>
  <c r="O489" i="17"/>
  <c r="AA489" i="17" s="1"/>
  <c r="O521" i="17"/>
  <c r="AA521" i="17" s="1"/>
  <c r="O530" i="17"/>
  <c r="AA530" i="17" s="1"/>
  <c r="O594" i="17"/>
  <c r="AA594" i="17" s="1"/>
  <c r="O608" i="17"/>
  <c r="AA608" i="17" s="1"/>
  <c r="P19" i="17"/>
  <c r="AB19" i="17" s="1"/>
  <c r="P83" i="17"/>
  <c r="AB83" i="17" s="1"/>
  <c r="P18" i="17"/>
  <c r="AB18" i="17" s="1"/>
  <c r="P82" i="17"/>
  <c r="AB82" i="17" s="1"/>
  <c r="P148" i="17"/>
  <c r="AB148" i="17" s="1"/>
  <c r="P128" i="17"/>
  <c r="AB128" i="17" s="1"/>
  <c r="P192" i="17"/>
  <c r="AB192" i="17" s="1"/>
  <c r="P256" i="17"/>
  <c r="AB256" i="17" s="1"/>
  <c r="P115" i="17"/>
  <c r="AB115" i="17" s="1"/>
  <c r="P179" i="17"/>
  <c r="AB179" i="17" s="1"/>
  <c r="P243" i="17"/>
  <c r="AB243" i="17" s="1"/>
  <c r="P307" i="17"/>
  <c r="AB307" i="17" s="1"/>
  <c r="P340" i="17"/>
  <c r="AB340" i="17" s="1"/>
  <c r="P404" i="17"/>
  <c r="AB404" i="17" s="1"/>
  <c r="P333" i="17"/>
  <c r="AB333" i="17" s="1"/>
  <c r="P397" i="17"/>
  <c r="AB397" i="17" s="1"/>
  <c r="P429" i="17"/>
  <c r="AB429" i="17" s="1"/>
  <c r="P493" i="17"/>
  <c r="AB493" i="17" s="1"/>
  <c r="P456" i="17"/>
  <c r="AB456" i="17" s="1"/>
  <c r="P518" i="17"/>
  <c r="AB518" i="17" s="1"/>
  <c r="P551" i="17"/>
  <c r="AB551" i="17" s="1"/>
  <c r="P572" i="17"/>
  <c r="AB572" i="17" s="1"/>
  <c r="P126" i="17"/>
  <c r="AB126" i="17" s="1"/>
  <c r="P190" i="17"/>
  <c r="AB190" i="17" s="1"/>
  <c r="P254" i="17"/>
  <c r="AB254" i="17" s="1"/>
  <c r="P113" i="17"/>
  <c r="AB113" i="17" s="1"/>
  <c r="P177" i="17"/>
  <c r="AB177" i="17" s="1"/>
  <c r="P241" i="17"/>
  <c r="AB241" i="17" s="1"/>
  <c r="P305" i="17"/>
  <c r="AB305" i="17" s="1"/>
  <c r="P338" i="17"/>
  <c r="AB338" i="17" s="1"/>
  <c r="P402" i="17"/>
  <c r="AB402" i="17" s="1"/>
  <c r="P331" i="17"/>
  <c r="AB331" i="17" s="1"/>
  <c r="P395" i="17"/>
  <c r="AB395" i="17" s="1"/>
  <c r="P427" i="17"/>
  <c r="AB427" i="17" s="1"/>
  <c r="P491" i="17"/>
  <c r="AB491" i="17" s="1"/>
  <c r="P454" i="17"/>
  <c r="AB454" i="17" s="1"/>
  <c r="P519" i="17"/>
  <c r="AB519" i="17" s="1"/>
  <c r="P581" i="17"/>
  <c r="AB581" i="17" s="1"/>
  <c r="P570" i="17"/>
  <c r="AB570" i="17" s="1"/>
  <c r="P212" i="17"/>
  <c r="AB212" i="17" s="1"/>
  <c r="P172" i="17"/>
  <c r="AB172" i="17" s="1"/>
  <c r="P152" i="17"/>
  <c r="AB152" i="17" s="1"/>
  <c r="P216" i="17"/>
  <c r="AB216" i="17" s="1"/>
  <c r="P280" i="17"/>
  <c r="AB280" i="17" s="1"/>
  <c r="P139" i="17"/>
  <c r="AB139" i="17" s="1"/>
  <c r="P203" i="17"/>
  <c r="AB203" i="17" s="1"/>
  <c r="P267" i="17"/>
  <c r="AB267" i="17" s="1"/>
  <c r="P364" i="17"/>
  <c r="AB364" i="17" s="1"/>
  <c r="P357" i="17"/>
  <c r="AB357" i="17" s="1"/>
  <c r="P453" i="17"/>
  <c r="AB453" i="17" s="1"/>
  <c r="P517" i="17"/>
  <c r="AB517" i="17" s="1"/>
  <c r="P480" i="17"/>
  <c r="AB480" i="17" s="1"/>
  <c r="P542" i="17"/>
  <c r="AB542" i="17" s="1"/>
  <c r="P575" i="17"/>
  <c r="AB575" i="17" s="1"/>
  <c r="P533" i="17"/>
  <c r="AB533" i="17" s="1"/>
  <c r="P595" i="17"/>
  <c r="AB595" i="17" s="1"/>
  <c r="P608" i="17"/>
  <c r="AB608" i="17" s="1"/>
  <c r="P150" i="17"/>
  <c r="AB150" i="17" s="1"/>
  <c r="P214" i="17"/>
  <c r="AB214" i="17" s="1"/>
  <c r="P278" i="17"/>
  <c r="AB278" i="17" s="1"/>
  <c r="P137" i="17"/>
  <c r="AB137" i="17" s="1"/>
  <c r="P201" i="17"/>
  <c r="AB201" i="17" s="1"/>
  <c r="P265" i="17"/>
  <c r="AB265" i="17" s="1"/>
  <c r="P362" i="17"/>
  <c r="AB362" i="17" s="1"/>
  <c r="P355" i="17"/>
  <c r="AB355" i="17" s="1"/>
  <c r="P451" i="17"/>
  <c r="AB451" i="17" s="1"/>
  <c r="P515" i="17"/>
  <c r="AB515" i="17" s="1"/>
  <c r="P478" i="17"/>
  <c r="AB478" i="17" s="1"/>
  <c r="P540" i="17"/>
  <c r="AB540" i="17" s="1"/>
  <c r="P531" i="17"/>
  <c r="AB531" i="17" s="1"/>
  <c r="P594" i="17"/>
  <c r="AB594" i="17" s="1"/>
  <c r="P606" i="17"/>
  <c r="AB606" i="17" s="1"/>
  <c r="P252" i="17"/>
  <c r="AB252" i="17" s="1"/>
  <c r="P164" i="17"/>
  <c r="AB164" i="17" s="1"/>
  <c r="P144" i="17"/>
  <c r="AB144" i="17" s="1"/>
  <c r="P208" i="17"/>
  <c r="AB208" i="17" s="1"/>
  <c r="P272" i="17"/>
  <c r="AB272" i="17" s="1"/>
  <c r="P131" i="17"/>
  <c r="AB131" i="17" s="1"/>
  <c r="P195" i="17"/>
  <c r="AB195" i="17" s="1"/>
  <c r="P259" i="17"/>
  <c r="AB259" i="17" s="1"/>
  <c r="P356" i="17"/>
  <c r="AB356" i="17" s="1"/>
  <c r="P349" i="17"/>
  <c r="AB349" i="17" s="1"/>
  <c r="P413" i="17"/>
  <c r="AB413" i="17" s="1"/>
  <c r="P445" i="17"/>
  <c r="AB445" i="17" s="1"/>
  <c r="P509" i="17"/>
  <c r="AB509" i="17" s="1"/>
  <c r="P472" i="17"/>
  <c r="AB472" i="17" s="1"/>
  <c r="P534" i="17"/>
  <c r="AB534" i="17" s="1"/>
  <c r="P567" i="17"/>
  <c r="AB567" i="17" s="1"/>
  <c r="P525" i="17"/>
  <c r="AB525" i="17" s="1"/>
  <c r="P588" i="17"/>
  <c r="AB588" i="17" s="1"/>
  <c r="P600" i="17"/>
  <c r="AB600" i="17" s="1"/>
  <c r="P142" i="17"/>
  <c r="AB142" i="17" s="1"/>
  <c r="P206" i="17"/>
  <c r="AB206" i="17" s="1"/>
  <c r="P270" i="17"/>
  <c r="AB270" i="17" s="1"/>
  <c r="P129" i="17"/>
  <c r="AB129" i="17" s="1"/>
  <c r="P193" i="17"/>
  <c r="AB193" i="17" s="1"/>
  <c r="P257" i="17"/>
  <c r="AB257" i="17" s="1"/>
  <c r="P354" i="17"/>
  <c r="AB354" i="17" s="1"/>
  <c r="P347" i="17"/>
  <c r="AB347" i="17" s="1"/>
  <c r="P411" i="17"/>
  <c r="AB411" i="17" s="1"/>
  <c r="P443" i="17"/>
  <c r="AB443" i="17" s="1"/>
  <c r="P507" i="17"/>
  <c r="AB507" i="17" s="1"/>
  <c r="P470" i="17"/>
  <c r="AB470" i="17" s="1"/>
  <c r="P532" i="17"/>
  <c r="AB532" i="17" s="1"/>
  <c r="P523" i="17"/>
  <c r="AB523" i="17" s="1"/>
  <c r="P586" i="17"/>
  <c r="AB586" i="17" s="1"/>
  <c r="P598" i="17"/>
  <c r="AB598" i="17" s="1"/>
  <c r="P228" i="17"/>
  <c r="AB228" i="17" s="1"/>
  <c r="P104" i="17"/>
  <c r="AB104" i="17" s="1"/>
  <c r="P168" i="17"/>
  <c r="AB168" i="17" s="1"/>
  <c r="P232" i="17"/>
  <c r="AB232" i="17" s="1"/>
  <c r="P296" i="17"/>
  <c r="AB296" i="17" s="1"/>
  <c r="P155" i="17"/>
  <c r="AB155" i="17" s="1"/>
  <c r="P219" i="17"/>
  <c r="AB219" i="17" s="1"/>
  <c r="P283" i="17"/>
  <c r="AB283" i="17" s="1"/>
  <c r="P316" i="17"/>
  <c r="AB316" i="17" s="1"/>
  <c r="P380" i="17"/>
  <c r="AB380" i="17" s="1"/>
  <c r="P373" i="17"/>
  <c r="AB373" i="17" s="1"/>
  <c r="P469" i="17"/>
  <c r="AB469" i="17" s="1"/>
  <c r="P432" i="17"/>
  <c r="AB432" i="17" s="1"/>
  <c r="P496" i="17"/>
  <c r="AB496" i="17" s="1"/>
  <c r="P591" i="17"/>
  <c r="AB591" i="17" s="1"/>
  <c r="P548" i="17"/>
  <c r="AB548" i="17" s="1"/>
  <c r="P611" i="17"/>
  <c r="AB611" i="17" s="1"/>
  <c r="P102" i="17"/>
  <c r="AB102" i="17" s="1"/>
  <c r="P166" i="17"/>
  <c r="AB166" i="17" s="1"/>
  <c r="P230" i="17"/>
  <c r="AB230" i="17" s="1"/>
  <c r="P294" i="17"/>
  <c r="AB294" i="17" s="1"/>
  <c r="P153" i="17"/>
  <c r="AB153" i="17" s="1"/>
  <c r="P217" i="17"/>
  <c r="AB217" i="17" s="1"/>
  <c r="P281" i="17"/>
  <c r="AB281" i="17" s="1"/>
  <c r="P378" i="17"/>
  <c r="AB378" i="17" s="1"/>
  <c r="P371" i="17"/>
  <c r="AB371" i="17" s="1"/>
  <c r="P467" i="17"/>
  <c r="AB467" i="17" s="1"/>
  <c r="P430" i="17"/>
  <c r="AB430" i="17" s="1"/>
  <c r="P494" i="17"/>
  <c r="AB494" i="17" s="1"/>
  <c r="P557" i="17"/>
  <c r="AB557" i="17" s="1"/>
  <c r="P546" i="17"/>
  <c r="AB546" i="17" s="1"/>
  <c r="P609" i="17"/>
  <c r="AB609" i="17" s="1"/>
  <c r="P188" i="17"/>
  <c r="AB188" i="17" s="1"/>
  <c r="P268" i="17"/>
  <c r="AB268" i="17" s="1"/>
  <c r="P127" i="17"/>
  <c r="AB127" i="17" s="1"/>
  <c r="P191" i="17"/>
  <c r="AB191" i="17" s="1"/>
  <c r="P255" i="17"/>
  <c r="AB255" i="17" s="1"/>
  <c r="P352" i="17"/>
  <c r="AB352" i="17" s="1"/>
  <c r="P416" i="17"/>
  <c r="AB416" i="17" s="1"/>
  <c r="P345" i="17"/>
  <c r="AB345" i="17" s="1"/>
  <c r="P409" i="17"/>
  <c r="AB409" i="17" s="1"/>
  <c r="P441" i="17"/>
  <c r="AB441" i="17" s="1"/>
  <c r="P505" i="17"/>
  <c r="AB505" i="17" s="1"/>
  <c r="P436" i="17"/>
  <c r="AB436" i="17" s="1"/>
  <c r="P500" i="17"/>
  <c r="AB500" i="17" s="1"/>
  <c r="P552" i="17"/>
  <c r="AB552" i="17" s="1"/>
  <c r="P106" i="17"/>
  <c r="AB106" i="17" s="1"/>
  <c r="P170" i="17"/>
  <c r="AB170" i="17" s="1"/>
  <c r="P234" i="17"/>
  <c r="AB234" i="17" s="1"/>
  <c r="P298" i="17"/>
  <c r="AB298" i="17" s="1"/>
  <c r="P157" i="17"/>
  <c r="AB157" i="17" s="1"/>
  <c r="P221" i="17"/>
  <c r="AB221" i="17" s="1"/>
  <c r="P285" i="17"/>
  <c r="AB285" i="17" s="1"/>
  <c r="P318" i="17"/>
  <c r="AB318" i="17" s="1"/>
  <c r="P382" i="17"/>
  <c r="AB382" i="17" s="1"/>
  <c r="P375" i="17"/>
  <c r="AB375" i="17" s="1"/>
  <c r="P471" i="17"/>
  <c r="AB471" i="17" s="1"/>
  <c r="P434" i="17"/>
  <c r="AB434" i="17" s="1"/>
  <c r="P498" i="17"/>
  <c r="AB498" i="17" s="1"/>
  <c r="P561" i="17"/>
  <c r="AB561" i="17" s="1"/>
  <c r="P550" i="17"/>
  <c r="AB550" i="17" s="1"/>
  <c r="P613" i="17"/>
  <c r="AB613" i="17" s="1"/>
  <c r="P207" i="17"/>
  <c r="AB207" i="17" s="1"/>
  <c r="P368" i="17"/>
  <c r="AB368" i="17" s="1"/>
  <c r="P457" i="17"/>
  <c r="AB457" i="17" s="1"/>
  <c r="P516" i="17"/>
  <c r="AB516" i="17" s="1"/>
  <c r="P547" i="17"/>
  <c r="AB547" i="17" s="1"/>
  <c r="P122" i="17"/>
  <c r="AB122" i="17" s="1"/>
  <c r="P186" i="17"/>
  <c r="AB186" i="17" s="1"/>
  <c r="P250" i="17"/>
  <c r="AB250" i="17" s="1"/>
  <c r="P314" i="17"/>
  <c r="AB314" i="17" s="1"/>
  <c r="P173" i="17"/>
  <c r="AB173" i="17" s="1"/>
  <c r="P237" i="17"/>
  <c r="AB237" i="17" s="1"/>
  <c r="P301" i="17"/>
  <c r="AB301" i="17" s="1"/>
  <c r="P334" i="17"/>
  <c r="AB334" i="17" s="1"/>
  <c r="P359" i="17"/>
  <c r="AB359" i="17" s="1"/>
  <c r="P487" i="17"/>
  <c r="AB487" i="17" s="1"/>
  <c r="P514" i="17"/>
  <c r="AB514" i="17" s="1"/>
  <c r="P566" i="17"/>
  <c r="AB566" i="17" s="1"/>
  <c r="P610" i="17"/>
  <c r="AB610" i="17" s="1"/>
  <c r="P244" i="17"/>
  <c r="AB244" i="17" s="1"/>
  <c r="P140" i="17"/>
  <c r="AB140" i="17" s="1"/>
  <c r="P120" i="17"/>
  <c r="AB120" i="17" s="1"/>
  <c r="P184" i="17"/>
  <c r="AB184" i="17" s="1"/>
  <c r="P248" i="17"/>
  <c r="AB248" i="17" s="1"/>
  <c r="P312" i="17"/>
  <c r="AB312" i="17" s="1"/>
  <c r="P171" i="17"/>
  <c r="AB171" i="17" s="1"/>
  <c r="P235" i="17"/>
  <c r="AB235" i="17" s="1"/>
  <c r="P299" i="17"/>
  <c r="AB299" i="17" s="1"/>
  <c r="P332" i="17"/>
  <c r="AB332" i="17" s="1"/>
  <c r="P396" i="17"/>
  <c r="AB396" i="17" s="1"/>
  <c r="P325" i="17"/>
  <c r="AB325" i="17" s="1"/>
  <c r="P389" i="17"/>
  <c r="AB389" i="17" s="1"/>
  <c r="P421" i="17"/>
  <c r="AB421" i="17" s="1"/>
  <c r="P485" i="17"/>
  <c r="AB485" i="17" s="1"/>
  <c r="P448" i="17"/>
  <c r="AB448" i="17" s="1"/>
  <c r="P512" i="17"/>
  <c r="AB512" i="17" s="1"/>
  <c r="P564" i="17"/>
  <c r="AB564" i="17" s="1"/>
  <c r="P118" i="17"/>
  <c r="AB118" i="17" s="1"/>
  <c r="P182" i="17"/>
  <c r="AB182" i="17" s="1"/>
  <c r="P246" i="17"/>
  <c r="AB246" i="17" s="1"/>
  <c r="P310" i="17"/>
  <c r="AB310" i="17" s="1"/>
  <c r="P169" i="17"/>
  <c r="AB169" i="17" s="1"/>
  <c r="P233" i="17"/>
  <c r="AB233" i="17" s="1"/>
  <c r="P297" i="17"/>
  <c r="AB297" i="17" s="1"/>
  <c r="P330" i="17"/>
  <c r="AB330" i="17" s="1"/>
  <c r="P394" i="17"/>
  <c r="AB394" i="17" s="1"/>
  <c r="P323" i="17"/>
  <c r="AB323" i="17" s="1"/>
  <c r="P387" i="17"/>
  <c r="AB387" i="17" s="1"/>
  <c r="P419" i="17"/>
  <c r="AB419" i="17" s="1"/>
  <c r="P483" i="17"/>
  <c r="AB483" i="17" s="1"/>
  <c r="P446" i="17"/>
  <c r="AB446" i="17" s="1"/>
  <c r="P510" i="17"/>
  <c r="AB510" i="17" s="1"/>
  <c r="P562" i="17"/>
  <c r="AB562" i="17" s="1"/>
  <c r="P204" i="17"/>
  <c r="AB204" i="17" s="1"/>
  <c r="P284" i="17"/>
  <c r="AB284" i="17" s="1"/>
  <c r="P112" i="17"/>
  <c r="AB112" i="17" s="1"/>
  <c r="P176" i="17"/>
  <c r="AB176" i="17" s="1"/>
  <c r="P240" i="17"/>
  <c r="AB240" i="17" s="1"/>
  <c r="P304" i="17"/>
  <c r="AB304" i="17" s="1"/>
  <c r="P163" i="17"/>
  <c r="AB163" i="17" s="1"/>
  <c r="P227" i="17"/>
  <c r="AB227" i="17" s="1"/>
  <c r="P291" i="17"/>
  <c r="AB291" i="17" s="1"/>
  <c r="P324" i="17"/>
  <c r="AB324" i="17" s="1"/>
  <c r="P388" i="17"/>
  <c r="AB388" i="17" s="1"/>
  <c r="P317" i="17"/>
  <c r="AB317" i="17" s="1"/>
  <c r="P381" i="17"/>
  <c r="AB381" i="17" s="1"/>
  <c r="P477" i="17"/>
  <c r="AB477" i="17" s="1"/>
  <c r="P440" i="17"/>
  <c r="AB440" i="17" s="1"/>
  <c r="P504" i="17"/>
  <c r="AB504" i="17" s="1"/>
  <c r="P556" i="17"/>
  <c r="AB556" i="17" s="1"/>
  <c r="P110" i="17"/>
  <c r="AB110" i="17" s="1"/>
  <c r="P174" i="17"/>
  <c r="AB174" i="17" s="1"/>
  <c r="P238" i="17"/>
  <c r="AB238" i="17" s="1"/>
  <c r="P302" i="17"/>
  <c r="AB302" i="17" s="1"/>
  <c r="P161" i="17"/>
  <c r="AB161" i="17" s="1"/>
  <c r="P225" i="17"/>
  <c r="AB225" i="17" s="1"/>
  <c r="P289" i="17"/>
  <c r="AB289" i="17" s="1"/>
  <c r="P322" i="17"/>
  <c r="AB322" i="17" s="1"/>
  <c r="P386" i="17"/>
  <c r="AB386" i="17" s="1"/>
  <c r="P315" i="17"/>
  <c r="AB315" i="17" s="1"/>
  <c r="P379" i="17"/>
  <c r="AB379" i="17" s="1"/>
  <c r="P475" i="17"/>
  <c r="AB475" i="17" s="1"/>
  <c r="P438" i="17"/>
  <c r="AB438" i="17" s="1"/>
  <c r="P502" i="17"/>
  <c r="AB502" i="17" s="1"/>
  <c r="P565" i="17"/>
  <c r="AB565" i="17" s="1"/>
  <c r="P554" i="17"/>
  <c r="AB554" i="17" s="1"/>
  <c r="P196" i="17"/>
  <c r="AB196" i="17" s="1"/>
  <c r="P260" i="17"/>
  <c r="AB260" i="17" s="1"/>
  <c r="P156" i="17"/>
  <c r="AB156" i="17" s="1"/>
  <c r="P136" i="17"/>
  <c r="AB136" i="17" s="1"/>
  <c r="P200" i="17"/>
  <c r="AB200" i="17" s="1"/>
  <c r="P264" i="17"/>
  <c r="AB264" i="17" s="1"/>
  <c r="P123" i="17"/>
  <c r="AB123" i="17" s="1"/>
  <c r="P187" i="17"/>
  <c r="AB187" i="17" s="1"/>
  <c r="P251" i="17"/>
  <c r="AB251" i="17" s="1"/>
  <c r="P348" i="17"/>
  <c r="AB348" i="17" s="1"/>
  <c r="P412" i="17"/>
  <c r="AB412" i="17" s="1"/>
  <c r="P341" i="17"/>
  <c r="AB341" i="17" s="1"/>
  <c r="P405" i="17"/>
  <c r="AB405" i="17" s="1"/>
  <c r="P437" i="17"/>
  <c r="AB437" i="17" s="1"/>
  <c r="P501" i="17"/>
  <c r="AB501" i="17" s="1"/>
  <c r="P464" i="17"/>
  <c r="AB464" i="17" s="1"/>
  <c r="P526" i="17"/>
  <c r="AB526" i="17" s="1"/>
  <c r="P559" i="17"/>
  <c r="AB559" i="17" s="1"/>
  <c r="P580" i="17"/>
  <c r="AB580" i="17" s="1"/>
  <c r="P134" i="17"/>
  <c r="AB134" i="17" s="1"/>
  <c r="P198" i="17"/>
  <c r="AB198" i="17" s="1"/>
  <c r="P262" i="17"/>
  <c r="AB262" i="17" s="1"/>
  <c r="P121" i="17"/>
  <c r="AB121" i="17" s="1"/>
  <c r="P185" i="17"/>
  <c r="AB185" i="17" s="1"/>
  <c r="P249" i="17"/>
  <c r="AB249" i="17" s="1"/>
  <c r="P313" i="17"/>
  <c r="AB313" i="17" s="1"/>
  <c r="P346" i="17"/>
  <c r="AB346" i="17" s="1"/>
  <c r="P410" i="17"/>
  <c r="AB410" i="17" s="1"/>
  <c r="P339" i="17"/>
  <c r="AB339" i="17" s="1"/>
  <c r="P403" i="17"/>
  <c r="AB403" i="17" s="1"/>
  <c r="P435" i="17"/>
  <c r="AB435" i="17" s="1"/>
  <c r="P499" i="17"/>
  <c r="AB499" i="17" s="1"/>
  <c r="P462" i="17"/>
  <c r="AB462" i="17" s="1"/>
  <c r="P524" i="17"/>
  <c r="AB524" i="17" s="1"/>
  <c r="P589" i="17"/>
  <c r="AB589" i="17" s="1"/>
  <c r="P578" i="17"/>
  <c r="AB578" i="17" s="1"/>
  <c r="P220" i="17"/>
  <c r="AB220" i="17" s="1"/>
  <c r="P300" i="17"/>
  <c r="AB300" i="17" s="1"/>
  <c r="P159" i="17"/>
  <c r="AB159" i="17" s="1"/>
  <c r="P223" i="17"/>
  <c r="AB223" i="17" s="1"/>
  <c r="P287" i="17"/>
  <c r="AB287" i="17" s="1"/>
  <c r="P320" i="17"/>
  <c r="AB320" i="17" s="1"/>
  <c r="P384" i="17"/>
  <c r="AB384" i="17" s="1"/>
  <c r="P377" i="17"/>
  <c r="AB377" i="17" s="1"/>
  <c r="P473" i="17"/>
  <c r="AB473" i="17" s="1"/>
  <c r="P468" i="17"/>
  <c r="AB468" i="17" s="1"/>
  <c r="P530" i="17"/>
  <c r="AB530" i="17" s="1"/>
  <c r="P563" i="17"/>
  <c r="AB563" i="17" s="1"/>
  <c r="P521" i="17"/>
  <c r="AB521" i="17" s="1"/>
  <c r="P584" i="17"/>
  <c r="AB584" i="17" s="1"/>
  <c r="P596" i="17"/>
  <c r="AB596" i="17" s="1"/>
  <c r="P138" i="17"/>
  <c r="AB138" i="17" s="1"/>
  <c r="P202" i="17"/>
  <c r="AB202" i="17" s="1"/>
  <c r="P266" i="17"/>
  <c r="AB266" i="17" s="1"/>
  <c r="P125" i="17"/>
  <c r="AB125" i="17" s="1"/>
  <c r="P189" i="17"/>
  <c r="AB189" i="17" s="1"/>
  <c r="P253" i="17"/>
  <c r="AB253" i="17" s="1"/>
  <c r="P350" i="17"/>
  <c r="AB350" i="17" s="1"/>
  <c r="P414" i="17"/>
  <c r="AB414" i="17" s="1"/>
  <c r="P343" i="17"/>
  <c r="AB343" i="17" s="1"/>
  <c r="P407" i="17"/>
  <c r="AB407" i="17" s="1"/>
  <c r="P439" i="17"/>
  <c r="AB439" i="17" s="1"/>
  <c r="P503" i="17"/>
  <c r="AB503" i="17" s="1"/>
  <c r="P466" i="17"/>
  <c r="AB466" i="17" s="1"/>
  <c r="P528" i="17"/>
  <c r="AB528" i="17" s="1"/>
  <c r="P593" i="17"/>
  <c r="AB593" i="17" s="1"/>
  <c r="P582" i="17"/>
  <c r="AB582" i="17" s="1"/>
  <c r="P143" i="17"/>
  <c r="AB143" i="17" s="1"/>
  <c r="P271" i="17"/>
  <c r="AB271" i="17" s="1"/>
  <c r="P336" i="17"/>
  <c r="AB336" i="17" s="1"/>
  <c r="P400" i="17"/>
  <c r="AB400" i="17" s="1"/>
  <c r="P361" i="17"/>
  <c r="AB361" i="17" s="1"/>
  <c r="P425" i="17"/>
  <c r="AB425" i="17" s="1"/>
  <c r="P489" i="17"/>
  <c r="AB489" i="17" s="1"/>
  <c r="P452" i="17"/>
  <c r="AB452" i="17" s="1"/>
  <c r="P579" i="17"/>
  <c r="AB579" i="17" s="1"/>
  <c r="P568" i="17"/>
  <c r="AB568" i="17" s="1"/>
  <c r="P612" i="17"/>
  <c r="AB612" i="17" s="1"/>
  <c r="P154" i="17"/>
  <c r="AB154" i="17" s="1"/>
  <c r="P218" i="17"/>
  <c r="AB218" i="17" s="1"/>
  <c r="P282" i="17"/>
  <c r="AB282" i="17" s="1"/>
  <c r="P141" i="17"/>
  <c r="AB141" i="17" s="1"/>
  <c r="P205" i="17"/>
  <c r="AB205" i="17" s="1"/>
  <c r="P269" i="17"/>
  <c r="AB269" i="17" s="1"/>
  <c r="P398" i="17"/>
  <c r="AB398" i="17" s="1"/>
  <c r="P327" i="17"/>
  <c r="AB327" i="17" s="1"/>
  <c r="P391" i="17"/>
  <c r="AB391" i="17" s="1"/>
  <c r="P423" i="17"/>
  <c r="AB423" i="17" s="1"/>
  <c r="P450" i="17"/>
  <c r="AB450" i="17" s="1"/>
  <c r="P577" i="17"/>
  <c r="AB577" i="17" s="1"/>
  <c r="P276" i="17"/>
  <c r="AB276" i="17" s="1"/>
  <c r="P135" i="17"/>
  <c r="AB135" i="17" s="1"/>
  <c r="P199" i="17"/>
  <c r="AB199" i="17" s="1"/>
  <c r="P263" i="17"/>
  <c r="AB263" i="17" s="1"/>
  <c r="P360" i="17"/>
  <c r="AB360" i="17" s="1"/>
  <c r="P111" i="17"/>
  <c r="AB111" i="17" s="1"/>
  <c r="P239" i="17"/>
  <c r="AB239" i="17" s="1"/>
  <c r="P329" i="17"/>
  <c r="AB329" i="17" s="1"/>
  <c r="P420" i="17"/>
  <c r="AB420" i="17" s="1"/>
  <c r="P537" i="17"/>
  <c r="AB537" i="17" s="1"/>
  <c r="P366" i="17"/>
  <c r="AB366" i="17" s="1"/>
  <c r="P418" i="17"/>
  <c r="AB418" i="17" s="1"/>
  <c r="P545" i="17"/>
  <c r="AB545" i="17" s="1"/>
  <c r="P597" i="17"/>
  <c r="AB597" i="17" s="1"/>
  <c r="P292" i="17"/>
  <c r="AB292" i="17" s="1"/>
  <c r="P151" i="17"/>
  <c r="AB151" i="17" s="1"/>
  <c r="P215" i="17"/>
  <c r="AB215" i="17" s="1"/>
  <c r="P279" i="17"/>
  <c r="AB279" i="17" s="1"/>
  <c r="P376" i="17"/>
  <c r="AB376" i="17" s="1"/>
  <c r="P369" i="17"/>
  <c r="AB369" i="17" s="1"/>
  <c r="P465" i="17"/>
  <c r="AB465" i="17" s="1"/>
  <c r="P460" i="17"/>
  <c r="AB460" i="17" s="1"/>
  <c r="P353" i="17"/>
  <c r="AB353" i="17" s="1"/>
  <c r="P417" i="17"/>
  <c r="AB417" i="17" s="1"/>
  <c r="P481" i="17"/>
  <c r="AB481" i="17" s="1"/>
  <c r="P508" i="17"/>
  <c r="AB508" i="17" s="1"/>
  <c r="P560" i="17"/>
  <c r="AB560" i="17" s="1"/>
  <c r="P114" i="17"/>
  <c r="AB114" i="17" s="1"/>
  <c r="P178" i="17"/>
  <c r="AB178" i="17" s="1"/>
  <c r="P242" i="17"/>
  <c r="AB242" i="17" s="1"/>
  <c r="P306" i="17"/>
  <c r="AB306" i="17" s="1"/>
  <c r="P165" i="17"/>
  <c r="AB165" i="17" s="1"/>
  <c r="P229" i="17"/>
  <c r="AB229" i="17" s="1"/>
  <c r="P293" i="17"/>
  <c r="AB293" i="17" s="1"/>
  <c r="P326" i="17"/>
  <c r="AB326" i="17" s="1"/>
  <c r="P390" i="17"/>
  <c r="AB390" i="17" s="1"/>
  <c r="P319" i="17"/>
  <c r="AB319" i="17" s="1"/>
  <c r="P383" i="17"/>
  <c r="AB383" i="17" s="1"/>
  <c r="P479" i="17"/>
  <c r="AB479" i="17" s="1"/>
  <c r="P442" i="17"/>
  <c r="AB442" i="17" s="1"/>
  <c r="P506" i="17"/>
  <c r="AB506" i="17" s="1"/>
  <c r="P569" i="17"/>
  <c r="AB569" i="17" s="1"/>
  <c r="P558" i="17"/>
  <c r="AB558" i="17" s="1"/>
  <c r="P308" i="17"/>
  <c r="AB308" i="17" s="1"/>
  <c r="P167" i="17"/>
  <c r="AB167" i="17" s="1"/>
  <c r="P231" i="17"/>
  <c r="AB231" i="17" s="1"/>
  <c r="P295" i="17"/>
  <c r="AB295" i="17" s="1"/>
  <c r="P328" i="17"/>
  <c r="AB328" i="17" s="1"/>
  <c r="P392" i="17"/>
  <c r="AB392" i="17" s="1"/>
  <c r="P321" i="17"/>
  <c r="AB321" i="17" s="1"/>
  <c r="P175" i="17"/>
  <c r="AB175" i="17" s="1"/>
  <c r="P303" i="17"/>
  <c r="AB303" i="17" s="1"/>
  <c r="P393" i="17"/>
  <c r="AB393" i="17" s="1"/>
  <c r="P484" i="17"/>
  <c r="AB484" i="17" s="1"/>
  <c r="P599" i="17"/>
  <c r="AB599" i="17" s="1"/>
  <c r="P455" i="17"/>
  <c r="AB455" i="17" s="1"/>
  <c r="P482" i="17"/>
  <c r="AB482" i="17" s="1"/>
  <c r="P535" i="17"/>
  <c r="AB535" i="17" s="1"/>
  <c r="P236" i="17"/>
  <c r="AB236" i="17" s="1"/>
  <c r="P119" i="17"/>
  <c r="AB119" i="17" s="1"/>
  <c r="P183" i="17"/>
  <c r="AB183" i="17" s="1"/>
  <c r="P247" i="17"/>
  <c r="AB247" i="17" s="1"/>
  <c r="P311" i="17"/>
  <c r="AB311" i="17" s="1"/>
  <c r="P344" i="17"/>
  <c r="AB344" i="17" s="1"/>
  <c r="P408" i="17"/>
  <c r="AB408" i="17" s="1"/>
  <c r="P337" i="17"/>
  <c r="AB337" i="17" s="1"/>
  <c r="P401" i="17"/>
  <c r="AB401" i="17" s="1"/>
  <c r="P433" i="17"/>
  <c r="AB433" i="17" s="1"/>
  <c r="P497" i="17"/>
  <c r="AB497" i="17" s="1"/>
  <c r="P428" i="17"/>
  <c r="AB428" i="17" s="1"/>
  <c r="P492" i="17"/>
  <c r="AB492" i="17" s="1"/>
  <c r="P449" i="17"/>
  <c r="AB449" i="17" s="1"/>
  <c r="P513" i="17"/>
  <c r="AB513" i="17" s="1"/>
  <c r="P444" i="17"/>
  <c r="AB444" i="17" s="1"/>
  <c r="P538" i="17"/>
  <c r="AB538" i="17" s="1"/>
  <c r="P571" i="17"/>
  <c r="AB571" i="17" s="1"/>
  <c r="P529" i="17"/>
  <c r="AB529" i="17" s="1"/>
  <c r="P592" i="17"/>
  <c r="AB592" i="17" s="1"/>
  <c r="P604" i="17"/>
  <c r="AB604" i="17" s="1"/>
  <c r="P146" i="17"/>
  <c r="AB146" i="17" s="1"/>
  <c r="P210" i="17"/>
  <c r="AB210" i="17" s="1"/>
  <c r="P274" i="17"/>
  <c r="AB274" i="17" s="1"/>
  <c r="P133" i="17"/>
  <c r="AB133" i="17" s="1"/>
  <c r="P197" i="17"/>
  <c r="AB197" i="17" s="1"/>
  <c r="P261" i="17"/>
  <c r="AB261" i="17" s="1"/>
  <c r="P358" i="17"/>
  <c r="AB358" i="17" s="1"/>
  <c r="P351" i="17"/>
  <c r="AB351" i="17" s="1"/>
  <c r="P415" i="17"/>
  <c r="AB415" i="17" s="1"/>
  <c r="P447" i="17"/>
  <c r="AB447" i="17" s="1"/>
  <c r="P511" i="17"/>
  <c r="AB511" i="17" s="1"/>
  <c r="P474" i="17"/>
  <c r="AB474" i="17" s="1"/>
  <c r="P536" i="17"/>
  <c r="AB536" i="17" s="1"/>
  <c r="P527" i="17"/>
  <c r="AB527" i="17" s="1"/>
  <c r="P590" i="17"/>
  <c r="AB590" i="17" s="1"/>
  <c r="P602" i="17"/>
  <c r="AB602" i="17" s="1"/>
  <c r="P476" i="17"/>
  <c r="AB476" i="17" s="1"/>
  <c r="P587" i="17"/>
  <c r="AB587" i="17" s="1"/>
  <c r="P544" i="17"/>
  <c r="AB544" i="17" s="1"/>
  <c r="P607" i="17"/>
  <c r="AB607" i="17" s="1"/>
  <c r="P98" i="17"/>
  <c r="AB98" i="17" s="1"/>
  <c r="P162" i="17"/>
  <c r="AB162" i="17" s="1"/>
  <c r="P226" i="17"/>
  <c r="AB226" i="17" s="1"/>
  <c r="P290" i="17"/>
  <c r="AB290" i="17" s="1"/>
  <c r="P149" i="17"/>
  <c r="AB149" i="17" s="1"/>
  <c r="P213" i="17"/>
  <c r="AB213" i="17" s="1"/>
  <c r="P277" i="17"/>
  <c r="AB277" i="17" s="1"/>
  <c r="P374" i="17"/>
  <c r="AB374" i="17" s="1"/>
  <c r="P367" i="17"/>
  <c r="AB367" i="17" s="1"/>
  <c r="P463" i="17"/>
  <c r="AB463" i="17" s="1"/>
  <c r="P426" i="17"/>
  <c r="AB426" i="17" s="1"/>
  <c r="P490" i="17"/>
  <c r="AB490" i="17" s="1"/>
  <c r="P553" i="17"/>
  <c r="AB553" i="17" s="1"/>
  <c r="P543" i="17"/>
  <c r="AB543" i="17" s="1"/>
  <c r="P605" i="17"/>
  <c r="AB605" i="17" s="1"/>
  <c r="P385" i="17"/>
  <c r="AB385" i="17" s="1"/>
  <c r="P522" i="17"/>
  <c r="AB522" i="17" s="1"/>
  <c r="P555" i="17"/>
  <c r="AB555" i="17" s="1"/>
  <c r="P576" i="17"/>
  <c r="AB576" i="17" s="1"/>
  <c r="P130" i="17"/>
  <c r="AB130" i="17" s="1"/>
  <c r="P194" i="17"/>
  <c r="AB194" i="17" s="1"/>
  <c r="P258" i="17"/>
  <c r="AB258" i="17" s="1"/>
  <c r="P117" i="17"/>
  <c r="AB117" i="17" s="1"/>
  <c r="P181" i="17"/>
  <c r="AB181" i="17" s="1"/>
  <c r="P245" i="17"/>
  <c r="AB245" i="17" s="1"/>
  <c r="P309" i="17"/>
  <c r="AB309" i="17" s="1"/>
  <c r="P342" i="17"/>
  <c r="AB342" i="17" s="1"/>
  <c r="P406" i="17"/>
  <c r="AB406" i="17" s="1"/>
  <c r="P335" i="17"/>
  <c r="AB335" i="17" s="1"/>
  <c r="P399" i="17"/>
  <c r="AB399" i="17" s="1"/>
  <c r="P431" i="17"/>
  <c r="AB431" i="17" s="1"/>
  <c r="P495" i="17"/>
  <c r="AB495" i="17" s="1"/>
  <c r="P458" i="17"/>
  <c r="AB458" i="17" s="1"/>
  <c r="P520" i="17"/>
  <c r="AB520" i="17" s="1"/>
  <c r="P585" i="17"/>
  <c r="AB585" i="17" s="1"/>
  <c r="P574" i="17"/>
  <c r="AB574" i="17" s="1"/>
  <c r="O13" i="17"/>
  <c r="AA13" i="17" s="1"/>
  <c r="E633" i="17"/>
  <c r="AB628" i="17" l="1"/>
  <c r="A336" i="2"/>
  <c r="B336" i="2"/>
  <c r="C62" i="16"/>
  <c r="D62" i="16" s="1"/>
  <c r="B230" i="2"/>
  <c r="B71" i="1" l="1"/>
  <c r="AA628" i="17"/>
  <c r="A353" i="2"/>
  <c r="B353" i="2"/>
  <c r="C3" i="8" l="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C159" i="8" l="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O31" i="8" s="1"/>
  <c r="C71" i="1" s="1"/>
  <c r="D71" i="1" s="1"/>
  <c r="O32" i="8"/>
  <c r="C72" i="1" s="1"/>
  <c r="D72" i="1" s="1"/>
  <c r="N32" i="8"/>
  <c r="N31" i="8" l="1"/>
  <c r="B231" i="2"/>
  <c r="B354" i="2" s="1"/>
  <c r="C46" i="16"/>
  <c r="D46" i="16" s="1"/>
  <c r="B219" i="2" l="1"/>
  <c r="A354" i="2"/>
  <c r="B232" i="2"/>
  <c r="C47" i="16"/>
  <c r="D47" i="16" s="1"/>
  <c r="B235" i="2"/>
  <c r="W625" i="25" l="1"/>
  <c r="L612" i="25"/>
  <c r="L610" i="25"/>
  <c r="K612" i="25"/>
  <c r="K610" i="25"/>
  <c r="C635" i="25"/>
  <c r="K613" i="25"/>
  <c r="K611" i="25"/>
  <c r="K609" i="25"/>
  <c r="K607" i="25"/>
  <c r="L611" i="25"/>
  <c r="L608" i="25"/>
  <c r="L607" i="25"/>
  <c r="K606" i="25"/>
  <c r="K604" i="25"/>
  <c r="K602" i="25"/>
  <c r="K600" i="25"/>
  <c r="K598" i="25"/>
  <c r="L613" i="25"/>
  <c r="K608" i="25"/>
  <c r="L605" i="25"/>
  <c r="L603" i="25"/>
  <c r="L601" i="25"/>
  <c r="L599" i="25"/>
  <c r="L597" i="25"/>
  <c r="L609" i="25"/>
  <c r="L606" i="25"/>
  <c r="L604" i="25"/>
  <c r="L602" i="25"/>
  <c r="L600" i="25"/>
  <c r="L598" i="25"/>
  <c r="L596" i="25"/>
  <c r="L594" i="25"/>
  <c r="L592" i="25"/>
  <c r="K605" i="25"/>
  <c r="K597" i="25"/>
  <c r="L591" i="25"/>
  <c r="L589" i="25"/>
  <c r="L587" i="25"/>
  <c r="L585" i="25"/>
  <c r="K599" i="25"/>
  <c r="K596" i="25"/>
  <c r="L595" i="25"/>
  <c r="K591" i="25"/>
  <c r="K589" i="25"/>
  <c r="K587" i="25"/>
  <c r="K585" i="25"/>
  <c r="A625" i="25"/>
  <c r="K603" i="25"/>
  <c r="K593" i="25"/>
  <c r="K592" i="25"/>
  <c r="K590" i="25"/>
  <c r="K588" i="25"/>
  <c r="K586" i="25"/>
  <c r="K584" i="25"/>
  <c r="K582" i="25"/>
  <c r="K580" i="25"/>
  <c r="K578" i="25"/>
  <c r="K601" i="25"/>
  <c r="K595" i="25"/>
  <c r="L593" i="25"/>
  <c r="L586" i="25"/>
  <c r="K581" i="25"/>
  <c r="L579" i="25"/>
  <c r="L578" i="25"/>
  <c r="K576" i="25"/>
  <c r="K574" i="25"/>
  <c r="K572" i="25"/>
  <c r="K570" i="25"/>
  <c r="K568" i="25"/>
  <c r="K566" i="25"/>
  <c r="K564" i="25"/>
  <c r="K562" i="25"/>
  <c r="K560" i="25"/>
  <c r="K558" i="25"/>
  <c r="K594" i="25"/>
  <c r="L588" i="25"/>
  <c r="K579" i="25"/>
  <c r="L577" i="25"/>
  <c r="L575" i="25"/>
  <c r="L573" i="25"/>
  <c r="L571" i="25"/>
  <c r="L569" i="25"/>
  <c r="L567" i="25"/>
  <c r="L565" i="25"/>
  <c r="L584" i="25"/>
  <c r="K583" i="25"/>
  <c r="L581" i="25"/>
  <c r="L580" i="25"/>
  <c r="L576" i="25"/>
  <c r="L574" i="25"/>
  <c r="L572" i="25"/>
  <c r="L570" i="25"/>
  <c r="L568" i="25"/>
  <c r="L566" i="25"/>
  <c r="L590" i="25"/>
  <c r="L583" i="25"/>
  <c r="K577" i="25"/>
  <c r="K569" i="25"/>
  <c r="K565" i="25"/>
  <c r="L564" i="25"/>
  <c r="K559" i="25"/>
  <c r="L557" i="25"/>
  <c r="K555" i="25"/>
  <c r="K553" i="25"/>
  <c r="K551" i="25"/>
  <c r="K549" i="25"/>
  <c r="K547" i="25"/>
  <c r="K545" i="25"/>
  <c r="K543" i="25"/>
  <c r="K541" i="25"/>
  <c r="K539" i="25"/>
  <c r="K537" i="25"/>
  <c r="K535" i="25"/>
  <c r="K533" i="25"/>
  <c r="K531" i="25"/>
  <c r="K529" i="25"/>
  <c r="K527" i="25"/>
  <c r="K525" i="25"/>
  <c r="K571" i="25"/>
  <c r="L563" i="25"/>
  <c r="L562" i="25"/>
  <c r="K557" i="25"/>
  <c r="L556" i="25"/>
  <c r="L554" i="25"/>
  <c r="L552" i="25"/>
  <c r="L550" i="25"/>
  <c r="L548" i="25"/>
  <c r="L546" i="25"/>
  <c r="L544" i="25"/>
  <c r="L542" i="25"/>
  <c r="L540" i="25"/>
  <c r="L582" i="25"/>
  <c r="K575" i="25"/>
  <c r="K567" i="25"/>
  <c r="K561" i="25"/>
  <c r="L559" i="25"/>
  <c r="L558" i="25"/>
  <c r="L555" i="25"/>
  <c r="L553" i="25"/>
  <c r="L551" i="25"/>
  <c r="L549" i="25"/>
  <c r="L547" i="25"/>
  <c r="L545" i="25"/>
  <c r="L543" i="25"/>
  <c r="L541" i="25"/>
  <c r="L539" i="25"/>
  <c r="K573" i="25"/>
  <c r="K550" i="25"/>
  <c r="K542" i="25"/>
  <c r="K538" i="25"/>
  <c r="L536" i="25"/>
  <c r="L535" i="25"/>
  <c r="K530" i="25"/>
  <c r="L528" i="25"/>
  <c r="L527" i="25"/>
  <c r="K552" i="25"/>
  <c r="K544" i="25"/>
  <c r="K536" i="25"/>
  <c r="L534" i="25"/>
  <c r="L533" i="25"/>
  <c r="K528" i="25"/>
  <c r="L526" i="25"/>
  <c r="L525" i="25"/>
  <c r="L561" i="25"/>
  <c r="K556" i="25"/>
  <c r="K548" i="25"/>
  <c r="K540" i="25"/>
  <c r="L538" i="25"/>
  <c r="L537" i="25"/>
  <c r="K532" i="25"/>
  <c r="L530" i="25"/>
  <c r="L529" i="25"/>
  <c r="K524" i="25"/>
  <c r="K522" i="25"/>
  <c r="K520" i="25"/>
  <c r="K518" i="25"/>
  <c r="K516" i="25"/>
  <c r="K514" i="25"/>
  <c r="K512" i="25"/>
  <c r="K563" i="25"/>
  <c r="K554" i="25"/>
  <c r="K534" i="25"/>
  <c r="L531" i="25"/>
  <c r="L523" i="25"/>
  <c r="L522" i="25"/>
  <c r="K517" i="25"/>
  <c r="L515" i="25"/>
  <c r="L514" i="25"/>
  <c r="K511" i="25"/>
  <c r="K509" i="25"/>
  <c r="K507" i="25"/>
  <c r="K505" i="25"/>
  <c r="K503" i="25"/>
  <c r="K501" i="25"/>
  <c r="K499" i="25"/>
  <c r="K497" i="25"/>
  <c r="K495" i="25"/>
  <c r="K493" i="25"/>
  <c r="K491" i="25"/>
  <c r="K489" i="25"/>
  <c r="K487" i="25"/>
  <c r="K485" i="25"/>
  <c r="K483" i="25"/>
  <c r="K481" i="25"/>
  <c r="K479" i="25"/>
  <c r="K477" i="25"/>
  <c r="K475" i="25"/>
  <c r="K473" i="25"/>
  <c r="K471" i="25"/>
  <c r="K469" i="25"/>
  <c r="K467" i="25"/>
  <c r="K465" i="25"/>
  <c r="L532" i="25"/>
  <c r="K526" i="25"/>
  <c r="K523" i="25"/>
  <c r="L521" i="25"/>
  <c r="L520" i="25"/>
  <c r="K515" i="25"/>
  <c r="L513" i="25"/>
  <c r="L512" i="25"/>
  <c r="L510" i="25"/>
  <c r="L508" i="25"/>
  <c r="L506" i="25"/>
  <c r="L504" i="25"/>
  <c r="L502" i="25"/>
  <c r="L500" i="25"/>
  <c r="L498" i="25"/>
  <c r="L496" i="25"/>
  <c r="L494" i="25"/>
  <c r="L492" i="25"/>
  <c r="L490" i="25"/>
  <c r="L488" i="25"/>
  <c r="L486" i="25"/>
  <c r="L484" i="25"/>
  <c r="L560" i="25"/>
  <c r="K546" i="25"/>
  <c r="K519" i="25"/>
  <c r="L517" i="25"/>
  <c r="L516" i="25"/>
  <c r="L511" i="25"/>
  <c r="L509" i="25"/>
  <c r="L507" i="25"/>
  <c r="L505" i="25"/>
  <c r="L503" i="25"/>
  <c r="L501" i="25"/>
  <c r="L499" i="25"/>
  <c r="L497" i="25"/>
  <c r="L495" i="25"/>
  <c r="L493" i="25"/>
  <c r="L491" i="25"/>
  <c r="L489" i="25"/>
  <c r="L487" i="25"/>
  <c r="L485" i="25"/>
  <c r="L519" i="25"/>
  <c r="K513" i="25"/>
  <c r="K510" i="25"/>
  <c r="K502" i="25"/>
  <c r="K494" i="25"/>
  <c r="K486" i="25"/>
  <c r="K482" i="25"/>
  <c r="L480" i="25"/>
  <c r="L479" i="25"/>
  <c r="K474" i="25"/>
  <c r="L472" i="25"/>
  <c r="L471" i="25"/>
  <c r="K466" i="25"/>
  <c r="L464" i="25"/>
  <c r="L462" i="25"/>
  <c r="L460" i="25"/>
  <c r="L458" i="25"/>
  <c r="L456" i="25"/>
  <c r="L454" i="25"/>
  <c r="L452" i="25"/>
  <c r="L450" i="25"/>
  <c r="L448" i="25"/>
  <c r="L446" i="25"/>
  <c r="L444" i="25"/>
  <c r="L442" i="25"/>
  <c r="L440" i="25"/>
  <c r="L438" i="25"/>
  <c r="L436" i="25"/>
  <c r="L434" i="25"/>
  <c r="L432" i="25"/>
  <c r="L430" i="25"/>
  <c r="L428" i="25"/>
  <c r="L426" i="25"/>
  <c r="L424" i="25"/>
  <c r="L422" i="25"/>
  <c r="L420" i="25"/>
  <c r="L418" i="25"/>
  <c r="L416" i="25"/>
  <c r="L414" i="25"/>
  <c r="L412" i="25"/>
  <c r="L410" i="25"/>
  <c r="L408" i="25"/>
  <c r="L406" i="25"/>
  <c r="L404" i="25"/>
  <c r="L402" i="25"/>
  <c r="L400" i="25"/>
  <c r="K504" i="25"/>
  <c r="K496" i="25"/>
  <c r="K488" i="25"/>
  <c r="K484" i="25"/>
  <c r="K480" i="25"/>
  <c r="L478" i="25"/>
  <c r="L477" i="25"/>
  <c r="K472" i="25"/>
  <c r="L470" i="25"/>
  <c r="L469" i="25"/>
  <c r="K464" i="25"/>
  <c r="K462" i="25"/>
  <c r="K460" i="25"/>
  <c r="K458" i="25"/>
  <c r="K456" i="25"/>
  <c r="K454" i="25"/>
  <c r="K452" i="25"/>
  <c r="K450" i="25"/>
  <c r="K448" i="25"/>
  <c r="K446" i="25"/>
  <c r="K444" i="25"/>
  <c r="K442" i="25"/>
  <c r="K440" i="25"/>
  <c r="K438" i="25"/>
  <c r="K436" i="25"/>
  <c r="K434" i="25"/>
  <c r="K432" i="25"/>
  <c r="K430" i="25"/>
  <c r="K428" i="25"/>
  <c r="K521" i="25"/>
  <c r="L518" i="25"/>
  <c r="K508" i="25"/>
  <c r="K500" i="25"/>
  <c r="K492" i="25"/>
  <c r="L483" i="25"/>
  <c r="L482" i="25"/>
  <c r="L481" i="25"/>
  <c r="K476" i="25"/>
  <c r="L474" i="25"/>
  <c r="L473" i="25"/>
  <c r="K468" i="25"/>
  <c r="L466" i="25"/>
  <c r="L465" i="25"/>
  <c r="K463" i="25"/>
  <c r="K461" i="25"/>
  <c r="K459" i="25"/>
  <c r="K457" i="25"/>
  <c r="K455" i="25"/>
  <c r="K453" i="25"/>
  <c r="K451" i="25"/>
  <c r="K449" i="25"/>
  <c r="K447" i="25"/>
  <c r="K445" i="25"/>
  <c r="K443" i="25"/>
  <c r="K441" i="25"/>
  <c r="K439" i="25"/>
  <c r="K437" i="25"/>
  <c r="K435" i="25"/>
  <c r="K433" i="25"/>
  <c r="K431" i="25"/>
  <c r="K429" i="25"/>
  <c r="K498" i="25"/>
  <c r="L457" i="25"/>
  <c r="L449" i="25"/>
  <c r="L441" i="25"/>
  <c r="L433" i="25"/>
  <c r="L427" i="25"/>
  <c r="K421" i="25"/>
  <c r="K420" i="25"/>
  <c r="L419" i="25"/>
  <c r="K413" i="25"/>
  <c r="K412" i="25"/>
  <c r="L411" i="25"/>
  <c r="K405" i="25"/>
  <c r="K404" i="25"/>
  <c r="L403" i="25"/>
  <c r="K506" i="25"/>
  <c r="K478" i="25"/>
  <c r="L475" i="25"/>
  <c r="L459" i="25"/>
  <c r="L451" i="25"/>
  <c r="L443" i="25"/>
  <c r="L435" i="25"/>
  <c r="K427" i="25"/>
  <c r="K426" i="25"/>
  <c r="L425" i="25"/>
  <c r="K419" i="25"/>
  <c r="K418" i="25"/>
  <c r="L417" i="25"/>
  <c r="K411" i="25"/>
  <c r="K410" i="25"/>
  <c r="L409" i="25"/>
  <c r="K403" i="25"/>
  <c r="K402" i="25"/>
  <c r="L401" i="25"/>
  <c r="L524" i="25"/>
  <c r="K490" i="25"/>
  <c r="L468" i="25"/>
  <c r="L463" i="25"/>
  <c r="L455" i="25"/>
  <c r="L447" i="25"/>
  <c r="L439" i="25"/>
  <c r="L431" i="25"/>
  <c r="K423" i="25"/>
  <c r="K422" i="25"/>
  <c r="L421" i="25"/>
  <c r="K415" i="25"/>
  <c r="K414" i="25"/>
  <c r="L413" i="25"/>
  <c r="K407" i="25"/>
  <c r="K406" i="25"/>
  <c r="L405" i="25"/>
  <c r="L399" i="25"/>
  <c r="L397" i="25"/>
  <c r="L395" i="25"/>
  <c r="L393" i="25"/>
  <c r="L391" i="25"/>
  <c r="L389" i="25"/>
  <c r="L387" i="25"/>
  <c r="L385" i="25"/>
  <c r="L383" i="25"/>
  <c r="L381" i="25"/>
  <c r="L379" i="25"/>
  <c r="L377" i="25"/>
  <c r="L375" i="25"/>
  <c r="L453" i="25"/>
  <c r="K425" i="25"/>
  <c r="L423" i="25"/>
  <c r="K394" i="25"/>
  <c r="K393" i="25"/>
  <c r="L392" i="25"/>
  <c r="K386" i="25"/>
  <c r="K385" i="25"/>
  <c r="L384" i="25"/>
  <c r="K378" i="25"/>
  <c r="K377" i="25"/>
  <c r="L376" i="25"/>
  <c r="L373" i="25"/>
  <c r="L371" i="25"/>
  <c r="L369" i="25"/>
  <c r="L367" i="25"/>
  <c r="L365" i="25"/>
  <c r="L363" i="25"/>
  <c r="L361" i="25"/>
  <c r="L359" i="25"/>
  <c r="L357" i="25"/>
  <c r="L355" i="25"/>
  <c r="L353" i="25"/>
  <c r="L351" i="25"/>
  <c r="L349" i="25"/>
  <c r="L347" i="25"/>
  <c r="L345" i="25"/>
  <c r="L343" i="25"/>
  <c r="L341" i="25"/>
  <c r="L339" i="25"/>
  <c r="L337" i="25"/>
  <c r="L335" i="25"/>
  <c r="L333" i="25"/>
  <c r="L331" i="25"/>
  <c r="L329" i="25"/>
  <c r="L327" i="25"/>
  <c r="L325" i="25"/>
  <c r="L323" i="25"/>
  <c r="L321" i="25"/>
  <c r="L319" i="25"/>
  <c r="L317" i="25"/>
  <c r="L315" i="25"/>
  <c r="L313" i="25"/>
  <c r="L311" i="25"/>
  <c r="L309" i="25"/>
  <c r="L307" i="25"/>
  <c r="L305" i="25"/>
  <c r="L303" i="25"/>
  <c r="L301" i="25"/>
  <c r="L299" i="25"/>
  <c r="L297" i="25"/>
  <c r="L295" i="25"/>
  <c r="L293" i="25"/>
  <c r="L291" i="25"/>
  <c r="L289" i="25"/>
  <c r="L287" i="25"/>
  <c r="L285" i="25"/>
  <c r="L283" i="25"/>
  <c r="L281" i="25"/>
  <c r="L279" i="25"/>
  <c r="L467" i="25"/>
  <c r="L461" i="25"/>
  <c r="L429" i="25"/>
  <c r="K424" i="25"/>
  <c r="K417" i="25"/>
  <c r="L415" i="25"/>
  <c r="K400" i="25"/>
  <c r="K399" i="25"/>
  <c r="L398" i="25"/>
  <c r="K392" i="25"/>
  <c r="K391" i="25"/>
  <c r="L390" i="25"/>
  <c r="K384" i="25"/>
  <c r="K383" i="25"/>
  <c r="L382" i="25"/>
  <c r="K376" i="25"/>
  <c r="K375" i="25"/>
  <c r="K373" i="25"/>
  <c r="K371" i="25"/>
  <c r="K369" i="25"/>
  <c r="K367" i="25"/>
  <c r="K365" i="25"/>
  <c r="L445" i="25"/>
  <c r="K408" i="25"/>
  <c r="K401" i="25"/>
  <c r="K396" i="25"/>
  <c r="K395" i="25"/>
  <c r="L394" i="25"/>
  <c r="K388" i="25"/>
  <c r="K387" i="25"/>
  <c r="L386" i="25"/>
  <c r="K380" i="25"/>
  <c r="K379" i="25"/>
  <c r="L378" i="25"/>
  <c r="K374" i="25"/>
  <c r="K372" i="25"/>
  <c r="K370" i="25"/>
  <c r="K368" i="25"/>
  <c r="K366" i="25"/>
  <c r="K364" i="25"/>
  <c r="K362" i="25"/>
  <c r="K360" i="25"/>
  <c r="K358" i="25"/>
  <c r="K356" i="25"/>
  <c r="K354" i="25"/>
  <c r="K352" i="25"/>
  <c r="K350" i="25"/>
  <c r="K348" i="25"/>
  <c r="K346" i="25"/>
  <c r="K344" i="25"/>
  <c r="L476" i="25"/>
  <c r="K416" i="25"/>
  <c r="K398" i="25"/>
  <c r="L396" i="25"/>
  <c r="L374" i="25"/>
  <c r="L366" i="25"/>
  <c r="L364" i="25"/>
  <c r="K363" i="25"/>
  <c r="L360" i="25"/>
  <c r="K359" i="25"/>
  <c r="L356" i="25"/>
  <c r="K355" i="25"/>
  <c r="L352" i="25"/>
  <c r="K351" i="25"/>
  <c r="L348" i="25"/>
  <c r="K347" i="25"/>
  <c r="L344" i="25"/>
  <c r="K343" i="25"/>
  <c r="L342" i="25"/>
  <c r="K336" i="25"/>
  <c r="K335" i="25"/>
  <c r="L334" i="25"/>
  <c r="K328" i="25"/>
  <c r="K327" i="25"/>
  <c r="L326" i="25"/>
  <c r="K320" i="25"/>
  <c r="K319" i="25"/>
  <c r="L318" i="25"/>
  <c r="K312" i="25"/>
  <c r="K311" i="25"/>
  <c r="L310" i="25"/>
  <c r="K304" i="25"/>
  <c r="K303" i="25"/>
  <c r="L302" i="25"/>
  <c r="K296" i="25"/>
  <c r="K295" i="25"/>
  <c r="L294" i="25"/>
  <c r="K288" i="25"/>
  <c r="K287" i="25"/>
  <c r="L286" i="25"/>
  <c r="K280" i="25"/>
  <c r="K279" i="25"/>
  <c r="L278" i="25"/>
  <c r="L276" i="25"/>
  <c r="L274" i="25"/>
  <c r="L272" i="25"/>
  <c r="L270" i="25"/>
  <c r="L268" i="25"/>
  <c r="L266" i="25"/>
  <c r="K409" i="25"/>
  <c r="K397" i="25"/>
  <c r="K390" i="25"/>
  <c r="L388" i="25"/>
  <c r="L368" i="25"/>
  <c r="K342" i="25"/>
  <c r="K341" i="25"/>
  <c r="L340" i="25"/>
  <c r="K334" i="25"/>
  <c r="K333" i="25"/>
  <c r="L332" i="25"/>
  <c r="K326" i="25"/>
  <c r="K325" i="25"/>
  <c r="L324" i="25"/>
  <c r="K318" i="25"/>
  <c r="K317" i="25"/>
  <c r="L316" i="25"/>
  <c r="K310" i="25"/>
  <c r="K309" i="25"/>
  <c r="L308" i="25"/>
  <c r="K302" i="25"/>
  <c r="K301" i="25"/>
  <c r="L300" i="25"/>
  <c r="K294" i="25"/>
  <c r="K293" i="25"/>
  <c r="L292" i="25"/>
  <c r="K286" i="25"/>
  <c r="K285" i="25"/>
  <c r="L284" i="25"/>
  <c r="K278" i="25"/>
  <c r="K276" i="25"/>
  <c r="K274" i="25"/>
  <c r="K272" i="25"/>
  <c r="K270" i="25"/>
  <c r="K268" i="25"/>
  <c r="K266" i="25"/>
  <c r="K264" i="25"/>
  <c r="L407" i="25"/>
  <c r="K381" i="25"/>
  <c r="L372" i="25"/>
  <c r="K338" i="25"/>
  <c r="K337" i="25"/>
  <c r="L336" i="25"/>
  <c r="K330" i="25"/>
  <c r="K329" i="25"/>
  <c r="L328" i="25"/>
  <c r="K322" i="25"/>
  <c r="K321" i="25"/>
  <c r="L320" i="25"/>
  <c r="K314" i="25"/>
  <c r="K313" i="25"/>
  <c r="L312" i="25"/>
  <c r="K306" i="25"/>
  <c r="K305" i="25"/>
  <c r="L304" i="25"/>
  <c r="K298" i="25"/>
  <c r="K297" i="25"/>
  <c r="L296" i="25"/>
  <c r="K290" i="25"/>
  <c r="K289" i="25"/>
  <c r="L288" i="25"/>
  <c r="K282" i="25"/>
  <c r="K281" i="25"/>
  <c r="L280" i="25"/>
  <c r="K277" i="25"/>
  <c r="K275" i="25"/>
  <c r="K273" i="25"/>
  <c r="K271" i="25"/>
  <c r="K269" i="25"/>
  <c r="K267" i="25"/>
  <c r="K265" i="25"/>
  <c r="K263" i="25"/>
  <c r="K261" i="25"/>
  <c r="K259" i="25"/>
  <c r="K257" i="25"/>
  <c r="K255" i="25"/>
  <c r="K253" i="25"/>
  <c r="K251" i="25"/>
  <c r="K249" i="25"/>
  <c r="K247" i="25"/>
  <c r="K245" i="25"/>
  <c r="K243" i="25"/>
  <c r="K241" i="25"/>
  <c r="K239" i="25"/>
  <c r="K237" i="25"/>
  <c r="K235" i="25"/>
  <c r="K233" i="25"/>
  <c r="K231" i="25"/>
  <c r="K229" i="25"/>
  <c r="K227" i="25"/>
  <c r="K382" i="25"/>
  <c r="L358" i="25"/>
  <c r="K357" i="25"/>
  <c r="K331" i="25"/>
  <c r="K324" i="25"/>
  <c r="L322" i="25"/>
  <c r="K299" i="25"/>
  <c r="K292" i="25"/>
  <c r="L290" i="25"/>
  <c r="L277" i="25"/>
  <c r="L269" i="25"/>
  <c r="L264" i="25"/>
  <c r="L262" i="25"/>
  <c r="L261" i="25"/>
  <c r="K256" i="25"/>
  <c r="L254" i="25"/>
  <c r="L253" i="25"/>
  <c r="K248" i="25"/>
  <c r="L246" i="25"/>
  <c r="L245" i="25"/>
  <c r="K240" i="25"/>
  <c r="L238" i="25"/>
  <c r="L237" i="25"/>
  <c r="K232" i="25"/>
  <c r="L230" i="25"/>
  <c r="L229" i="25"/>
  <c r="K225" i="25"/>
  <c r="K223" i="25"/>
  <c r="K221" i="25"/>
  <c r="K219" i="25"/>
  <c r="K217" i="25"/>
  <c r="K215" i="25"/>
  <c r="K213" i="25"/>
  <c r="K211" i="25"/>
  <c r="K209" i="25"/>
  <c r="K207" i="25"/>
  <c r="K205" i="25"/>
  <c r="K203" i="25"/>
  <c r="K201" i="25"/>
  <c r="K199" i="25"/>
  <c r="K197" i="25"/>
  <c r="K195" i="25"/>
  <c r="K193" i="25"/>
  <c r="K191" i="25"/>
  <c r="K189" i="25"/>
  <c r="K187" i="25"/>
  <c r="K185" i="25"/>
  <c r="K183" i="25"/>
  <c r="K181" i="25"/>
  <c r="K179" i="25"/>
  <c r="K177" i="25"/>
  <c r="K175" i="25"/>
  <c r="K173" i="25"/>
  <c r="K171" i="25"/>
  <c r="K169" i="25"/>
  <c r="K167" i="25"/>
  <c r="K165" i="25"/>
  <c r="K163" i="25"/>
  <c r="K161" i="25"/>
  <c r="K159" i="25"/>
  <c r="K157" i="25"/>
  <c r="K155" i="25"/>
  <c r="K153" i="25"/>
  <c r="K151" i="25"/>
  <c r="K149" i="25"/>
  <c r="K147" i="25"/>
  <c r="K145" i="25"/>
  <c r="K143" i="25"/>
  <c r="K141" i="25"/>
  <c r="K139" i="25"/>
  <c r="K137" i="25"/>
  <c r="K135" i="25"/>
  <c r="K133" i="25"/>
  <c r="K131" i="25"/>
  <c r="K129" i="25"/>
  <c r="K127" i="25"/>
  <c r="K125" i="25"/>
  <c r="K123" i="25"/>
  <c r="K121" i="25"/>
  <c r="K470" i="25"/>
  <c r="L370" i="25"/>
  <c r="L362" i="25"/>
  <c r="K361" i="25"/>
  <c r="L346" i="25"/>
  <c r="K345" i="25"/>
  <c r="K323" i="25"/>
  <c r="K316" i="25"/>
  <c r="L314" i="25"/>
  <c r="K291" i="25"/>
  <c r="K284" i="25"/>
  <c r="L282" i="25"/>
  <c r="L271" i="25"/>
  <c r="K262" i="25"/>
  <c r="L260" i="25"/>
  <c r="L259" i="25"/>
  <c r="K254" i="25"/>
  <c r="L252" i="25"/>
  <c r="L251" i="25"/>
  <c r="K246" i="25"/>
  <c r="L244" i="25"/>
  <c r="L243" i="25"/>
  <c r="K238" i="25"/>
  <c r="L236" i="25"/>
  <c r="L235" i="25"/>
  <c r="K230" i="25"/>
  <c r="L228" i="25"/>
  <c r="L227" i="25"/>
  <c r="L224" i="25"/>
  <c r="L222" i="25"/>
  <c r="L220" i="25"/>
  <c r="L437" i="25"/>
  <c r="K389" i="25"/>
  <c r="L354" i="25"/>
  <c r="K353" i="25"/>
  <c r="K339" i="25"/>
  <c r="K332" i="25"/>
  <c r="L330" i="25"/>
  <c r="K307" i="25"/>
  <c r="K300" i="25"/>
  <c r="L298" i="25"/>
  <c r="L275" i="25"/>
  <c r="L267" i="25"/>
  <c r="L263" i="25"/>
  <c r="K258" i="25"/>
  <c r="L256" i="25"/>
  <c r="L255" i="25"/>
  <c r="K250" i="25"/>
  <c r="L248" i="25"/>
  <c r="L247" i="25"/>
  <c r="K242" i="25"/>
  <c r="L240" i="25"/>
  <c r="L239" i="25"/>
  <c r="K234" i="25"/>
  <c r="L232" i="25"/>
  <c r="L231" i="25"/>
  <c r="K226" i="25"/>
  <c r="L225" i="25"/>
  <c r="L223" i="25"/>
  <c r="L221" i="25"/>
  <c r="L219" i="25"/>
  <c r="L217" i="25"/>
  <c r="L215" i="25"/>
  <c r="L213" i="25"/>
  <c r="L211" i="25"/>
  <c r="L209" i="25"/>
  <c r="L207" i="25"/>
  <c r="L205" i="25"/>
  <c r="L203" i="25"/>
  <c r="L201" i="25"/>
  <c r="L199" i="25"/>
  <c r="L197" i="25"/>
  <c r="L195" i="25"/>
  <c r="L193" i="25"/>
  <c r="L191" i="25"/>
  <c r="L189" i="25"/>
  <c r="L187" i="25"/>
  <c r="L185" i="25"/>
  <c r="L183" i="25"/>
  <c r="L181" i="25"/>
  <c r="L179" i="25"/>
  <c r="L177" i="25"/>
  <c r="L175" i="25"/>
  <c r="L173" i="25"/>
  <c r="L171" i="25"/>
  <c r="L169" i="25"/>
  <c r="L167" i="25"/>
  <c r="L165" i="25"/>
  <c r="L163" i="25"/>
  <c r="L161" i="25"/>
  <c r="L159" i="25"/>
  <c r="L157" i="25"/>
  <c r="L155" i="25"/>
  <c r="L153" i="25"/>
  <c r="L151" i="25"/>
  <c r="L149" i="25"/>
  <c r="L147" i="25"/>
  <c r="L145" i="25"/>
  <c r="L143" i="25"/>
  <c r="L141" i="25"/>
  <c r="L139" i="25"/>
  <c r="L137" i="25"/>
  <c r="L135" i="25"/>
  <c r="L133" i="25"/>
  <c r="L131" i="25"/>
  <c r="L129" i="25"/>
  <c r="L127" i="25"/>
  <c r="L125" i="25"/>
  <c r="L123" i="25"/>
  <c r="L121" i="25"/>
  <c r="L119" i="25"/>
  <c r="L117" i="25"/>
  <c r="L115" i="25"/>
  <c r="L113" i="25"/>
  <c r="L111" i="25"/>
  <c r="L109" i="25"/>
  <c r="L107" i="25"/>
  <c r="L105" i="25"/>
  <c r="L103" i="25"/>
  <c r="L101" i="25"/>
  <c r="L99" i="25"/>
  <c r="L97" i="25"/>
  <c r="L95" i="25"/>
  <c r="L93" i="25"/>
  <c r="L91" i="25"/>
  <c r="L89" i="25"/>
  <c r="L87" i="25"/>
  <c r="L85" i="25"/>
  <c r="L83" i="25"/>
  <c r="L81" i="25"/>
  <c r="L79" i="25"/>
  <c r="L77" i="25"/>
  <c r="L75" i="25"/>
  <c r="L73" i="25"/>
  <c r="L71" i="25"/>
  <c r="L69" i="25"/>
  <c r="L67" i="25"/>
  <c r="L65" i="25"/>
  <c r="L63" i="25"/>
  <c r="L61" i="25"/>
  <c r="L59" i="25"/>
  <c r="L57" i="25"/>
  <c r="L55" i="25"/>
  <c r="L53" i="25"/>
  <c r="L51" i="25"/>
  <c r="L49" i="25"/>
  <c r="L47" i="25"/>
  <c r="L45" i="25"/>
  <c r="L43" i="25"/>
  <c r="L41" i="25"/>
  <c r="L39" i="25"/>
  <c r="L37" i="25"/>
  <c r="L35" i="25"/>
  <c r="L33" i="25"/>
  <c r="L31" i="25"/>
  <c r="L29" i="25"/>
  <c r="K340" i="25"/>
  <c r="K315" i="25"/>
  <c r="L273" i="25"/>
  <c r="L250" i="25"/>
  <c r="K244" i="25"/>
  <c r="L241" i="25"/>
  <c r="K222" i="25"/>
  <c r="L218" i="25"/>
  <c r="L214" i="25"/>
  <c r="L210" i="25"/>
  <c r="L206" i="25"/>
  <c r="L202" i="25"/>
  <c r="L198" i="25"/>
  <c r="L194" i="25"/>
  <c r="L190" i="25"/>
  <c r="L186" i="25"/>
  <c r="L182" i="25"/>
  <c r="L178" i="25"/>
  <c r="L174" i="25"/>
  <c r="L170" i="25"/>
  <c r="L166" i="25"/>
  <c r="L162" i="25"/>
  <c r="L158" i="25"/>
  <c r="L154" i="25"/>
  <c r="L150" i="25"/>
  <c r="L146" i="25"/>
  <c r="L142" i="25"/>
  <c r="L138" i="25"/>
  <c r="L134" i="25"/>
  <c r="L130" i="25"/>
  <c r="L126" i="25"/>
  <c r="L122" i="25"/>
  <c r="K118" i="25"/>
  <c r="K117" i="25"/>
  <c r="L116" i="25"/>
  <c r="K110" i="25"/>
  <c r="K109" i="25"/>
  <c r="L108" i="25"/>
  <c r="K102" i="25"/>
  <c r="K101" i="25"/>
  <c r="L100" i="25"/>
  <c r="K94" i="25"/>
  <c r="K93" i="25"/>
  <c r="L92" i="25"/>
  <c r="K86" i="25"/>
  <c r="K85" i="25"/>
  <c r="L84" i="25"/>
  <c r="K78" i="25"/>
  <c r="K77" i="25"/>
  <c r="L76" i="25"/>
  <c r="K70" i="25"/>
  <c r="K69" i="25"/>
  <c r="L68" i="25"/>
  <c r="K62" i="25"/>
  <c r="K61" i="25"/>
  <c r="L60" i="25"/>
  <c r="K53" i="25"/>
  <c r="K45" i="25"/>
  <c r="K37" i="25"/>
  <c r="K30" i="25"/>
  <c r="K27" i="25"/>
  <c r="L350" i="25"/>
  <c r="K308" i="25"/>
  <c r="K283" i="25"/>
  <c r="L242" i="25"/>
  <c r="K236" i="25"/>
  <c r="L233" i="25"/>
  <c r="K224" i="25"/>
  <c r="K218" i="25"/>
  <c r="K214" i="25"/>
  <c r="K210" i="25"/>
  <c r="K206" i="25"/>
  <c r="K202" i="25"/>
  <c r="K198" i="25"/>
  <c r="K194" i="25"/>
  <c r="K190" i="25"/>
  <c r="K186" i="25"/>
  <c r="K182" i="25"/>
  <c r="K178" i="25"/>
  <c r="K174" i="25"/>
  <c r="K170" i="25"/>
  <c r="K166" i="25"/>
  <c r="K162" i="25"/>
  <c r="K158" i="25"/>
  <c r="K154" i="25"/>
  <c r="K150" i="25"/>
  <c r="K146" i="25"/>
  <c r="K142" i="25"/>
  <c r="K138" i="25"/>
  <c r="K134" i="25"/>
  <c r="K130" i="25"/>
  <c r="K126" i="25"/>
  <c r="K122" i="25"/>
  <c r="K116" i="25"/>
  <c r="K115" i="25"/>
  <c r="L114" i="25"/>
  <c r="K108" i="25"/>
  <c r="K107" i="25"/>
  <c r="L106" i="25"/>
  <c r="K100" i="25"/>
  <c r="K99" i="25"/>
  <c r="L98" i="25"/>
  <c r="K92" i="25"/>
  <c r="K91" i="25"/>
  <c r="L90" i="25"/>
  <c r="K84" i="25"/>
  <c r="K83" i="25"/>
  <c r="L82" i="25"/>
  <c r="K76" i="25"/>
  <c r="K75" i="25"/>
  <c r="L74" i="25"/>
  <c r="K68" i="25"/>
  <c r="K67" i="25"/>
  <c r="L66" i="25"/>
  <c r="K60" i="25"/>
  <c r="K59" i="25"/>
  <c r="L58" i="25"/>
  <c r="K52" i="25"/>
  <c r="K51" i="25"/>
  <c r="L50" i="25"/>
  <c r="K44" i="25"/>
  <c r="K43" i="25"/>
  <c r="L42" i="25"/>
  <c r="L380" i="25"/>
  <c r="L306" i="25"/>
  <c r="L265" i="25"/>
  <c r="L258" i="25"/>
  <c r="K252" i="25"/>
  <c r="L249" i="25"/>
  <c r="L226" i="25"/>
  <c r="K220" i="25"/>
  <c r="K216" i="25"/>
  <c r="K212" i="25"/>
  <c r="K208" i="25"/>
  <c r="K204" i="25"/>
  <c r="K200" i="25"/>
  <c r="K196" i="25"/>
  <c r="K192" i="25"/>
  <c r="K188" i="25"/>
  <c r="K184" i="25"/>
  <c r="K180" i="25"/>
  <c r="K176" i="25"/>
  <c r="K172" i="25"/>
  <c r="K168" i="25"/>
  <c r="K164" i="25"/>
  <c r="K160" i="25"/>
  <c r="K156" i="25"/>
  <c r="K152" i="25"/>
  <c r="K148" i="25"/>
  <c r="K144" i="25"/>
  <c r="K140" i="25"/>
  <c r="K136" i="25"/>
  <c r="K132" i="25"/>
  <c r="K128" i="25"/>
  <c r="K124" i="25"/>
  <c r="K120" i="25"/>
  <c r="K119" i="25"/>
  <c r="L118" i="25"/>
  <c r="K112" i="25"/>
  <c r="K111" i="25"/>
  <c r="L110" i="25"/>
  <c r="K104" i="25"/>
  <c r="K103" i="25"/>
  <c r="L102" i="25"/>
  <c r="K96" i="25"/>
  <c r="K95" i="25"/>
  <c r="L94" i="25"/>
  <c r="K88" i="25"/>
  <c r="K87" i="25"/>
  <c r="L86" i="25"/>
  <c r="K80" i="25"/>
  <c r="K79" i="25"/>
  <c r="L78" i="25"/>
  <c r="K72" i="25"/>
  <c r="K71" i="25"/>
  <c r="L70" i="25"/>
  <c r="K64" i="25"/>
  <c r="K63" i="25"/>
  <c r="L62" i="25"/>
  <c r="K56" i="25"/>
  <c r="K55" i="25"/>
  <c r="L54" i="25"/>
  <c r="K48" i="25"/>
  <c r="K47" i="25"/>
  <c r="L46" i="25"/>
  <c r="K40" i="25"/>
  <c r="K39" i="25"/>
  <c r="L38" i="25"/>
  <c r="K32" i="25"/>
  <c r="K31" i="25"/>
  <c r="L30" i="25"/>
  <c r="L27" i="25"/>
  <c r="L25" i="25"/>
  <c r="L23" i="25"/>
  <c r="L21" i="25"/>
  <c r="L19" i="25"/>
  <c r="L17" i="25"/>
  <c r="L15" i="25"/>
  <c r="L13" i="25"/>
  <c r="K54" i="25"/>
  <c r="L52" i="25"/>
  <c r="K46" i="25"/>
  <c r="L44" i="25"/>
  <c r="K38" i="25"/>
  <c r="L36" i="25"/>
  <c r="K29" i="25"/>
  <c r="K25" i="25"/>
  <c r="K349" i="25"/>
  <c r="L257" i="25"/>
  <c r="L212" i="25"/>
  <c r="L196" i="25"/>
  <c r="L180" i="25"/>
  <c r="L164" i="25"/>
  <c r="L148" i="25"/>
  <c r="L132" i="25"/>
  <c r="K113" i="25"/>
  <c r="K106" i="25"/>
  <c r="L104" i="25"/>
  <c r="K81" i="25"/>
  <c r="K74" i="25"/>
  <c r="L72" i="25"/>
  <c r="K49" i="25"/>
  <c r="K42" i="25"/>
  <c r="L40" i="25"/>
  <c r="K35" i="25"/>
  <c r="K34" i="25"/>
  <c r="K33" i="25"/>
  <c r="K26" i="25"/>
  <c r="K20" i="25"/>
  <c r="K23" i="25"/>
  <c r="L22" i="25"/>
  <c r="K260" i="25"/>
  <c r="L216" i="25"/>
  <c r="L200" i="25"/>
  <c r="L184" i="25"/>
  <c r="L168" i="25"/>
  <c r="L152" i="25"/>
  <c r="L136" i="25"/>
  <c r="L120" i="25"/>
  <c r="K105" i="25"/>
  <c r="K98" i="25"/>
  <c r="L96" i="25"/>
  <c r="K73" i="25"/>
  <c r="K66" i="25"/>
  <c r="L64" i="25"/>
  <c r="K41" i="25"/>
  <c r="L28" i="25"/>
  <c r="L24" i="25"/>
  <c r="K18" i="25"/>
  <c r="K17" i="25"/>
  <c r="L16" i="25"/>
  <c r="L234" i="25"/>
  <c r="K228" i="25"/>
  <c r="L188" i="25"/>
  <c r="K97" i="25"/>
  <c r="L88" i="25"/>
  <c r="K65" i="25"/>
  <c r="K28" i="25"/>
  <c r="L338" i="25"/>
  <c r="L208" i="25"/>
  <c r="L192" i="25"/>
  <c r="L176" i="25"/>
  <c r="L160" i="25"/>
  <c r="L144" i="25"/>
  <c r="L128" i="25"/>
  <c r="K114" i="25"/>
  <c r="L112" i="25"/>
  <c r="K89" i="25"/>
  <c r="K82" i="25"/>
  <c r="L80" i="25"/>
  <c r="K57" i="25"/>
  <c r="K50" i="25"/>
  <c r="L48" i="25"/>
  <c r="K36" i="25"/>
  <c r="L34" i="25"/>
  <c r="L32" i="25"/>
  <c r="L26" i="25"/>
  <c r="K22" i="25"/>
  <c r="K21" i="25"/>
  <c r="L20" i="25"/>
  <c r="K14" i="25"/>
  <c r="K13" i="25"/>
  <c r="K19" i="25"/>
  <c r="L18" i="25"/>
  <c r="L204" i="25"/>
  <c r="L172" i="25"/>
  <c r="L156" i="25"/>
  <c r="L140" i="25"/>
  <c r="L124" i="25"/>
  <c r="K90" i="25"/>
  <c r="K58" i="25"/>
  <c r="L56" i="25"/>
  <c r="K24" i="25"/>
  <c r="K16" i="25"/>
  <c r="K15" i="25"/>
  <c r="L14" i="25"/>
  <c r="L628" i="25"/>
  <c r="L626" i="25"/>
  <c r="K628" i="25"/>
  <c r="K626" i="25"/>
  <c r="L623" i="25"/>
  <c r="K623" i="25"/>
  <c r="L622" i="25"/>
  <c r="K622" i="25"/>
  <c r="J613" i="25"/>
  <c r="J611" i="25"/>
  <c r="J609" i="25"/>
  <c r="A624" i="25"/>
  <c r="I613" i="25"/>
  <c r="I611" i="25"/>
  <c r="I609" i="25"/>
  <c r="W624" i="25"/>
  <c r="I612" i="25"/>
  <c r="I610" i="25"/>
  <c r="I608" i="25"/>
  <c r="C634" i="25"/>
  <c r="I605" i="25"/>
  <c r="I603" i="25"/>
  <c r="I601" i="25"/>
  <c r="I599" i="25"/>
  <c r="I597" i="25"/>
  <c r="J607" i="25"/>
  <c r="J606" i="25"/>
  <c r="J604" i="25"/>
  <c r="J602" i="25"/>
  <c r="J600" i="25"/>
  <c r="J598" i="25"/>
  <c r="J612" i="25"/>
  <c r="J605" i="25"/>
  <c r="J603" i="25"/>
  <c r="J601" i="25"/>
  <c r="J599" i="25"/>
  <c r="J597" i="25"/>
  <c r="J595" i="25"/>
  <c r="J593" i="25"/>
  <c r="J608" i="25"/>
  <c r="I602" i="25"/>
  <c r="I594" i="25"/>
  <c r="I593" i="25"/>
  <c r="J592" i="25"/>
  <c r="J590" i="25"/>
  <c r="J588" i="25"/>
  <c r="J586" i="25"/>
  <c r="I607" i="25"/>
  <c r="I604" i="25"/>
  <c r="I592" i="25"/>
  <c r="I590" i="25"/>
  <c r="I588" i="25"/>
  <c r="I586" i="25"/>
  <c r="I584" i="25"/>
  <c r="I600" i="25"/>
  <c r="I596" i="25"/>
  <c r="I595" i="25"/>
  <c r="J594" i="25"/>
  <c r="I591" i="25"/>
  <c r="I589" i="25"/>
  <c r="I587" i="25"/>
  <c r="I585" i="25"/>
  <c r="I583" i="25"/>
  <c r="I581" i="25"/>
  <c r="I579" i="25"/>
  <c r="I598" i="25"/>
  <c r="J596" i="25"/>
  <c r="J589" i="25"/>
  <c r="J584" i="25"/>
  <c r="J583" i="25"/>
  <c r="I582" i="25"/>
  <c r="J580" i="25"/>
  <c r="I577" i="25"/>
  <c r="I575" i="25"/>
  <c r="I573" i="25"/>
  <c r="I571" i="25"/>
  <c r="I569" i="25"/>
  <c r="I567" i="25"/>
  <c r="I565" i="25"/>
  <c r="I563" i="25"/>
  <c r="I561" i="25"/>
  <c r="I559" i="25"/>
  <c r="I557" i="25"/>
  <c r="J610" i="25"/>
  <c r="I606" i="25"/>
  <c r="J591" i="25"/>
  <c r="J581" i="25"/>
  <c r="I580" i="25"/>
  <c r="J578" i="25"/>
  <c r="J576" i="25"/>
  <c r="J574" i="25"/>
  <c r="J572" i="25"/>
  <c r="J570" i="25"/>
  <c r="J568" i="25"/>
  <c r="J566" i="25"/>
  <c r="J587" i="25"/>
  <c r="J582" i="25"/>
  <c r="J577" i="25"/>
  <c r="J575" i="25"/>
  <c r="J573" i="25"/>
  <c r="J571" i="25"/>
  <c r="J569" i="25"/>
  <c r="J567" i="25"/>
  <c r="I578" i="25"/>
  <c r="I574" i="25"/>
  <c r="I566" i="25"/>
  <c r="J561" i="25"/>
  <c r="I560" i="25"/>
  <c r="J558" i="25"/>
  <c r="I556" i="25"/>
  <c r="I554" i="25"/>
  <c r="I552" i="25"/>
  <c r="I550" i="25"/>
  <c r="I548" i="25"/>
  <c r="I546" i="25"/>
  <c r="I544" i="25"/>
  <c r="I542" i="25"/>
  <c r="I540" i="25"/>
  <c r="I538" i="25"/>
  <c r="I536" i="25"/>
  <c r="I534" i="25"/>
  <c r="I532" i="25"/>
  <c r="I530" i="25"/>
  <c r="I528" i="25"/>
  <c r="I526" i="25"/>
  <c r="I576" i="25"/>
  <c r="I568" i="25"/>
  <c r="J565" i="25"/>
  <c r="J564" i="25"/>
  <c r="J559" i="25"/>
  <c r="I558" i="25"/>
  <c r="J555" i="25"/>
  <c r="J553" i="25"/>
  <c r="J551" i="25"/>
  <c r="J549" i="25"/>
  <c r="J547" i="25"/>
  <c r="J545" i="25"/>
  <c r="J543" i="25"/>
  <c r="J541" i="25"/>
  <c r="J539" i="25"/>
  <c r="J585" i="25"/>
  <c r="J579" i="25"/>
  <c r="I572" i="25"/>
  <c r="J563" i="25"/>
  <c r="I562" i="25"/>
  <c r="J560" i="25"/>
  <c r="J556" i="25"/>
  <c r="J554" i="25"/>
  <c r="J552" i="25"/>
  <c r="J550" i="25"/>
  <c r="J548" i="25"/>
  <c r="J546" i="25"/>
  <c r="J544" i="25"/>
  <c r="J542" i="25"/>
  <c r="J540" i="25"/>
  <c r="I570" i="25"/>
  <c r="I555" i="25"/>
  <c r="I547" i="25"/>
  <c r="I539" i="25"/>
  <c r="J537" i="25"/>
  <c r="J532" i="25"/>
  <c r="I531" i="25"/>
  <c r="J529" i="25"/>
  <c r="J524" i="25"/>
  <c r="I549" i="25"/>
  <c r="I541" i="25"/>
  <c r="J538" i="25"/>
  <c r="I537" i="25"/>
  <c r="J535" i="25"/>
  <c r="J530" i="25"/>
  <c r="I529" i="25"/>
  <c r="J527" i="25"/>
  <c r="I524" i="25"/>
  <c r="I553" i="25"/>
  <c r="I545" i="25"/>
  <c r="J534" i="25"/>
  <c r="I533" i="25"/>
  <c r="J531" i="25"/>
  <c r="J526" i="25"/>
  <c r="I525" i="25"/>
  <c r="I523" i="25"/>
  <c r="I521" i="25"/>
  <c r="I519" i="25"/>
  <c r="I517" i="25"/>
  <c r="I515" i="25"/>
  <c r="I513" i="25"/>
  <c r="I551" i="25"/>
  <c r="I535" i="25"/>
  <c r="J533" i="25"/>
  <c r="J528" i="25"/>
  <c r="J519" i="25"/>
  <c r="I518" i="25"/>
  <c r="J516" i="25"/>
  <c r="I510" i="25"/>
  <c r="I508" i="25"/>
  <c r="I506" i="25"/>
  <c r="I504" i="25"/>
  <c r="I502" i="25"/>
  <c r="I500" i="25"/>
  <c r="I498" i="25"/>
  <c r="I496" i="25"/>
  <c r="I494" i="25"/>
  <c r="I492" i="25"/>
  <c r="I490" i="25"/>
  <c r="I488" i="25"/>
  <c r="I486" i="25"/>
  <c r="I484" i="25"/>
  <c r="I482" i="25"/>
  <c r="I480" i="25"/>
  <c r="I478" i="25"/>
  <c r="I476" i="25"/>
  <c r="I474" i="25"/>
  <c r="I472" i="25"/>
  <c r="I470" i="25"/>
  <c r="I468" i="25"/>
  <c r="I466" i="25"/>
  <c r="J562" i="25"/>
  <c r="I527" i="25"/>
  <c r="J525" i="25"/>
  <c r="J522" i="25"/>
  <c r="J517" i="25"/>
  <c r="I516" i="25"/>
  <c r="J514" i="25"/>
  <c r="J511" i="25"/>
  <c r="J509" i="25"/>
  <c r="J507" i="25"/>
  <c r="J505" i="25"/>
  <c r="J503" i="25"/>
  <c r="J501" i="25"/>
  <c r="J499" i="25"/>
  <c r="J497" i="25"/>
  <c r="J495" i="25"/>
  <c r="J493" i="25"/>
  <c r="J491" i="25"/>
  <c r="J489" i="25"/>
  <c r="J487" i="25"/>
  <c r="J485" i="25"/>
  <c r="J483" i="25"/>
  <c r="I564" i="25"/>
  <c r="J557" i="25"/>
  <c r="I543" i="25"/>
  <c r="J536" i="25"/>
  <c r="J521" i="25"/>
  <c r="I520" i="25"/>
  <c r="J518" i="25"/>
  <c r="J513" i="25"/>
  <c r="I512" i="25"/>
  <c r="J510" i="25"/>
  <c r="J508" i="25"/>
  <c r="J506" i="25"/>
  <c r="J504" i="25"/>
  <c r="J502" i="25"/>
  <c r="J500" i="25"/>
  <c r="J498" i="25"/>
  <c r="J496" i="25"/>
  <c r="J494" i="25"/>
  <c r="J492" i="25"/>
  <c r="J490" i="25"/>
  <c r="J488" i="25"/>
  <c r="J486" i="25"/>
  <c r="I514" i="25"/>
  <c r="J512" i="25"/>
  <c r="I507" i="25"/>
  <c r="I499" i="25"/>
  <c r="I491" i="25"/>
  <c r="I483" i="25"/>
  <c r="J481" i="25"/>
  <c r="J476" i="25"/>
  <c r="I475" i="25"/>
  <c r="J473" i="25"/>
  <c r="J468" i="25"/>
  <c r="I467" i="25"/>
  <c r="J465" i="25"/>
  <c r="J463" i="25"/>
  <c r="J461" i="25"/>
  <c r="J459" i="25"/>
  <c r="J457" i="25"/>
  <c r="J455" i="25"/>
  <c r="J453" i="25"/>
  <c r="J451" i="25"/>
  <c r="J449" i="25"/>
  <c r="J447" i="25"/>
  <c r="J445" i="25"/>
  <c r="J443" i="25"/>
  <c r="J441" i="25"/>
  <c r="J439" i="25"/>
  <c r="J437" i="25"/>
  <c r="J435" i="25"/>
  <c r="J433" i="25"/>
  <c r="J431" i="25"/>
  <c r="J429" i="25"/>
  <c r="J427" i="25"/>
  <c r="J425" i="25"/>
  <c r="J423" i="25"/>
  <c r="J421" i="25"/>
  <c r="J419" i="25"/>
  <c r="J417" i="25"/>
  <c r="J415" i="25"/>
  <c r="J413" i="25"/>
  <c r="J411" i="25"/>
  <c r="J409" i="25"/>
  <c r="J407" i="25"/>
  <c r="J405" i="25"/>
  <c r="J403" i="25"/>
  <c r="J401" i="25"/>
  <c r="I509" i="25"/>
  <c r="I501" i="25"/>
  <c r="I493" i="25"/>
  <c r="I485" i="25"/>
  <c r="J482" i="25"/>
  <c r="I481" i="25"/>
  <c r="J479" i="25"/>
  <c r="J474" i="25"/>
  <c r="I473" i="25"/>
  <c r="J471" i="25"/>
  <c r="J466" i="25"/>
  <c r="I465" i="25"/>
  <c r="I463" i="25"/>
  <c r="I461" i="25"/>
  <c r="I459" i="25"/>
  <c r="I457" i="25"/>
  <c r="I455" i="25"/>
  <c r="I453" i="25"/>
  <c r="I451" i="25"/>
  <c r="I449" i="25"/>
  <c r="I447" i="25"/>
  <c r="I445" i="25"/>
  <c r="I443" i="25"/>
  <c r="I441" i="25"/>
  <c r="I439" i="25"/>
  <c r="I437" i="25"/>
  <c r="I435" i="25"/>
  <c r="I433" i="25"/>
  <c r="I431" i="25"/>
  <c r="I429" i="25"/>
  <c r="I522" i="25"/>
  <c r="J520" i="25"/>
  <c r="J515" i="25"/>
  <c r="I505" i="25"/>
  <c r="I497" i="25"/>
  <c r="I489" i="25"/>
  <c r="J478" i="25"/>
  <c r="I477" i="25"/>
  <c r="J475" i="25"/>
  <c r="J470" i="25"/>
  <c r="I469" i="25"/>
  <c r="J467" i="25"/>
  <c r="I464" i="25"/>
  <c r="I462" i="25"/>
  <c r="I460" i="25"/>
  <c r="I458" i="25"/>
  <c r="I456" i="25"/>
  <c r="I454" i="25"/>
  <c r="I452" i="25"/>
  <c r="I450" i="25"/>
  <c r="I448" i="25"/>
  <c r="I446" i="25"/>
  <c r="I444" i="25"/>
  <c r="I442" i="25"/>
  <c r="I440" i="25"/>
  <c r="I438" i="25"/>
  <c r="I436" i="25"/>
  <c r="I434" i="25"/>
  <c r="I432" i="25"/>
  <c r="I430" i="25"/>
  <c r="J523" i="25"/>
  <c r="I495" i="25"/>
  <c r="J480" i="25"/>
  <c r="J460" i="25"/>
  <c r="J452" i="25"/>
  <c r="J444" i="25"/>
  <c r="J436" i="25"/>
  <c r="I424" i="25"/>
  <c r="I423" i="25"/>
  <c r="J422" i="25"/>
  <c r="I416" i="25"/>
  <c r="I415" i="25"/>
  <c r="J414" i="25"/>
  <c r="I408" i="25"/>
  <c r="I407" i="25"/>
  <c r="J406" i="25"/>
  <c r="I503" i="25"/>
  <c r="I479" i="25"/>
  <c r="J477" i="25"/>
  <c r="J472" i="25"/>
  <c r="J462" i="25"/>
  <c r="J454" i="25"/>
  <c r="J446" i="25"/>
  <c r="J438" i="25"/>
  <c r="J430" i="25"/>
  <c r="I422" i="25"/>
  <c r="I421" i="25"/>
  <c r="J420" i="25"/>
  <c r="I414" i="25"/>
  <c r="I413" i="25"/>
  <c r="J412" i="25"/>
  <c r="I406" i="25"/>
  <c r="I405" i="25"/>
  <c r="J404" i="25"/>
  <c r="I487" i="25"/>
  <c r="J484" i="25"/>
  <c r="J458" i="25"/>
  <c r="J450" i="25"/>
  <c r="J442" i="25"/>
  <c r="J434" i="25"/>
  <c r="I428" i="25"/>
  <c r="I426" i="25"/>
  <c r="I425" i="25"/>
  <c r="J424" i="25"/>
  <c r="I418" i="25"/>
  <c r="I417" i="25"/>
  <c r="J416" i="25"/>
  <c r="I410" i="25"/>
  <c r="I409" i="25"/>
  <c r="J408" i="25"/>
  <c r="I402" i="25"/>
  <c r="I401" i="25"/>
  <c r="J400" i="25"/>
  <c r="J398" i="25"/>
  <c r="J396" i="25"/>
  <c r="J394" i="25"/>
  <c r="J392" i="25"/>
  <c r="J390" i="25"/>
  <c r="J388" i="25"/>
  <c r="J386" i="25"/>
  <c r="J384" i="25"/>
  <c r="J382" i="25"/>
  <c r="J380" i="25"/>
  <c r="J378" i="25"/>
  <c r="J376" i="25"/>
  <c r="J456" i="25"/>
  <c r="I427" i="25"/>
  <c r="J426" i="25"/>
  <c r="I420" i="25"/>
  <c r="I397" i="25"/>
  <c r="I396" i="25"/>
  <c r="J395" i="25"/>
  <c r="I389" i="25"/>
  <c r="I388" i="25"/>
  <c r="J387" i="25"/>
  <c r="I381" i="25"/>
  <c r="I380" i="25"/>
  <c r="J379" i="25"/>
  <c r="J374" i="25"/>
  <c r="J372" i="25"/>
  <c r="J370" i="25"/>
  <c r="J368" i="25"/>
  <c r="J366" i="25"/>
  <c r="J364" i="25"/>
  <c r="J362" i="25"/>
  <c r="J360" i="25"/>
  <c r="J358" i="25"/>
  <c r="J356" i="25"/>
  <c r="J354" i="25"/>
  <c r="J352" i="25"/>
  <c r="J350" i="25"/>
  <c r="J348" i="25"/>
  <c r="J346" i="25"/>
  <c r="J344" i="25"/>
  <c r="J342" i="25"/>
  <c r="J340" i="25"/>
  <c r="J338" i="25"/>
  <c r="J336" i="25"/>
  <c r="J334" i="25"/>
  <c r="J332" i="25"/>
  <c r="J330" i="25"/>
  <c r="J328" i="25"/>
  <c r="J326" i="25"/>
  <c r="J324" i="25"/>
  <c r="J322" i="25"/>
  <c r="J320" i="25"/>
  <c r="J318" i="25"/>
  <c r="J316" i="25"/>
  <c r="J314" i="25"/>
  <c r="J312" i="25"/>
  <c r="J310" i="25"/>
  <c r="J308" i="25"/>
  <c r="J306" i="25"/>
  <c r="J304" i="25"/>
  <c r="J302" i="25"/>
  <c r="J300" i="25"/>
  <c r="J298" i="25"/>
  <c r="J296" i="25"/>
  <c r="J294" i="25"/>
  <c r="J292" i="25"/>
  <c r="J290" i="25"/>
  <c r="J288" i="25"/>
  <c r="J286" i="25"/>
  <c r="J284" i="25"/>
  <c r="J282" i="25"/>
  <c r="J280" i="25"/>
  <c r="I511" i="25"/>
  <c r="I471" i="25"/>
  <c r="J464" i="25"/>
  <c r="J432" i="25"/>
  <c r="I419" i="25"/>
  <c r="J418" i="25"/>
  <c r="I412" i="25"/>
  <c r="I395" i="25"/>
  <c r="I394" i="25"/>
  <c r="J393" i="25"/>
  <c r="I387" i="25"/>
  <c r="I386" i="25"/>
  <c r="J385" i="25"/>
  <c r="I379" i="25"/>
  <c r="I378" i="25"/>
  <c r="J377" i="25"/>
  <c r="I374" i="25"/>
  <c r="I372" i="25"/>
  <c r="I370" i="25"/>
  <c r="I368" i="25"/>
  <c r="I366" i="25"/>
  <c r="J469" i="25"/>
  <c r="J448" i="25"/>
  <c r="J428" i="25"/>
  <c r="I403" i="25"/>
  <c r="J402" i="25"/>
  <c r="I399" i="25"/>
  <c r="I398" i="25"/>
  <c r="J397" i="25"/>
  <c r="I391" i="25"/>
  <c r="I390" i="25"/>
  <c r="J389" i="25"/>
  <c r="I383" i="25"/>
  <c r="I382" i="25"/>
  <c r="J381" i="25"/>
  <c r="I375" i="25"/>
  <c r="I373" i="25"/>
  <c r="I371" i="25"/>
  <c r="I369" i="25"/>
  <c r="I367" i="25"/>
  <c r="I365" i="25"/>
  <c r="I363" i="25"/>
  <c r="I361" i="25"/>
  <c r="I359" i="25"/>
  <c r="I357" i="25"/>
  <c r="I355" i="25"/>
  <c r="I353" i="25"/>
  <c r="I351" i="25"/>
  <c r="I349" i="25"/>
  <c r="I347" i="25"/>
  <c r="I345" i="25"/>
  <c r="J440" i="25"/>
  <c r="J410" i="25"/>
  <c r="I400" i="25"/>
  <c r="J399" i="25"/>
  <c r="I393" i="25"/>
  <c r="J369" i="25"/>
  <c r="I339" i="25"/>
  <c r="I338" i="25"/>
  <c r="J337" i="25"/>
  <c r="I331" i="25"/>
  <c r="I330" i="25"/>
  <c r="J329" i="25"/>
  <c r="I323" i="25"/>
  <c r="I322" i="25"/>
  <c r="J321" i="25"/>
  <c r="I315" i="25"/>
  <c r="I314" i="25"/>
  <c r="J313" i="25"/>
  <c r="I307" i="25"/>
  <c r="I306" i="25"/>
  <c r="J305" i="25"/>
  <c r="I299" i="25"/>
  <c r="I298" i="25"/>
  <c r="J297" i="25"/>
  <c r="I291" i="25"/>
  <c r="I290" i="25"/>
  <c r="J289" i="25"/>
  <c r="I283" i="25"/>
  <c r="I282" i="25"/>
  <c r="J281" i="25"/>
  <c r="J277" i="25"/>
  <c r="J275" i="25"/>
  <c r="J273" i="25"/>
  <c r="J271" i="25"/>
  <c r="J269" i="25"/>
  <c r="J267" i="25"/>
  <c r="J265" i="25"/>
  <c r="I392" i="25"/>
  <c r="J391" i="25"/>
  <c r="I385" i="25"/>
  <c r="J371" i="25"/>
  <c r="I364" i="25"/>
  <c r="J363" i="25"/>
  <c r="I360" i="25"/>
  <c r="J359" i="25"/>
  <c r="I356" i="25"/>
  <c r="J355" i="25"/>
  <c r="I352" i="25"/>
  <c r="J351" i="25"/>
  <c r="I348" i="25"/>
  <c r="J347" i="25"/>
  <c r="I344" i="25"/>
  <c r="J343" i="25"/>
  <c r="I337" i="25"/>
  <c r="I336" i="25"/>
  <c r="J335" i="25"/>
  <c r="I329" i="25"/>
  <c r="I328" i="25"/>
  <c r="J327" i="25"/>
  <c r="I321" i="25"/>
  <c r="I320" i="25"/>
  <c r="J319" i="25"/>
  <c r="I313" i="25"/>
  <c r="I312" i="25"/>
  <c r="J311" i="25"/>
  <c r="I305" i="25"/>
  <c r="I304" i="25"/>
  <c r="J303" i="25"/>
  <c r="I297" i="25"/>
  <c r="I296" i="25"/>
  <c r="J295" i="25"/>
  <c r="I289" i="25"/>
  <c r="I288" i="25"/>
  <c r="J287" i="25"/>
  <c r="I281" i="25"/>
  <c r="I280" i="25"/>
  <c r="J279" i="25"/>
  <c r="I277" i="25"/>
  <c r="I275" i="25"/>
  <c r="I273" i="25"/>
  <c r="I271" i="25"/>
  <c r="I269" i="25"/>
  <c r="I267" i="25"/>
  <c r="I265" i="25"/>
  <c r="I411" i="25"/>
  <c r="I404" i="25"/>
  <c r="I376" i="25"/>
  <c r="J375" i="25"/>
  <c r="J367" i="25"/>
  <c r="I362" i="25"/>
  <c r="J361" i="25"/>
  <c r="I358" i="25"/>
  <c r="J357" i="25"/>
  <c r="I354" i="25"/>
  <c r="J353" i="25"/>
  <c r="I350" i="25"/>
  <c r="J349" i="25"/>
  <c r="I346" i="25"/>
  <c r="J345" i="25"/>
  <c r="I341" i="25"/>
  <c r="I340" i="25"/>
  <c r="J339" i="25"/>
  <c r="I333" i="25"/>
  <c r="I332" i="25"/>
  <c r="J331" i="25"/>
  <c r="I325" i="25"/>
  <c r="I324" i="25"/>
  <c r="J323" i="25"/>
  <c r="I317" i="25"/>
  <c r="I316" i="25"/>
  <c r="J315" i="25"/>
  <c r="I309" i="25"/>
  <c r="I308" i="25"/>
  <c r="J307" i="25"/>
  <c r="I301" i="25"/>
  <c r="I300" i="25"/>
  <c r="J299" i="25"/>
  <c r="I293" i="25"/>
  <c r="I292" i="25"/>
  <c r="J291" i="25"/>
  <c r="I285" i="25"/>
  <c r="I284" i="25"/>
  <c r="J283" i="25"/>
  <c r="I278" i="25"/>
  <c r="I276" i="25"/>
  <c r="I274" i="25"/>
  <c r="I272" i="25"/>
  <c r="I270" i="25"/>
  <c r="I268" i="25"/>
  <c r="I266" i="25"/>
  <c r="I264" i="25"/>
  <c r="I262" i="25"/>
  <c r="I260" i="25"/>
  <c r="I258" i="25"/>
  <c r="I256" i="25"/>
  <c r="I254" i="25"/>
  <c r="I252" i="25"/>
  <c r="I250" i="25"/>
  <c r="I248" i="25"/>
  <c r="I246" i="25"/>
  <c r="I244" i="25"/>
  <c r="I242" i="25"/>
  <c r="I240" i="25"/>
  <c r="I238" i="25"/>
  <c r="I236" i="25"/>
  <c r="I234" i="25"/>
  <c r="I232" i="25"/>
  <c r="I230" i="25"/>
  <c r="I228" i="25"/>
  <c r="I226" i="25"/>
  <c r="J365" i="25"/>
  <c r="I326" i="25"/>
  <c r="J325" i="25"/>
  <c r="I319" i="25"/>
  <c r="I294" i="25"/>
  <c r="J293" i="25"/>
  <c r="I287" i="25"/>
  <c r="J272" i="25"/>
  <c r="J263" i="25"/>
  <c r="J258" i="25"/>
  <c r="I257" i="25"/>
  <c r="J255" i="25"/>
  <c r="J250" i="25"/>
  <c r="I249" i="25"/>
  <c r="J247" i="25"/>
  <c r="J242" i="25"/>
  <c r="I241" i="25"/>
  <c r="J239" i="25"/>
  <c r="J234" i="25"/>
  <c r="I233" i="25"/>
  <c r="J231" i="25"/>
  <c r="J226" i="25"/>
  <c r="I224" i="25"/>
  <c r="I222" i="25"/>
  <c r="I220" i="25"/>
  <c r="I218" i="25"/>
  <c r="I216" i="25"/>
  <c r="I214" i="25"/>
  <c r="I212" i="25"/>
  <c r="I210" i="25"/>
  <c r="I208" i="25"/>
  <c r="I206" i="25"/>
  <c r="I204" i="25"/>
  <c r="I202" i="25"/>
  <c r="I200" i="25"/>
  <c r="I198" i="25"/>
  <c r="I196" i="25"/>
  <c r="I194" i="25"/>
  <c r="I192" i="25"/>
  <c r="I190" i="25"/>
  <c r="I188" i="25"/>
  <c r="I186" i="25"/>
  <c r="I184" i="25"/>
  <c r="I182" i="25"/>
  <c r="I180" i="25"/>
  <c r="I178" i="25"/>
  <c r="I176" i="25"/>
  <c r="I174" i="25"/>
  <c r="I172" i="25"/>
  <c r="I170" i="25"/>
  <c r="I168" i="25"/>
  <c r="I166" i="25"/>
  <c r="I164" i="25"/>
  <c r="I162" i="25"/>
  <c r="I160" i="25"/>
  <c r="I158" i="25"/>
  <c r="I156" i="25"/>
  <c r="I154" i="25"/>
  <c r="I152" i="25"/>
  <c r="I150" i="25"/>
  <c r="I148" i="25"/>
  <c r="I146" i="25"/>
  <c r="I144" i="25"/>
  <c r="I142" i="25"/>
  <c r="I140" i="25"/>
  <c r="I138" i="25"/>
  <c r="I136" i="25"/>
  <c r="I134" i="25"/>
  <c r="I132" i="25"/>
  <c r="I130" i="25"/>
  <c r="I128" i="25"/>
  <c r="I126" i="25"/>
  <c r="I124" i="25"/>
  <c r="I122" i="25"/>
  <c r="I120" i="25"/>
  <c r="J373" i="25"/>
  <c r="I343" i="25"/>
  <c r="I318" i="25"/>
  <c r="J317" i="25"/>
  <c r="I311" i="25"/>
  <c r="I286" i="25"/>
  <c r="J285" i="25"/>
  <c r="I279" i="25"/>
  <c r="J274" i="25"/>
  <c r="J266" i="25"/>
  <c r="J264" i="25"/>
  <c r="I263" i="25"/>
  <c r="J261" i="25"/>
  <c r="J256" i="25"/>
  <c r="I255" i="25"/>
  <c r="J253" i="25"/>
  <c r="J248" i="25"/>
  <c r="I247" i="25"/>
  <c r="J245" i="25"/>
  <c r="J240" i="25"/>
  <c r="I239" i="25"/>
  <c r="J237" i="25"/>
  <c r="J232" i="25"/>
  <c r="I231" i="25"/>
  <c r="J229" i="25"/>
  <c r="J225" i="25"/>
  <c r="J223" i="25"/>
  <c r="J221" i="25"/>
  <c r="J383" i="25"/>
  <c r="I334" i="25"/>
  <c r="J333" i="25"/>
  <c r="I327" i="25"/>
  <c r="I302" i="25"/>
  <c r="J301" i="25"/>
  <c r="I295" i="25"/>
  <c r="J278" i="25"/>
  <c r="J270" i="25"/>
  <c r="J260" i="25"/>
  <c r="I259" i="25"/>
  <c r="J257" i="25"/>
  <c r="J252" i="25"/>
  <c r="I251" i="25"/>
  <c r="J249" i="25"/>
  <c r="J244" i="25"/>
  <c r="I243" i="25"/>
  <c r="J241" i="25"/>
  <c r="J236" i="25"/>
  <c r="I235" i="25"/>
  <c r="J233" i="25"/>
  <c r="J228" i="25"/>
  <c r="I227" i="25"/>
  <c r="J224" i="25"/>
  <c r="J222" i="25"/>
  <c r="J220" i="25"/>
  <c r="J218" i="25"/>
  <c r="J216" i="25"/>
  <c r="J214" i="25"/>
  <c r="J212" i="25"/>
  <c r="J210" i="25"/>
  <c r="J208" i="25"/>
  <c r="J206" i="25"/>
  <c r="J204" i="25"/>
  <c r="J202" i="25"/>
  <c r="J200" i="25"/>
  <c r="J198" i="25"/>
  <c r="J196" i="25"/>
  <c r="J194" i="25"/>
  <c r="J192" i="25"/>
  <c r="J190" i="25"/>
  <c r="J188" i="25"/>
  <c r="J186" i="25"/>
  <c r="J184" i="25"/>
  <c r="J182" i="25"/>
  <c r="J180" i="25"/>
  <c r="J178" i="25"/>
  <c r="J176" i="25"/>
  <c r="J174" i="25"/>
  <c r="J172" i="25"/>
  <c r="J170" i="25"/>
  <c r="J168" i="25"/>
  <c r="J166" i="25"/>
  <c r="J164" i="25"/>
  <c r="J162" i="25"/>
  <c r="J160" i="25"/>
  <c r="J158" i="25"/>
  <c r="J156" i="25"/>
  <c r="J154" i="25"/>
  <c r="J152" i="25"/>
  <c r="J150" i="25"/>
  <c r="J148" i="25"/>
  <c r="J146" i="25"/>
  <c r="J144" i="25"/>
  <c r="J142" i="25"/>
  <c r="J140" i="25"/>
  <c r="J138" i="25"/>
  <c r="J136" i="25"/>
  <c r="J134" i="25"/>
  <c r="J132" i="25"/>
  <c r="J130" i="25"/>
  <c r="J128" i="25"/>
  <c r="J126" i="25"/>
  <c r="J124" i="25"/>
  <c r="J122" i="25"/>
  <c r="J120" i="25"/>
  <c r="J118" i="25"/>
  <c r="J116" i="25"/>
  <c r="J114" i="25"/>
  <c r="J112" i="25"/>
  <c r="J110" i="25"/>
  <c r="J108" i="25"/>
  <c r="J106" i="25"/>
  <c r="J104" i="25"/>
  <c r="J102" i="25"/>
  <c r="J100" i="25"/>
  <c r="J98" i="25"/>
  <c r="J96" i="25"/>
  <c r="J94" i="25"/>
  <c r="J92" i="25"/>
  <c r="J90" i="25"/>
  <c r="J88" i="25"/>
  <c r="J86" i="25"/>
  <c r="J84" i="25"/>
  <c r="J82" i="25"/>
  <c r="J80" i="25"/>
  <c r="J78" i="25"/>
  <c r="J76" i="25"/>
  <c r="J74" i="25"/>
  <c r="J72" i="25"/>
  <c r="J70" i="25"/>
  <c r="J68" i="25"/>
  <c r="J66" i="25"/>
  <c r="J64" i="25"/>
  <c r="J62" i="25"/>
  <c r="J60" i="25"/>
  <c r="J58" i="25"/>
  <c r="J56" i="25"/>
  <c r="J54" i="25"/>
  <c r="J52" i="25"/>
  <c r="J50" i="25"/>
  <c r="J48" i="25"/>
  <c r="J46" i="25"/>
  <c r="J44" i="25"/>
  <c r="J42" i="25"/>
  <c r="J40" i="25"/>
  <c r="J38" i="25"/>
  <c r="J36" i="25"/>
  <c r="J34" i="25"/>
  <c r="J32" i="25"/>
  <c r="J30" i="25"/>
  <c r="J309" i="25"/>
  <c r="J276" i="25"/>
  <c r="I245" i="25"/>
  <c r="J243" i="25"/>
  <c r="J238" i="25"/>
  <c r="I217" i="25"/>
  <c r="I213" i="25"/>
  <c r="I209" i="25"/>
  <c r="I205" i="25"/>
  <c r="I201" i="25"/>
  <c r="I197" i="25"/>
  <c r="I193" i="25"/>
  <c r="I189" i="25"/>
  <c r="I185" i="25"/>
  <c r="I181" i="25"/>
  <c r="I177" i="25"/>
  <c r="I173" i="25"/>
  <c r="I169" i="25"/>
  <c r="I165" i="25"/>
  <c r="I161" i="25"/>
  <c r="I157" i="25"/>
  <c r="I153" i="25"/>
  <c r="I149" i="25"/>
  <c r="I145" i="25"/>
  <c r="I141" i="25"/>
  <c r="I137" i="25"/>
  <c r="I133" i="25"/>
  <c r="I129" i="25"/>
  <c r="I125" i="25"/>
  <c r="I121" i="25"/>
  <c r="J119" i="25"/>
  <c r="I113" i="25"/>
  <c r="I112" i="25"/>
  <c r="J111" i="25"/>
  <c r="I105" i="25"/>
  <c r="I104" i="25"/>
  <c r="J103" i="25"/>
  <c r="I97" i="25"/>
  <c r="I96" i="25"/>
  <c r="J95" i="25"/>
  <c r="I89" i="25"/>
  <c r="I88" i="25"/>
  <c r="J87" i="25"/>
  <c r="I81" i="25"/>
  <c r="I80" i="25"/>
  <c r="J79" i="25"/>
  <c r="I73" i="25"/>
  <c r="I72" i="25"/>
  <c r="J71" i="25"/>
  <c r="I65" i="25"/>
  <c r="I64" i="25"/>
  <c r="I49" i="25"/>
  <c r="I40" i="25"/>
  <c r="I26" i="25"/>
  <c r="I377" i="25"/>
  <c r="J262" i="25"/>
  <c r="I237" i="25"/>
  <c r="J235" i="25"/>
  <c r="J230" i="25"/>
  <c r="I221" i="25"/>
  <c r="J219" i="25"/>
  <c r="J215" i="25"/>
  <c r="J211" i="25"/>
  <c r="J207" i="25"/>
  <c r="J203" i="25"/>
  <c r="J199" i="25"/>
  <c r="J195" i="25"/>
  <c r="J191" i="25"/>
  <c r="J187" i="25"/>
  <c r="J183" i="25"/>
  <c r="J179" i="25"/>
  <c r="J175" i="25"/>
  <c r="J171" i="25"/>
  <c r="J167" i="25"/>
  <c r="J163" i="25"/>
  <c r="J159" i="25"/>
  <c r="J155" i="25"/>
  <c r="J151" i="25"/>
  <c r="J147" i="25"/>
  <c r="J143" i="25"/>
  <c r="J139" i="25"/>
  <c r="J135" i="25"/>
  <c r="J131" i="25"/>
  <c r="J127" i="25"/>
  <c r="J123" i="25"/>
  <c r="I119" i="25"/>
  <c r="I118" i="25"/>
  <c r="J117" i="25"/>
  <c r="I111" i="25"/>
  <c r="I110" i="25"/>
  <c r="J109" i="25"/>
  <c r="I103" i="25"/>
  <c r="I102" i="25"/>
  <c r="J101" i="25"/>
  <c r="I95" i="25"/>
  <c r="I94" i="25"/>
  <c r="J93" i="25"/>
  <c r="I87" i="25"/>
  <c r="I86" i="25"/>
  <c r="J85" i="25"/>
  <c r="I79" i="25"/>
  <c r="I78" i="25"/>
  <c r="J77" i="25"/>
  <c r="I71" i="25"/>
  <c r="I70" i="25"/>
  <c r="J69" i="25"/>
  <c r="I63" i="25"/>
  <c r="I62" i="25"/>
  <c r="J61" i="25"/>
  <c r="I55" i="25"/>
  <c r="I54" i="25"/>
  <c r="J53" i="25"/>
  <c r="I47" i="25"/>
  <c r="I46" i="25"/>
  <c r="J45" i="25"/>
  <c r="J341" i="25"/>
  <c r="I310" i="25"/>
  <c r="I303" i="25"/>
  <c r="J268" i="25"/>
  <c r="I253" i="25"/>
  <c r="J251" i="25"/>
  <c r="J246" i="25"/>
  <c r="I225" i="25"/>
  <c r="J217" i="25"/>
  <c r="J213" i="25"/>
  <c r="J209" i="25"/>
  <c r="J205" i="25"/>
  <c r="J201" i="25"/>
  <c r="J197" i="25"/>
  <c r="J193" i="25"/>
  <c r="J189" i="25"/>
  <c r="J185" i="25"/>
  <c r="J181" i="25"/>
  <c r="J177" i="25"/>
  <c r="J173" i="25"/>
  <c r="J169" i="25"/>
  <c r="J165" i="25"/>
  <c r="J161" i="25"/>
  <c r="J157" i="25"/>
  <c r="J153" i="25"/>
  <c r="J149" i="25"/>
  <c r="J145" i="25"/>
  <c r="J141" i="25"/>
  <c r="J137" i="25"/>
  <c r="J133" i="25"/>
  <c r="J129" i="25"/>
  <c r="J125" i="25"/>
  <c r="J121" i="25"/>
  <c r="I115" i="25"/>
  <c r="I114" i="25"/>
  <c r="J113" i="25"/>
  <c r="I107" i="25"/>
  <c r="I106" i="25"/>
  <c r="J105" i="25"/>
  <c r="I99" i="25"/>
  <c r="I98" i="25"/>
  <c r="J97" i="25"/>
  <c r="I91" i="25"/>
  <c r="I90" i="25"/>
  <c r="J89" i="25"/>
  <c r="I83" i="25"/>
  <c r="I82" i="25"/>
  <c r="J81" i="25"/>
  <c r="I75" i="25"/>
  <c r="I74" i="25"/>
  <c r="J73" i="25"/>
  <c r="I67" i="25"/>
  <c r="I66" i="25"/>
  <c r="J65" i="25"/>
  <c r="I59" i="25"/>
  <c r="I58" i="25"/>
  <c r="J57" i="25"/>
  <c r="I51" i="25"/>
  <c r="I50" i="25"/>
  <c r="J49" i="25"/>
  <c r="I43" i="25"/>
  <c r="I42" i="25"/>
  <c r="J41" i="25"/>
  <c r="I35" i="25"/>
  <c r="I34" i="25"/>
  <c r="J33" i="25"/>
  <c r="J28" i="25"/>
  <c r="J26" i="25"/>
  <c r="J24" i="25"/>
  <c r="J22" i="25"/>
  <c r="J20" i="25"/>
  <c r="J18" i="25"/>
  <c r="J16" i="25"/>
  <c r="J14" i="25"/>
  <c r="J63" i="25"/>
  <c r="I57" i="25"/>
  <c r="I56" i="25"/>
  <c r="J55" i="25"/>
  <c r="I48" i="25"/>
  <c r="J47" i="25"/>
  <c r="I41" i="25"/>
  <c r="J39" i="25"/>
  <c r="I33" i="25"/>
  <c r="I32" i="25"/>
  <c r="J31" i="25"/>
  <c r="I28" i="25"/>
  <c r="I261" i="25"/>
  <c r="J254" i="25"/>
  <c r="I223" i="25"/>
  <c r="I211" i="25"/>
  <c r="I195" i="25"/>
  <c r="I179" i="25"/>
  <c r="I163" i="25"/>
  <c r="I147" i="25"/>
  <c r="I131" i="25"/>
  <c r="I108" i="25"/>
  <c r="J107" i="25"/>
  <c r="I101" i="25"/>
  <c r="I76" i="25"/>
  <c r="J75" i="25"/>
  <c r="I69" i="25"/>
  <c r="I44" i="25"/>
  <c r="J43" i="25"/>
  <c r="I36" i="25"/>
  <c r="I30" i="25"/>
  <c r="J29" i="25"/>
  <c r="J27" i="25"/>
  <c r="I23" i="25"/>
  <c r="I22" i="25"/>
  <c r="I187" i="25"/>
  <c r="I155" i="25"/>
  <c r="I92" i="25"/>
  <c r="I85" i="25"/>
  <c r="J59" i="25"/>
  <c r="I18" i="25"/>
  <c r="I335" i="25"/>
  <c r="I229" i="25"/>
  <c r="I215" i="25"/>
  <c r="I199" i="25"/>
  <c r="I183" i="25"/>
  <c r="I167" i="25"/>
  <c r="I151" i="25"/>
  <c r="I135" i="25"/>
  <c r="I100" i="25"/>
  <c r="J99" i="25"/>
  <c r="I93" i="25"/>
  <c r="I68" i="25"/>
  <c r="J67" i="25"/>
  <c r="I61" i="25"/>
  <c r="I39" i="25"/>
  <c r="J35" i="25"/>
  <c r="I29" i="25"/>
  <c r="I27" i="25"/>
  <c r="I21" i="25"/>
  <c r="I20" i="25"/>
  <c r="J19" i="25"/>
  <c r="I342" i="25"/>
  <c r="J259" i="25"/>
  <c r="I203" i="25"/>
  <c r="I123" i="25"/>
  <c r="J91" i="25"/>
  <c r="I60" i="25"/>
  <c r="I38" i="25"/>
  <c r="J37" i="25"/>
  <c r="I19" i="25"/>
  <c r="I384" i="25"/>
  <c r="J227" i="25"/>
  <c r="I207" i="25"/>
  <c r="I191" i="25"/>
  <c r="I175" i="25"/>
  <c r="I159" i="25"/>
  <c r="I143" i="25"/>
  <c r="I127" i="25"/>
  <c r="I116" i="25"/>
  <c r="J115" i="25"/>
  <c r="I109" i="25"/>
  <c r="I84" i="25"/>
  <c r="J83" i="25"/>
  <c r="I77" i="25"/>
  <c r="I52" i="25"/>
  <c r="J51" i="25"/>
  <c r="I45" i="25"/>
  <c r="I37" i="25"/>
  <c r="I31" i="25"/>
  <c r="I25" i="25"/>
  <c r="I24" i="25"/>
  <c r="J23" i="25"/>
  <c r="I17" i="25"/>
  <c r="I16" i="25"/>
  <c r="J15" i="25"/>
  <c r="J21" i="25"/>
  <c r="I15" i="25"/>
  <c r="I14" i="25"/>
  <c r="J13" i="25"/>
  <c r="I13" i="25"/>
  <c r="I219" i="25"/>
  <c r="I171" i="25"/>
  <c r="I139" i="25"/>
  <c r="I117" i="25"/>
  <c r="I53" i="25"/>
  <c r="J25" i="25"/>
  <c r="J17" i="25"/>
  <c r="I628" i="25"/>
  <c r="J626" i="25"/>
  <c r="I626" i="25"/>
  <c r="J628" i="25"/>
  <c r="J623" i="25"/>
  <c r="I623" i="25"/>
  <c r="J622" i="25"/>
  <c r="I622" i="25"/>
  <c r="B355" i="2"/>
  <c r="F71" i="1"/>
  <c r="F70" i="1"/>
  <c r="A355" i="2"/>
  <c r="B220" i="2"/>
  <c r="B236" i="2"/>
  <c r="C5" i="17"/>
  <c r="E64" i="1"/>
  <c r="C4" i="17"/>
  <c r="D49" i="16" l="1"/>
  <c r="O625" i="25"/>
  <c r="P625" i="25"/>
  <c r="O624" i="25"/>
  <c r="P624" i="25"/>
  <c r="L625" i="25"/>
  <c r="D625" i="25"/>
  <c r="K625" i="25"/>
  <c r="C625" i="25"/>
  <c r="I625" i="25"/>
  <c r="E625" i="25"/>
  <c r="F625" i="25"/>
  <c r="J625" i="25"/>
  <c r="A629" i="25"/>
  <c r="A627" i="25"/>
  <c r="K624" i="25"/>
  <c r="C624" i="25"/>
  <c r="N624" i="25"/>
  <c r="J624" i="25"/>
  <c r="F624" i="25"/>
  <c r="L624" i="25"/>
  <c r="D624" i="25"/>
  <c r="E624" i="25"/>
  <c r="I624" i="25"/>
  <c r="C7" i="17"/>
  <c r="M81" i="17" s="1"/>
  <c r="F72" i="1"/>
  <c r="A629" i="17"/>
  <c r="A627" i="17"/>
  <c r="H627" i="17" s="1"/>
  <c r="J628" i="17"/>
  <c r="I628" i="17"/>
  <c r="K628" i="17"/>
  <c r="L628" i="17"/>
  <c r="J610" i="17"/>
  <c r="I613" i="17"/>
  <c r="J606" i="17"/>
  <c r="J602" i="17"/>
  <c r="J598" i="17"/>
  <c r="C634" i="17"/>
  <c r="I612" i="17"/>
  <c r="I608" i="17"/>
  <c r="I604" i="17"/>
  <c r="I600" i="17"/>
  <c r="I596" i="17"/>
  <c r="J592" i="17"/>
  <c r="J588" i="17"/>
  <c r="J584" i="17"/>
  <c r="J580" i="17"/>
  <c r="J576" i="17"/>
  <c r="J572" i="17"/>
  <c r="J568" i="17"/>
  <c r="J564" i="17"/>
  <c r="J560" i="17"/>
  <c r="J556" i="17"/>
  <c r="J552" i="17"/>
  <c r="J548" i="17"/>
  <c r="J544" i="17"/>
  <c r="J587" i="17"/>
  <c r="J579" i="17"/>
  <c r="J571" i="17"/>
  <c r="J563" i="17"/>
  <c r="J555" i="17"/>
  <c r="J547" i="17"/>
  <c r="J541" i="17"/>
  <c r="J537" i="17"/>
  <c r="J533" i="17"/>
  <c r="J529" i="17"/>
  <c r="J525" i="17"/>
  <c r="J521" i="17"/>
  <c r="I588" i="17"/>
  <c r="I580" i="17"/>
  <c r="I572" i="17"/>
  <c r="I564" i="17"/>
  <c r="I556" i="17"/>
  <c r="I548" i="17"/>
  <c r="J542" i="17"/>
  <c r="J538" i="17"/>
  <c r="J534" i="17"/>
  <c r="J530" i="17"/>
  <c r="J526" i="17"/>
  <c r="J522" i="17"/>
  <c r="I520" i="17"/>
  <c r="I515" i="17"/>
  <c r="I511" i="17"/>
  <c r="I507" i="17"/>
  <c r="I503" i="17"/>
  <c r="I499" i="17"/>
  <c r="I495" i="17"/>
  <c r="I491" i="17"/>
  <c r="I487" i="17"/>
  <c r="I483" i="17"/>
  <c r="I479" i="17"/>
  <c r="I475" i="17"/>
  <c r="I471" i="17"/>
  <c r="I467" i="17"/>
  <c r="I463" i="17"/>
  <c r="I459" i="17"/>
  <c r="I455" i="17"/>
  <c r="I451" i="17"/>
  <c r="I447" i="17"/>
  <c r="I443" i="17"/>
  <c r="I439" i="17"/>
  <c r="I435" i="17"/>
  <c r="I431" i="17"/>
  <c r="I427" i="17"/>
  <c r="I423" i="17"/>
  <c r="I419" i="17"/>
  <c r="I518" i="17"/>
  <c r="I514" i="17"/>
  <c r="I510" i="17"/>
  <c r="I506" i="17"/>
  <c r="I502" i="17"/>
  <c r="I498" i="17"/>
  <c r="I494" i="17"/>
  <c r="I490" i="17"/>
  <c r="I486" i="17"/>
  <c r="I482" i="17"/>
  <c r="I478" i="17"/>
  <c r="I474" i="17"/>
  <c r="I470" i="17"/>
  <c r="I466" i="17"/>
  <c r="I462" i="17"/>
  <c r="I458" i="17"/>
  <c r="I454" i="17"/>
  <c r="I450" i="17"/>
  <c r="I446" i="17"/>
  <c r="I442" i="17"/>
  <c r="I438" i="17"/>
  <c r="I434" i="17"/>
  <c r="I430" i="17"/>
  <c r="I426" i="17"/>
  <c r="I422" i="17"/>
  <c r="I418" i="17"/>
  <c r="I414" i="17"/>
  <c r="I410" i="17"/>
  <c r="I406" i="17"/>
  <c r="I402" i="17"/>
  <c r="I398" i="17"/>
  <c r="I394" i="17"/>
  <c r="I390" i="17"/>
  <c r="I386" i="17"/>
  <c r="I382" i="17"/>
  <c r="I378" i="17"/>
  <c r="I374" i="17"/>
  <c r="I370" i="17"/>
  <c r="I366" i="17"/>
  <c r="I362" i="17"/>
  <c r="I358" i="17"/>
  <c r="I354" i="17"/>
  <c r="I350" i="17"/>
  <c r="I346" i="17"/>
  <c r="I342" i="17"/>
  <c r="I338" i="17"/>
  <c r="I334" i="17"/>
  <c r="I330" i="17"/>
  <c r="I326" i="17"/>
  <c r="I322" i="17"/>
  <c r="I318" i="17"/>
  <c r="J416" i="17"/>
  <c r="J412" i="17"/>
  <c r="J408" i="17"/>
  <c r="J404" i="17"/>
  <c r="J400" i="17"/>
  <c r="J396" i="17"/>
  <c r="J392" i="17"/>
  <c r="J388" i="17"/>
  <c r="J384" i="17"/>
  <c r="J380" i="17"/>
  <c r="J376" i="17"/>
  <c r="J372" i="17"/>
  <c r="J368" i="17"/>
  <c r="J364" i="17"/>
  <c r="J360" i="17"/>
  <c r="J356" i="17"/>
  <c r="J352" i="17"/>
  <c r="J348" i="17"/>
  <c r="J344" i="17"/>
  <c r="J340" i="17"/>
  <c r="J336" i="17"/>
  <c r="J332" i="17"/>
  <c r="J328" i="17"/>
  <c r="J324" i="17"/>
  <c r="J320" i="17"/>
  <c r="J316" i="17"/>
  <c r="I312" i="17"/>
  <c r="I308" i="17"/>
  <c r="I304" i="17"/>
  <c r="I300" i="17"/>
  <c r="I296" i="17"/>
  <c r="I292" i="17"/>
  <c r="I288" i="17"/>
  <c r="I284" i="17"/>
  <c r="I280" i="17"/>
  <c r="I276" i="17"/>
  <c r="I272" i="17"/>
  <c r="I268" i="17"/>
  <c r="I264" i="17"/>
  <c r="I260" i="17"/>
  <c r="I256" i="17"/>
  <c r="I252" i="17"/>
  <c r="I248" i="17"/>
  <c r="I244" i="17"/>
  <c r="I240" i="17"/>
  <c r="I236" i="17"/>
  <c r="I232" i="17"/>
  <c r="I228" i="17"/>
  <c r="I224" i="17"/>
  <c r="I220" i="17"/>
  <c r="I216" i="17"/>
  <c r="I212" i="17"/>
  <c r="I208" i="17"/>
  <c r="I204" i="17"/>
  <c r="I200" i="17"/>
  <c r="I196" i="17"/>
  <c r="I192" i="17"/>
  <c r="I188" i="17"/>
  <c r="I184" i="17"/>
  <c r="I180" i="17"/>
  <c r="I176" i="17"/>
  <c r="I172" i="17"/>
  <c r="I168" i="17"/>
  <c r="I164" i="17"/>
  <c r="I160" i="17"/>
  <c r="I156" i="17"/>
  <c r="I152" i="17"/>
  <c r="I148" i="17"/>
  <c r="I144" i="17"/>
  <c r="I140" i="17"/>
  <c r="I136" i="17"/>
  <c r="I132" i="17"/>
  <c r="I128" i="17"/>
  <c r="I124" i="17"/>
  <c r="I120" i="17"/>
  <c r="I116" i="17"/>
  <c r="I112" i="17"/>
  <c r="I313" i="17"/>
  <c r="I309" i="17"/>
  <c r="I305" i="17"/>
  <c r="I301" i="17"/>
  <c r="I297" i="17"/>
  <c r="I293" i="17"/>
  <c r="I289" i="17"/>
  <c r="I285" i="17"/>
  <c r="I281" i="17"/>
  <c r="I277" i="17"/>
  <c r="I273" i="17"/>
  <c r="I269" i="17"/>
  <c r="I265" i="17"/>
  <c r="I261" i="17"/>
  <c r="I257" i="17"/>
  <c r="I253" i="17"/>
  <c r="I249" i="17"/>
  <c r="I245" i="17"/>
  <c r="I241" i="17"/>
  <c r="I237" i="17"/>
  <c r="I233" i="17"/>
  <c r="I229" i="17"/>
  <c r="I225" i="17"/>
  <c r="I221" i="17"/>
  <c r="I217" i="17"/>
  <c r="I213" i="17"/>
  <c r="I209" i="17"/>
  <c r="I205" i="17"/>
  <c r="I201" i="17"/>
  <c r="I197" i="17"/>
  <c r="I193" i="17"/>
  <c r="I189" i="17"/>
  <c r="I185" i="17"/>
  <c r="I181" i="17"/>
  <c r="I177" i="17"/>
  <c r="I173" i="17"/>
  <c r="I169" i="17"/>
  <c r="I165" i="17"/>
  <c r="I161" i="17"/>
  <c r="I157" i="17"/>
  <c r="I153" i="17"/>
  <c r="I149" i="17"/>
  <c r="I145" i="17"/>
  <c r="I141" i="17"/>
  <c r="I611" i="17"/>
  <c r="I605" i="17"/>
  <c r="I601" i="17"/>
  <c r="I597" i="17"/>
  <c r="W624" i="17"/>
  <c r="J611" i="17"/>
  <c r="J607" i="17"/>
  <c r="J603" i="17"/>
  <c r="J599" i="17"/>
  <c r="J612" i="17"/>
  <c r="J608" i="17"/>
  <c r="I609" i="17"/>
  <c r="J604" i="17"/>
  <c r="J600" i="17"/>
  <c r="J596" i="17"/>
  <c r="A624" i="17"/>
  <c r="I610" i="17"/>
  <c r="I606" i="17"/>
  <c r="I602" i="17"/>
  <c r="I598" i="17"/>
  <c r="J594" i="17"/>
  <c r="J590" i="17"/>
  <c r="J586" i="17"/>
  <c r="J582" i="17"/>
  <c r="J578" i="17"/>
  <c r="J574" i="17"/>
  <c r="J570" i="17"/>
  <c r="J566" i="17"/>
  <c r="J562" i="17"/>
  <c r="J558" i="17"/>
  <c r="J554" i="17"/>
  <c r="J550" i="17"/>
  <c r="J546" i="17"/>
  <c r="J591" i="17"/>
  <c r="J583" i="17"/>
  <c r="J575" i="17"/>
  <c r="J567" i="17"/>
  <c r="J559" i="17"/>
  <c r="J551" i="17"/>
  <c r="J543" i="17"/>
  <c r="J539" i="17"/>
  <c r="J535" i="17"/>
  <c r="J531" i="17"/>
  <c r="J527" i="17"/>
  <c r="J523" i="17"/>
  <c r="I592" i="17"/>
  <c r="I584" i="17"/>
  <c r="I576" i="17"/>
  <c r="I568" i="17"/>
  <c r="I560" i="17"/>
  <c r="I552" i="17"/>
  <c r="I544" i="17"/>
  <c r="J540" i="17"/>
  <c r="J536" i="17"/>
  <c r="J532" i="17"/>
  <c r="J528" i="17"/>
  <c r="J524" i="17"/>
  <c r="J520" i="17"/>
  <c r="I517" i="17"/>
  <c r="I513" i="17"/>
  <c r="I509" i="17"/>
  <c r="I505" i="17"/>
  <c r="I501" i="17"/>
  <c r="I497" i="17"/>
  <c r="I493" i="17"/>
  <c r="I489" i="17"/>
  <c r="I485" i="17"/>
  <c r="I481" i="17"/>
  <c r="I477" i="17"/>
  <c r="I473" i="17"/>
  <c r="I469" i="17"/>
  <c r="I465" i="17"/>
  <c r="I461" i="17"/>
  <c r="I457" i="17"/>
  <c r="I453" i="17"/>
  <c r="I449" i="17"/>
  <c r="I445" i="17"/>
  <c r="I441" i="17"/>
  <c r="I437" i="17"/>
  <c r="I433" i="17"/>
  <c r="I429" i="17"/>
  <c r="I425" i="17"/>
  <c r="I421" i="17"/>
  <c r="I417" i="17"/>
  <c r="I516" i="17"/>
  <c r="I512" i="17"/>
  <c r="I508" i="17"/>
  <c r="I504" i="17"/>
  <c r="I500" i="17"/>
  <c r="I496" i="17"/>
  <c r="I492" i="17"/>
  <c r="I488" i="17"/>
  <c r="I484" i="17"/>
  <c r="I480" i="17"/>
  <c r="I476" i="17"/>
  <c r="I472" i="17"/>
  <c r="I468" i="17"/>
  <c r="I464" i="17"/>
  <c r="I460" i="17"/>
  <c r="I456" i="17"/>
  <c r="I452" i="17"/>
  <c r="I448" i="17"/>
  <c r="I444" i="17"/>
  <c r="I440" i="17"/>
  <c r="I436" i="17"/>
  <c r="I432" i="17"/>
  <c r="I428" i="17"/>
  <c r="I424" i="17"/>
  <c r="I420" i="17"/>
  <c r="I416" i="17"/>
  <c r="I412" i="17"/>
  <c r="I408" i="17"/>
  <c r="I404" i="17"/>
  <c r="I400" i="17"/>
  <c r="I396" i="17"/>
  <c r="I392" i="17"/>
  <c r="I388" i="17"/>
  <c r="I384" i="17"/>
  <c r="I380" i="17"/>
  <c r="I376" i="17"/>
  <c r="I372" i="17"/>
  <c r="I368" i="17"/>
  <c r="I364" i="17"/>
  <c r="I360" i="17"/>
  <c r="I356" i="17"/>
  <c r="I352" i="17"/>
  <c r="I348" i="17"/>
  <c r="I344" i="17"/>
  <c r="I340" i="17"/>
  <c r="I336" i="17"/>
  <c r="I332" i="17"/>
  <c r="I328" i="17"/>
  <c r="I324" i="17"/>
  <c r="I320" i="17"/>
  <c r="I316" i="17"/>
  <c r="J414" i="17"/>
  <c r="J410" i="17"/>
  <c r="J406" i="17"/>
  <c r="J402" i="17"/>
  <c r="J398" i="17"/>
  <c r="J394" i="17"/>
  <c r="J390" i="17"/>
  <c r="J386" i="17"/>
  <c r="J382" i="17"/>
  <c r="J378" i="17"/>
  <c r="J374" i="17"/>
  <c r="J370" i="17"/>
  <c r="J366" i="17"/>
  <c r="J362" i="17"/>
  <c r="J358" i="17"/>
  <c r="J354" i="17"/>
  <c r="J350" i="17"/>
  <c r="J346" i="17"/>
  <c r="J342" i="17"/>
  <c r="J338" i="17"/>
  <c r="J334" i="17"/>
  <c r="J330" i="17"/>
  <c r="J326" i="17"/>
  <c r="J322" i="17"/>
  <c r="J318" i="17"/>
  <c r="I314" i="17"/>
  <c r="I310" i="17"/>
  <c r="I306" i="17"/>
  <c r="I302" i="17"/>
  <c r="I298" i="17"/>
  <c r="I294" i="17"/>
  <c r="I290" i="17"/>
  <c r="I286" i="17"/>
  <c r="I282" i="17"/>
  <c r="I278" i="17"/>
  <c r="I274" i="17"/>
  <c r="I270" i="17"/>
  <c r="I266" i="17"/>
  <c r="I262" i="17"/>
  <c r="I258" i="17"/>
  <c r="I254" i="17"/>
  <c r="I250" i="17"/>
  <c r="I246" i="17"/>
  <c r="I242" i="17"/>
  <c r="I238" i="17"/>
  <c r="I234" i="17"/>
  <c r="I230" i="17"/>
  <c r="I226" i="17"/>
  <c r="I222" i="17"/>
  <c r="I218" i="17"/>
  <c r="I214" i="17"/>
  <c r="I210" i="17"/>
  <c r="I206" i="17"/>
  <c r="I202" i="17"/>
  <c r="I198" i="17"/>
  <c r="I194" i="17"/>
  <c r="I190" i="17"/>
  <c r="I186" i="17"/>
  <c r="I182" i="17"/>
  <c r="I178" i="17"/>
  <c r="I174" i="17"/>
  <c r="I170" i="17"/>
  <c r="I166" i="17"/>
  <c r="I162" i="17"/>
  <c r="I158" i="17"/>
  <c r="I154" i="17"/>
  <c r="I150" i="17"/>
  <c r="I146" i="17"/>
  <c r="I142" i="17"/>
  <c r="I138" i="17"/>
  <c r="I134" i="17"/>
  <c r="I130" i="17"/>
  <c r="I126" i="17"/>
  <c r="I122" i="17"/>
  <c r="I118" i="17"/>
  <c r="I114" i="17"/>
  <c r="I110" i="17"/>
  <c r="I311" i="17"/>
  <c r="I307" i="17"/>
  <c r="I303" i="17"/>
  <c r="I299" i="17"/>
  <c r="I295" i="17"/>
  <c r="I291" i="17"/>
  <c r="I287" i="17"/>
  <c r="I283" i="17"/>
  <c r="I279" i="17"/>
  <c r="I275" i="17"/>
  <c r="I271" i="17"/>
  <c r="I267" i="17"/>
  <c r="I259" i="17"/>
  <c r="I251" i="17"/>
  <c r="I243" i="17"/>
  <c r="I235" i="17"/>
  <c r="I227" i="17"/>
  <c r="I219" i="17"/>
  <c r="I211" i="17"/>
  <c r="I203" i="17"/>
  <c r="I195" i="17"/>
  <c r="I187" i="17"/>
  <c r="I179" i="17"/>
  <c r="I171" i="17"/>
  <c r="I163" i="17"/>
  <c r="I155" i="17"/>
  <c r="I147" i="17"/>
  <c r="I139" i="17"/>
  <c r="I603" i="17"/>
  <c r="I595" i="17"/>
  <c r="J609" i="17"/>
  <c r="J601" i="17"/>
  <c r="J595" i="17"/>
  <c r="I591" i="17"/>
  <c r="I587" i="17"/>
  <c r="I583" i="17"/>
  <c r="I579" i="17"/>
  <c r="I575" i="17"/>
  <c r="I571" i="17"/>
  <c r="I567" i="17"/>
  <c r="I563" i="17"/>
  <c r="I559" i="17"/>
  <c r="I555" i="17"/>
  <c r="I551" i="17"/>
  <c r="I547" i="17"/>
  <c r="J593" i="17"/>
  <c r="J585" i="17"/>
  <c r="J577" i="17"/>
  <c r="J569" i="17"/>
  <c r="J561" i="17"/>
  <c r="J553" i="17"/>
  <c r="J545" i="17"/>
  <c r="I540" i="17"/>
  <c r="I536" i="17"/>
  <c r="I532" i="17"/>
  <c r="I528" i="17"/>
  <c r="I524" i="17"/>
  <c r="I594" i="17"/>
  <c r="I586" i="17"/>
  <c r="I578" i="17"/>
  <c r="I570" i="17"/>
  <c r="I562" i="17"/>
  <c r="I554" i="17"/>
  <c r="I546" i="17"/>
  <c r="I541" i="17"/>
  <c r="I537" i="17"/>
  <c r="I533" i="17"/>
  <c r="I529" i="17"/>
  <c r="I525" i="17"/>
  <c r="I521" i="17"/>
  <c r="J518" i="17"/>
  <c r="J514" i="17"/>
  <c r="J510" i="17"/>
  <c r="J506" i="17"/>
  <c r="J502" i="17"/>
  <c r="J498" i="17"/>
  <c r="J494" i="17"/>
  <c r="J490" i="17"/>
  <c r="J486" i="17"/>
  <c r="J482" i="17"/>
  <c r="J478" i="17"/>
  <c r="J474" i="17"/>
  <c r="J470" i="17"/>
  <c r="J466" i="17"/>
  <c r="J462" i="17"/>
  <c r="J458" i="17"/>
  <c r="J454" i="17"/>
  <c r="J450" i="17"/>
  <c r="J446" i="17"/>
  <c r="J442" i="17"/>
  <c r="J438" i="17"/>
  <c r="J434" i="17"/>
  <c r="J430" i="17"/>
  <c r="J426" i="17"/>
  <c r="J422" i="17"/>
  <c r="J418" i="17"/>
  <c r="J517" i="17"/>
  <c r="J513" i="17"/>
  <c r="J509" i="17"/>
  <c r="J505" i="17"/>
  <c r="J501" i="17"/>
  <c r="J497" i="17"/>
  <c r="J493" i="17"/>
  <c r="J489" i="17"/>
  <c r="J485" i="17"/>
  <c r="J481" i="17"/>
  <c r="J477" i="17"/>
  <c r="J473" i="17"/>
  <c r="J469" i="17"/>
  <c r="J465" i="17"/>
  <c r="J461" i="17"/>
  <c r="J457" i="17"/>
  <c r="J453" i="17"/>
  <c r="J449" i="17"/>
  <c r="J445" i="17"/>
  <c r="J441" i="17"/>
  <c r="J437" i="17"/>
  <c r="J433" i="17"/>
  <c r="J429" i="17"/>
  <c r="J425" i="17"/>
  <c r="J421" i="17"/>
  <c r="J417" i="17"/>
  <c r="J413" i="17"/>
  <c r="J409" i="17"/>
  <c r="J405" i="17"/>
  <c r="J401" i="17"/>
  <c r="J397" i="17"/>
  <c r="J393" i="17"/>
  <c r="J389" i="17"/>
  <c r="J385" i="17"/>
  <c r="J381" i="17"/>
  <c r="J377" i="17"/>
  <c r="J373" i="17"/>
  <c r="J369" i="17"/>
  <c r="J365" i="17"/>
  <c r="J361" i="17"/>
  <c r="J357" i="17"/>
  <c r="J353" i="17"/>
  <c r="J349" i="17"/>
  <c r="J345" i="17"/>
  <c r="J341" i="17"/>
  <c r="J337" i="17"/>
  <c r="J333" i="17"/>
  <c r="J329" i="17"/>
  <c r="J325" i="17"/>
  <c r="J321" i="17"/>
  <c r="J317" i="17"/>
  <c r="I415" i="17"/>
  <c r="I411" i="17"/>
  <c r="I407" i="17"/>
  <c r="I403" i="17"/>
  <c r="I399" i="17"/>
  <c r="I395" i="17"/>
  <c r="I391" i="17"/>
  <c r="I387" i="17"/>
  <c r="I383" i="17"/>
  <c r="I379" i="17"/>
  <c r="I375" i="17"/>
  <c r="I371" i="17"/>
  <c r="I367" i="17"/>
  <c r="I363" i="17"/>
  <c r="I359" i="17"/>
  <c r="I355" i="17"/>
  <c r="I351" i="17"/>
  <c r="I347" i="17"/>
  <c r="I343" i="17"/>
  <c r="I339" i="17"/>
  <c r="I335" i="17"/>
  <c r="I331" i="17"/>
  <c r="I327" i="17"/>
  <c r="I323" i="17"/>
  <c r="I319" i="17"/>
  <c r="I315" i="17"/>
  <c r="J311" i="17"/>
  <c r="J307" i="17"/>
  <c r="J303" i="17"/>
  <c r="J299" i="17"/>
  <c r="J295" i="17"/>
  <c r="J291" i="17"/>
  <c r="J287" i="17"/>
  <c r="J283" i="17"/>
  <c r="J279" i="17"/>
  <c r="J275" i="17"/>
  <c r="J271" i="17"/>
  <c r="J267" i="17"/>
  <c r="J263" i="17"/>
  <c r="J259" i="17"/>
  <c r="J255" i="17"/>
  <c r="J251" i="17"/>
  <c r="J247" i="17"/>
  <c r="J243" i="17"/>
  <c r="J239" i="17"/>
  <c r="J235" i="17"/>
  <c r="J231" i="17"/>
  <c r="J227" i="17"/>
  <c r="J223" i="17"/>
  <c r="J219" i="17"/>
  <c r="J215" i="17"/>
  <c r="J211" i="17"/>
  <c r="J207" i="17"/>
  <c r="J203" i="17"/>
  <c r="J199" i="17"/>
  <c r="J195" i="17"/>
  <c r="J191" i="17"/>
  <c r="J187" i="17"/>
  <c r="J183" i="17"/>
  <c r="J179" i="17"/>
  <c r="J175" i="17"/>
  <c r="J171" i="17"/>
  <c r="J167" i="17"/>
  <c r="J163" i="17"/>
  <c r="J159" i="17"/>
  <c r="J155" i="17"/>
  <c r="J151" i="17"/>
  <c r="J147" i="17"/>
  <c r="J143" i="17"/>
  <c r="J139" i="17"/>
  <c r="J135" i="17"/>
  <c r="J131" i="17"/>
  <c r="J127" i="17"/>
  <c r="J123" i="17"/>
  <c r="J119" i="17"/>
  <c r="J115" i="17"/>
  <c r="J111" i="17"/>
  <c r="J312" i="17"/>
  <c r="J308" i="17"/>
  <c r="J304" i="17"/>
  <c r="J300" i="17"/>
  <c r="J296" i="17"/>
  <c r="J292" i="17"/>
  <c r="J288" i="17"/>
  <c r="J284" i="17"/>
  <c r="J280" i="17"/>
  <c r="J276" i="17"/>
  <c r="J272" i="17"/>
  <c r="J268" i="17"/>
  <c r="J264" i="17"/>
  <c r="J260" i="17"/>
  <c r="J256" i="17"/>
  <c r="J252" i="17"/>
  <c r="J248" i="17"/>
  <c r="J244" i="17"/>
  <c r="J240" i="17"/>
  <c r="J236" i="17"/>
  <c r="J232" i="17"/>
  <c r="J228" i="17"/>
  <c r="J224" i="17"/>
  <c r="J220" i="17"/>
  <c r="J216" i="17"/>
  <c r="J212" i="17"/>
  <c r="J208" i="17"/>
  <c r="J204" i="17"/>
  <c r="J200" i="17"/>
  <c r="J196" i="17"/>
  <c r="J192" i="17"/>
  <c r="J188" i="17"/>
  <c r="J184" i="17"/>
  <c r="J180" i="17"/>
  <c r="J176" i="17"/>
  <c r="J172" i="17"/>
  <c r="J168" i="17"/>
  <c r="J164" i="17"/>
  <c r="J160" i="17"/>
  <c r="J156" i="17"/>
  <c r="J152" i="17"/>
  <c r="J148" i="17"/>
  <c r="J144" i="17"/>
  <c r="J140" i="17"/>
  <c r="J136" i="17"/>
  <c r="J132" i="17"/>
  <c r="J128" i="17"/>
  <c r="J124" i="17"/>
  <c r="J120" i="17"/>
  <c r="J116" i="17"/>
  <c r="J112" i="17"/>
  <c r="I135" i="17"/>
  <c r="I127" i="17"/>
  <c r="I119" i="17"/>
  <c r="I111" i="17"/>
  <c r="J16" i="17"/>
  <c r="J20" i="17"/>
  <c r="J24" i="17"/>
  <c r="J28" i="17"/>
  <c r="J32" i="17"/>
  <c r="J36" i="17"/>
  <c r="J40" i="17"/>
  <c r="J44" i="17"/>
  <c r="J48" i="17"/>
  <c r="J52" i="17"/>
  <c r="J56" i="17"/>
  <c r="J60" i="17"/>
  <c r="J64" i="17"/>
  <c r="J68" i="17"/>
  <c r="J72" i="17"/>
  <c r="J76" i="17"/>
  <c r="J80" i="17"/>
  <c r="J84" i="17"/>
  <c r="J88" i="17"/>
  <c r="J92" i="17"/>
  <c r="J96" i="17"/>
  <c r="J100" i="17"/>
  <c r="J104" i="17"/>
  <c r="J108" i="17"/>
  <c r="I133" i="17"/>
  <c r="I125" i="17"/>
  <c r="I117" i="17"/>
  <c r="I13" i="17"/>
  <c r="I17" i="17"/>
  <c r="I21" i="17"/>
  <c r="I25" i="17"/>
  <c r="I29" i="17"/>
  <c r="I33" i="17"/>
  <c r="I37" i="17"/>
  <c r="I41" i="17"/>
  <c r="I45" i="17"/>
  <c r="I49" i="17"/>
  <c r="I53" i="17"/>
  <c r="I57" i="17"/>
  <c r="I61" i="17"/>
  <c r="I65" i="17"/>
  <c r="I69" i="17"/>
  <c r="I73" i="17"/>
  <c r="I77" i="17"/>
  <c r="I81" i="17"/>
  <c r="I85" i="17"/>
  <c r="I89" i="17"/>
  <c r="I93" i="17"/>
  <c r="I97" i="17"/>
  <c r="I101" i="17"/>
  <c r="I105" i="17"/>
  <c r="I109" i="17"/>
  <c r="I106" i="17"/>
  <c r="I102" i="17"/>
  <c r="I98" i="17"/>
  <c r="I94" i="17"/>
  <c r="I90" i="17"/>
  <c r="I86" i="17"/>
  <c r="I82" i="17"/>
  <c r="I78" i="17"/>
  <c r="I74" i="17"/>
  <c r="I70" i="17"/>
  <c r="I66" i="17"/>
  <c r="I62" i="17"/>
  <c r="I58" i="17"/>
  <c r="I54" i="17"/>
  <c r="I50" i="17"/>
  <c r="I46" i="17"/>
  <c r="I42" i="17"/>
  <c r="I38" i="17"/>
  <c r="I34" i="17"/>
  <c r="I30" i="17"/>
  <c r="I26" i="17"/>
  <c r="I22" i="17"/>
  <c r="I18" i="17"/>
  <c r="I14" i="17"/>
  <c r="J107" i="17"/>
  <c r="J103" i="17"/>
  <c r="J99" i="17"/>
  <c r="J95" i="17"/>
  <c r="J91" i="17"/>
  <c r="J87" i="17"/>
  <c r="J83" i="17"/>
  <c r="J79" i="17"/>
  <c r="J75" i="17"/>
  <c r="J71" i="17"/>
  <c r="J67" i="17"/>
  <c r="J63" i="17"/>
  <c r="J59" i="17"/>
  <c r="J55" i="17"/>
  <c r="J51" i="17"/>
  <c r="J47" i="17"/>
  <c r="J43" i="17"/>
  <c r="J39" i="17"/>
  <c r="J35" i="17"/>
  <c r="J31" i="17"/>
  <c r="J27" i="17"/>
  <c r="J23" i="17"/>
  <c r="J19" i="17"/>
  <c r="J15" i="17"/>
  <c r="I622" i="17"/>
  <c r="J626" i="17"/>
  <c r="I623" i="17"/>
  <c r="I263" i="17"/>
  <c r="I255" i="17"/>
  <c r="I247" i="17"/>
  <c r="I239" i="17"/>
  <c r="I231" i="17"/>
  <c r="I223" i="17"/>
  <c r="I215" i="17"/>
  <c r="I207" i="17"/>
  <c r="I199" i="17"/>
  <c r="I191" i="17"/>
  <c r="I183" i="17"/>
  <c r="I175" i="17"/>
  <c r="I167" i="17"/>
  <c r="I159" i="17"/>
  <c r="I151" i="17"/>
  <c r="I143" i="17"/>
  <c r="I607" i="17"/>
  <c r="I599" i="17"/>
  <c r="J613" i="17"/>
  <c r="J605" i="17"/>
  <c r="J597" i="17"/>
  <c r="I593" i="17"/>
  <c r="I589" i="17"/>
  <c r="I585" i="17"/>
  <c r="I581" i="17"/>
  <c r="I577" i="17"/>
  <c r="I573" i="17"/>
  <c r="I569" i="17"/>
  <c r="I565" i="17"/>
  <c r="I561" i="17"/>
  <c r="I557" i="17"/>
  <c r="I553" i="17"/>
  <c r="I549" i="17"/>
  <c r="I545" i="17"/>
  <c r="J589" i="17"/>
  <c r="J581" i="17"/>
  <c r="J573" i="17"/>
  <c r="J565" i="17"/>
  <c r="J557" i="17"/>
  <c r="J549" i="17"/>
  <c r="I542" i="17"/>
  <c r="I538" i="17"/>
  <c r="I534" i="17"/>
  <c r="I530" i="17"/>
  <c r="I526" i="17"/>
  <c r="I522" i="17"/>
  <c r="I590" i="17"/>
  <c r="I582" i="17"/>
  <c r="I574" i="17"/>
  <c r="I566" i="17"/>
  <c r="I558" i="17"/>
  <c r="I550" i="17"/>
  <c r="I543" i="17"/>
  <c r="I539" i="17"/>
  <c r="I535" i="17"/>
  <c r="I531" i="17"/>
  <c r="I527" i="17"/>
  <c r="I523" i="17"/>
  <c r="I519" i="17"/>
  <c r="J516" i="17"/>
  <c r="J512" i="17"/>
  <c r="J508" i="17"/>
  <c r="J504" i="17"/>
  <c r="J500" i="17"/>
  <c r="J496" i="17"/>
  <c r="J492" i="17"/>
  <c r="J488" i="17"/>
  <c r="J484" i="17"/>
  <c r="J480" i="17"/>
  <c r="J476" i="17"/>
  <c r="J472" i="17"/>
  <c r="J468" i="17"/>
  <c r="J464" i="17"/>
  <c r="J460" i="17"/>
  <c r="J456" i="17"/>
  <c r="J452" i="17"/>
  <c r="J448" i="17"/>
  <c r="J444" i="17"/>
  <c r="J440" i="17"/>
  <c r="J436" i="17"/>
  <c r="J432" i="17"/>
  <c r="J428" i="17"/>
  <c r="J424" i="17"/>
  <c r="J420" i="17"/>
  <c r="J519" i="17"/>
  <c r="J515" i="17"/>
  <c r="J511" i="17"/>
  <c r="J507" i="17"/>
  <c r="J503" i="17"/>
  <c r="J499" i="17"/>
  <c r="J495" i="17"/>
  <c r="J491" i="17"/>
  <c r="J487" i="17"/>
  <c r="J483" i="17"/>
  <c r="J479" i="17"/>
  <c r="J475" i="17"/>
  <c r="J471" i="17"/>
  <c r="J467" i="17"/>
  <c r="J463" i="17"/>
  <c r="J459" i="17"/>
  <c r="J455" i="17"/>
  <c r="J451" i="17"/>
  <c r="J447" i="17"/>
  <c r="J443" i="17"/>
  <c r="J439" i="17"/>
  <c r="J435" i="17"/>
  <c r="J431" i="17"/>
  <c r="J427" i="17"/>
  <c r="J423" i="17"/>
  <c r="J419" i="17"/>
  <c r="J415" i="17"/>
  <c r="J411" i="17"/>
  <c r="J407" i="17"/>
  <c r="J403" i="17"/>
  <c r="J399" i="17"/>
  <c r="J395" i="17"/>
  <c r="J391" i="17"/>
  <c r="J387" i="17"/>
  <c r="J383" i="17"/>
  <c r="J379" i="17"/>
  <c r="J375" i="17"/>
  <c r="J371" i="17"/>
  <c r="J367" i="17"/>
  <c r="J363" i="17"/>
  <c r="J359" i="17"/>
  <c r="J355" i="17"/>
  <c r="J351" i="17"/>
  <c r="J347" i="17"/>
  <c r="J343" i="17"/>
  <c r="J339" i="17"/>
  <c r="J335" i="17"/>
  <c r="J331" i="17"/>
  <c r="J327" i="17"/>
  <c r="J323" i="17"/>
  <c r="J319" i="17"/>
  <c r="J315" i="17"/>
  <c r="I413" i="17"/>
  <c r="I409" i="17"/>
  <c r="I405" i="17"/>
  <c r="I401" i="17"/>
  <c r="I397" i="17"/>
  <c r="I393" i="17"/>
  <c r="I385" i="17"/>
  <c r="I377" i="17"/>
  <c r="I369" i="17"/>
  <c r="I361" i="17"/>
  <c r="I353" i="17"/>
  <c r="I345" i="17"/>
  <c r="I337" i="17"/>
  <c r="I329" i="17"/>
  <c r="I321" i="17"/>
  <c r="J313" i="17"/>
  <c r="J305" i="17"/>
  <c r="J297" i="17"/>
  <c r="J289" i="17"/>
  <c r="J281" i="17"/>
  <c r="J273" i="17"/>
  <c r="J265" i="17"/>
  <c r="J257" i="17"/>
  <c r="J249" i="17"/>
  <c r="J241" i="17"/>
  <c r="J233" i="17"/>
  <c r="J225" i="17"/>
  <c r="J217" i="17"/>
  <c r="J209" i="17"/>
  <c r="J201" i="17"/>
  <c r="J193" i="17"/>
  <c r="J185" i="17"/>
  <c r="J177" i="17"/>
  <c r="J169" i="17"/>
  <c r="J161" i="17"/>
  <c r="J153" i="17"/>
  <c r="J145" i="17"/>
  <c r="J137" i="17"/>
  <c r="J129" i="17"/>
  <c r="J121" i="17"/>
  <c r="J113" i="17"/>
  <c r="J310" i="17"/>
  <c r="J302" i="17"/>
  <c r="J294" i="17"/>
  <c r="J286" i="17"/>
  <c r="J278" i="17"/>
  <c r="J270" i="17"/>
  <c r="J262" i="17"/>
  <c r="J254" i="17"/>
  <c r="J246" i="17"/>
  <c r="J238" i="17"/>
  <c r="J230" i="17"/>
  <c r="J222" i="17"/>
  <c r="J214" i="17"/>
  <c r="J206" i="17"/>
  <c r="J198" i="17"/>
  <c r="J190" i="17"/>
  <c r="J182" i="17"/>
  <c r="J174" i="17"/>
  <c r="J166" i="17"/>
  <c r="J158" i="17"/>
  <c r="J150" i="17"/>
  <c r="J142" i="17"/>
  <c r="J134" i="17"/>
  <c r="J126" i="17"/>
  <c r="J118" i="17"/>
  <c r="J110" i="17"/>
  <c r="I123" i="17"/>
  <c r="J14" i="17"/>
  <c r="J22" i="17"/>
  <c r="J30" i="17"/>
  <c r="J38" i="17"/>
  <c r="J46" i="17"/>
  <c r="J54" i="17"/>
  <c r="J62" i="17"/>
  <c r="J70" i="17"/>
  <c r="J78" i="17"/>
  <c r="J86" i="17"/>
  <c r="J94" i="17"/>
  <c r="J102" i="17"/>
  <c r="I137" i="17"/>
  <c r="I121" i="17"/>
  <c r="I15" i="17"/>
  <c r="I23" i="17"/>
  <c r="I31" i="17"/>
  <c r="I39" i="17"/>
  <c r="I47" i="17"/>
  <c r="I55" i="17"/>
  <c r="I63" i="17"/>
  <c r="I71" i="17"/>
  <c r="I79" i="17"/>
  <c r="I87" i="17"/>
  <c r="I95" i="17"/>
  <c r="I103" i="17"/>
  <c r="I108" i="17"/>
  <c r="I100" i="17"/>
  <c r="I92" i="17"/>
  <c r="I84" i="17"/>
  <c r="I76" i="17"/>
  <c r="I68" i="17"/>
  <c r="I60" i="17"/>
  <c r="I52" i="17"/>
  <c r="I44" i="17"/>
  <c r="I36" i="17"/>
  <c r="I28" i="17"/>
  <c r="I20" i="17"/>
  <c r="J109" i="17"/>
  <c r="J101" i="17"/>
  <c r="J93" i="17"/>
  <c r="J85" i="17"/>
  <c r="J77" i="17"/>
  <c r="J69" i="17"/>
  <c r="J61" i="17"/>
  <c r="J53" i="17"/>
  <c r="J45" i="17"/>
  <c r="J37" i="17"/>
  <c r="J29" i="17"/>
  <c r="J21" i="17"/>
  <c r="J13" i="17"/>
  <c r="I626" i="17"/>
  <c r="J622" i="17"/>
  <c r="I389" i="17"/>
  <c r="I381" i="17"/>
  <c r="I373" i="17"/>
  <c r="I365" i="17"/>
  <c r="I357" i="17"/>
  <c r="I349" i="17"/>
  <c r="I341" i="17"/>
  <c r="I333" i="17"/>
  <c r="I325" i="17"/>
  <c r="I317" i="17"/>
  <c r="J309" i="17"/>
  <c r="J301" i="17"/>
  <c r="J293" i="17"/>
  <c r="J285" i="17"/>
  <c r="J277" i="17"/>
  <c r="J269" i="17"/>
  <c r="J261" i="17"/>
  <c r="J253" i="17"/>
  <c r="J245" i="17"/>
  <c r="J237" i="17"/>
  <c r="J229" i="17"/>
  <c r="J221" i="17"/>
  <c r="J213" i="17"/>
  <c r="J205" i="17"/>
  <c r="J197" i="17"/>
  <c r="J189" i="17"/>
  <c r="J181" i="17"/>
  <c r="J173" i="17"/>
  <c r="J165" i="17"/>
  <c r="J157" i="17"/>
  <c r="J149" i="17"/>
  <c r="J141" i="17"/>
  <c r="J133" i="17"/>
  <c r="J125" i="17"/>
  <c r="J117" i="17"/>
  <c r="J314" i="17"/>
  <c r="J306" i="17"/>
  <c r="J298" i="17"/>
  <c r="J290" i="17"/>
  <c r="J282" i="17"/>
  <c r="J274" i="17"/>
  <c r="J266" i="17"/>
  <c r="J258" i="17"/>
  <c r="J250" i="17"/>
  <c r="J242" i="17"/>
  <c r="J234" i="17"/>
  <c r="J226" i="17"/>
  <c r="J218" i="17"/>
  <c r="J210" i="17"/>
  <c r="J202" i="17"/>
  <c r="J194" i="17"/>
  <c r="J186" i="17"/>
  <c r="J178" i="17"/>
  <c r="J170" i="17"/>
  <c r="J162" i="17"/>
  <c r="J154" i="17"/>
  <c r="J146" i="17"/>
  <c r="J138" i="17"/>
  <c r="J130" i="17"/>
  <c r="J122" i="17"/>
  <c r="J114" i="17"/>
  <c r="I131" i="17"/>
  <c r="I115" i="17"/>
  <c r="J18" i="17"/>
  <c r="J26" i="17"/>
  <c r="J34" i="17"/>
  <c r="J42" i="17"/>
  <c r="J50" i="17"/>
  <c r="J58" i="17"/>
  <c r="J66" i="17"/>
  <c r="J74" i="17"/>
  <c r="J82" i="17"/>
  <c r="J90" i="17"/>
  <c r="J98" i="17"/>
  <c r="J106" i="17"/>
  <c r="I129" i="17"/>
  <c r="I113" i="17"/>
  <c r="I19" i="17"/>
  <c r="I27" i="17"/>
  <c r="I35" i="17"/>
  <c r="I43" i="17"/>
  <c r="I51" i="17"/>
  <c r="I59" i="17"/>
  <c r="I67" i="17"/>
  <c r="I75" i="17"/>
  <c r="I83" i="17"/>
  <c r="I91" i="17"/>
  <c r="I99" i="17"/>
  <c r="I107" i="17"/>
  <c r="I104" i="17"/>
  <c r="I96" i="17"/>
  <c r="I88" i="17"/>
  <c r="I80" i="17"/>
  <c r="I72" i="17"/>
  <c r="I64" i="17"/>
  <c r="I56" i="17"/>
  <c r="I48" i="17"/>
  <c r="I40" i="17"/>
  <c r="I32" i="17"/>
  <c r="I24" i="17"/>
  <c r="I16" i="17"/>
  <c r="J105" i="17"/>
  <c r="J97" i="17"/>
  <c r="J89" i="17"/>
  <c r="J81" i="17"/>
  <c r="J73" i="17"/>
  <c r="J65" i="17"/>
  <c r="J57" i="17"/>
  <c r="J49" i="17"/>
  <c r="J41" i="17"/>
  <c r="J33" i="17"/>
  <c r="J25" i="17"/>
  <c r="J17" i="17"/>
  <c r="J623" i="17"/>
  <c r="L610" i="17"/>
  <c r="K379" i="17"/>
  <c r="L386" i="17"/>
  <c r="L123" i="17"/>
  <c r="W625" i="17"/>
  <c r="L200" i="17"/>
  <c r="K207" i="17"/>
  <c r="K453" i="17"/>
  <c r="L66" i="17"/>
  <c r="K95" i="17"/>
  <c r="L264" i="17"/>
  <c r="K315" i="17"/>
  <c r="K271" i="17"/>
  <c r="L322" i="17"/>
  <c r="K532" i="17"/>
  <c r="L535" i="17"/>
  <c r="L34" i="17"/>
  <c r="K56" i="17"/>
  <c r="K63" i="17"/>
  <c r="L168" i="17"/>
  <c r="L296" i="17"/>
  <c r="L219" i="17"/>
  <c r="K347" i="17"/>
  <c r="K175" i="17"/>
  <c r="K303" i="17"/>
  <c r="K226" i="17"/>
  <c r="L354" i="17"/>
  <c r="K492" i="17"/>
  <c r="L570" i="17"/>
  <c r="L495" i="17"/>
  <c r="K573" i="17"/>
  <c r="L82" i="17"/>
  <c r="L18" i="17"/>
  <c r="K80" i="17"/>
  <c r="K48" i="17"/>
  <c r="L13" i="17"/>
  <c r="K47" i="17"/>
  <c r="L120" i="17"/>
  <c r="L184" i="17"/>
  <c r="L248" i="17"/>
  <c r="L312" i="17"/>
  <c r="L171" i="17"/>
  <c r="L235" i="17"/>
  <c r="L299" i="17"/>
  <c r="K363" i="17"/>
  <c r="K127" i="17"/>
  <c r="K191" i="17"/>
  <c r="K255" i="17"/>
  <c r="K114" i="17"/>
  <c r="K178" i="17"/>
  <c r="K242" i="17"/>
  <c r="K306" i="17"/>
  <c r="L370" i="17"/>
  <c r="K396" i="17"/>
  <c r="K421" i="17"/>
  <c r="L553" i="17"/>
  <c r="K602" i="17"/>
  <c r="L399" i="17"/>
  <c r="L424" i="17"/>
  <c r="L559" i="17"/>
  <c r="L605" i="17"/>
  <c r="L90" i="17"/>
  <c r="L58" i="17"/>
  <c r="L26" i="17"/>
  <c r="K100" i="17"/>
  <c r="K84" i="17"/>
  <c r="K68" i="17"/>
  <c r="K52" i="17"/>
  <c r="K36" i="17"/>
  <c r="K20" i="17"/>
  <c r="K87" i="17"/>
  <c r="K55" i="17"/>
  <c r="K23" i="17"/>
  <c r="K115" i="17"/>
  <c r="L144" i="17"/>
  <c r="L176" i="17"/>
  <c r="L208" i="17"/>
  <c r="L240" i="17"/>
  <c r="L272" i="17"/>
  <c r="L304" i="17"/>
  <c r="L131" i="17"/>
  <c r="L163" i="17"/>
  <c r="L195" i="17"/>
  <c r="L227" i="17"/>
  <c r="L259" i="17"/>
  <c r="L291" i="17"/>
  <c r="K323" i="17"/>
  <c r="K355" i="17"/>
  <c r="K387" i="17"/>
  <c r="K330" i="17"/>
  <c r="K151" i="17"/>
  <c r="K183" i="17"/>
  <c r="K215" i="17"/>
  <c r="K247" i="17"/>
  <c r="K279" i="17"/>
  <c r="K311" i="17"/>
  <c r="K138" i="17"/>
  <c r="K170" i="17"/>
  <c r="K202" i="17"/>
  <c r="K234" i="17"/>
  <c r="K266" i="17"/>
  <c r="K298" i="17"/>
  <c r="L330" i="17"/>
  <c r="L362" i="17"/>
  <c r="L402" i="17"/>
  <c r="K380" i="17"/>
  <c r="K444" i="17"/>
  <c r="K508" i="17"/>
  <c r="K469" i="17"/>
  <c r="L532" i="17"/>
  <c r="K552" i="17"/>
  <c r="L586" i="17"/>
  <c r="L319" i="17"/>
  <c r="L383" i="17"/>
  <c r="L447" i="17"/>
  <c r="L511" i="17"/>
  <c r="L472" i="17"/>
  <c r="K535" i="17"/>
  <c r="K558" i="17"/>
  <c r="K589" i="17"/>
  <c r="K623" i="17"/>
  <c r="L102" i="17"/>
  <c r="L86" i="17"/>
  <c r="L70" i="17"/>
  <c r="L54" i="17"/>
  <c r="L38" i="17"/>
  <c r="L22" i="17"/>
  <c r="K106" i="17"/>
  <c r="K98" i="17"/>
  <c r="K90" i="17"/>
  <c r="K82" i="17"/>
  <c r="K74" i="17"/>
  <c r="K66" i="17"/>
  <c r="K58" i="17"/>
  <c r="K50" i="17"/>
  <c r="K42" i="17"/>
  <c r="K34" i="17"/>
  <c r="K26" i="17"/>
  <c r="L17" i="17"/>
  <c r="K99" i="17"/>
  <c r="K83" i="17"/>
  <c r="K67" i="17"/>
  <c r="K51" i="17"/>
  <c r="K35" i="17"/>
  <c r="K19" i="17"/>
  <c r="L112" i="17"/>
  <c r="L116" i="17"/>
  <c r="L132" i="17"/>
  <c r="L148" i="17"/>
  <c r="L164" i="17"/>
  <c r="L180" i="17"/>
  <c r="L196" i="17"/>
  <c r="L212" i="17"/>
  <c r="L228" i="17"/>
  <c r="L244" i="17"/>
  <c r="L260" i="17"/>
  <c r="L276" i="17"/>
  <c r="L292" i="17"/>
  <c r="L308" i="17"/>
  <c r="L119" i="17"/>
  <c r="L135" i="17"/>
  <c r="L151" i="17"/>
  <c r="L167" i="17"/>
  <c r="L183" i="17"/>
  <c r="L199" i="17"/>
  <c r="L215" i="17"/>
  <c r="L231" i="17"/>
  <c r="L247" i="17"/>
  <c r="L263" i="17"/>
  <c r="L279" i="17"/>
  <c r="L295" i="17"/>
  <c r="L311" i="17"/>
  <c r="K327" i="17"/>
  <c r="K343" i="17"/>
  <c r="K359" i="17"/>
  <c r="K375" i="17"/>
  <c r="K391" i="17"/>
  <c r="L408" i="17"/>
  <c r="K123" i="17"/>
  <c r="K139" i="17"/>
  <c r="K155" i="17"/>
  <c r="K171" i="17"/>
  <c r="K187" i="17"/>
  <c r="K203" i="17"/>
  <c r="K219" i="17"/>
  <c r="K235" i="17"/>
  <c r="K251" i="17"/>
  <c r="K267" i="17"/>
  <c r="K283" i="17"/>
  <c r="K299" i="17"/>
  <c r="K110" i="17"/>
  <c r="K126" i="17"/>
  <c r="K142" i="17"/>
  <c r="K158" i="17"/>
  <c r="K174" i="17"/>
  <c r="K190" i="17"/>
  <c r="K206" i="17"/>
  <c r="K222" i="17"/>
  <c r="K238" i="17"/>
  <c r="K254" i="17"/>
  <c r="K270" i="17"/>
  <c r="K286" i="17"/>
  <c r="K302" i="17"/>
  <c r="L318" i="17"/>
  <c r="L334" i="17"/>
  <c r="L350" i="17"/>
  <c r="L366" i="17"/>
  <c r="L382" i="17"/>
  <c r="L414" i="17"/>
  <c r="K356" i="17"/>
  <c r="K388" i="17"/>
  <c r="K420" i="17"/>
  <c r="K452" i="17"/>
  <c r="K484" i="17"/>
  <c r="K516" i="17"/>
  <c r="K445" i="17"/>
  <c r="K477" i="17"/>
  <c r="K509" i="17"/>
  <c r="L540" i="17"/>
  <c r="K524" i="17"/>
  <c r="K568" i="17"/>
  <c r="L562" i="17"/>
  <c r="L594" i="17"/>
  <c r="K607" i="17"/>
  <c r="L327" i="17"/>
  <c r="L359" i="17"/>
  <c r="L391" i="17"/>
  <c r="L423" i="17"/>
  <c r="L455" i="17"/>
  <c r="L487" i="17"/>
  <c r="K520" i="17"/>
  <c r="L448" i="17"/>
  <c r="L480" i="17"/>
  <c r="L512" i="17"/>
  <c r="K543" i="17"/>
  <c r="L527" i="17"/>
  <c r="K574" i="17"/>
  <c r="K565" i="17"/>
  <c r="L597" i="17"/>
  <c r="C635" i="17"/>
  <c r="L608" i="17"/>
  <c r="L600" i="17"/>
  <c r="L611" i="17"/>
  <c r="L603" i="17"/>
  <c r="L595" i="17"/>
  <c r="K587" i="17"/>
  <c r="K579" i="17"/>
  <c r="K571" i="17"/>
  <c r="K563" i="17"/>
  <c r="K555" i="17"/>
  <c r="K547" i="17"/>
  <c r="K586" i="17"/>
  <c r="K570" i="17"/>
  <c r="K554" i="17"/>
  <c r="L541" i="17"/>
  <c r="L533" i="17"/>
  <c r="K31" i="17"/>
  <c r="K104" i="17"/>
  <c r="K130" i="17"/>
  <c r="K40" i="17"/>
  <c r="L251" i="17"/>
  <c r="K258" i="17"/>
  <c r="L456" i="17"/>
  <c r="K72" i="17"/>
  <c r="L136" i="17"/>
  <c r="L187" i="17"/>
  <c r="K143" i="17"/>
  <c r="K194" i="17"/>
  <c r="K428" i="17"/>
  <c r="L431" i="17"/>
  <c r="L98" i="17"/>
  <c r="K88" i="17"/>
  <c r="K24" i="17"/>
  <c r="K117" i="17"/>
  <c r="L232" i="17"/>
  <c r="L155" i="17"/>
  <c r="L283" i="17"/>
  <c r="L416" i="17"/>
  <c r="K239" i="17"/>
  <c r="K162" i="17"/>
  <c r="K290" i="17"/>
  <c r="K364" i="17"/>
  <c r="K517" i="17"/>
  <c r="L367" i="17"/>
  <c r="K519" i="17"/>
  <c r="K626" i="17"/>
  <c r="L50" i="17"/>
  <c r="K96" i="17"/>
  <c r="K64" i="17"/>
  <c r="K32" i="17"/>
  <c r="K79" i="17"/>
  <c r="K15" i="17"/>
  <c r="L152" i="17"/>
  <c r="L216" i="17"/>
  <c r="L280" i="17"/>
  <c r="L139" i="17"/>
  <c r="L203" i="17"/>
  <c r="L267" i="17"/>
  <c r="K331" i="17"/>
  <c r="K395" i="17"/>
  <c r="K159" i="17"/>
  <c r="K223" i="17"/>
  <c r="K287" i="17"/>
  <c r="K146" i="17"/>
  <c r="K210" i="17"/>
  <c r="K274" i="17"/>
  <c r="L338" i="17"/>
  <c r="K328" i="17"/>
  <c r="K460" i="17"/>
  <c r="K485" i="17"/>
  <c r="K584" i="17"/>
  <c r="L335" i="17"/>
  <c r="L463" i="17"/>
  <c r="L488" i="17"/>
  <c r="K590" i="17"/>
  <c r="L106" i="17"/>
  <c r="L74" i="17"/>
  <c r="L42" i="17"/>
  <c r="K108" i="17"/>
  <c r="K92" i="17"/>
  <c r="K76" i="17"/>
  <c r="K60" i="17"/>
  <c r="K44" i="17"/>
  <c r="K28" i="17"/>
  <c r="K103" i="17"/>
  <c r="K71" i="17"/>
  <c r="K39" i="17"/>
  <c r="K14" i="17"/>
  <c r="L128" i="17"/>
  <c r="L160" i="17"/>
  <c r="L192" i="17"/>
  <c r="L224" i="17"/>
  <c r="L256" i="17"/>
  <c r="L288" i="17"/>
  <c r="L115" i="17"/>
  <c r="L147" i="17"/>
  <c r="L179" i="17"/>
  <c r="L211" i="17"/>
  <c r="L243" i="17"/>
  <c r="L275" i="17"/>
  <c r="L307" i="17"/>
  <c r="K339" i="17"/>
  <c r="K371" i="17"/>
  <c r="K403" i="17"/>
  <c r="K135" i="17"/>
  <c r="K167" i="17"/>
  <c r="K199" i="17"/>
  <c r="K231" i="17"/>
  <c r="K263" i="17"/>
  <c r="K295" i="17"/>
  <c r="K122" i="17"/>
  <c r="K154" i="17"/>
  <c r="K186" i="17"/>
  <c r="K218" i="17"/>
  <c r="K250" i="17"/>
  <c r="K282" i="17"/>
  <c r="K314" i="17"/>
  <c r="L346" i="17"/>
  <c r="L378" i="17"/>
  <c r="K348" i="17"/>
  <c r="K412" i="17"/>
  <c r="K476" i="17"/>
  <c r="K437" i="17"/>
  <c r="K501" i="17"/>
  <c r="L585" i="17"/>
  <c r="L554" i="17"/>
  <c r="K599" i="17"/>
  <c r="L351" i="17"/>
  <c r="L415" i="17"/>
  <c r="L479" i="17"/>
  <c r="L440" i="17"/>
  <c r="L504" i="17"/>
  <c r="L591" i="17"/>
  <c r="K557" i="17"/>
  <c r="L602" i="17"/>
  <c r="L622" i="17"/>
  <c r="L94" i="17"/>
  <c r="L78" i="17"/>
  <c r="L62" i="17"/>
  <c r="L46" i="17"/>
  <c r="L30" i="17"/>
  <c r="L14" i="17"/>
  <c r="K102" i="17"/>
  <c r="K94" i="17"/>
  <c r="K86" i="17"/>
  <c r="K78" i="17"/>
  <c r="K70" i="17"/>
  <c r="K62" i="17"/>
  <c r="K54" i="17"/>
  <c r="K46" i="17"/>
  <c r="K38" i="17"/>
  <c r="K30" i="17"/>
  <c r="K22" i="17"/>
  <c r="K107" i="17"/>
  <c r="K91" i="17"/>
  <c r="K75" i="17"/>
  <c r="K59" i="17"/>
  <c r="K43" i="17"/>
  <c r="K27" i="17"/>
  <c r="K18" i="17"/>
  <c r="K111" i="17"/>
  <c r="L124" i="17"/>
  <c r="L140" i="17"/>
  <c r="L156" i="17"/>
  <c r="L172" i="17"/>
  <c r="L188" i="17"/>
  <c r="L204" i="17"/>
  <c r="L220" i="17"/>
  <c r="L236" i="17"/>
  <c r="L252" i="17"/>
  <c r="L268" i="17"/>
  <c r="L284" i="17"/>
  <c r="L300" i="17"/>
  <c r="L111" i="17"/>
  <c r="L127" i="17"/>
  <c r="L143" i="17"/>
  <c r="L159" i="17"/>
  <c r="L175" i="17"/>
  <c r="L191" i="17"/>
  <c r="L207" i="17"/>
  <c r="L223" i="17"/>
  <c r="L239" i="17"/>
  <c r="L255" i="17"/>
  <c r="L271" i="17"/>
  <c r="L287" i="17"/>
  <c r="L303" i="17"/>
  <c r="K319" i="17"/>
  <c r="K335" i="17"/>
  <c r="K351" i="17"/>
  <c r="K367" i="17"/>
  <c r="K383" i="17"/>
  <c r="K399" i="17"/>
  <c r="K322" i="17"/>
  <c r="K131" i="17"/>
  <c r="K147" i="17"/>
  <c r="K163" i="17"/>
  <c r="K179" i="17"/>
  <c r="K195" i="17"/>
  <c r="K211" i="17"/>
  <c r="K227" i="17"/>
  <c r="K243" i="17"/>
  <c r="K259" i="17"/>
  <c r="K275" i="17"/>
  <c r="K291" i="17"/>
  <c r="K307" i="17"/>
  <c r="K118" i="17"/>
  <c r="K134" i="17"/>
  <c r="K150" i="17"/>
  <c r="K166" i="17"/>
  <c r="K182" i="17"/>
  <c r="K198" i="17"/>
  <c r="K214" i="17"/>
  <c r="K230" i="17"/>
  <c r="K246" i="17"/>
  <c r="K262" i="17"/>
  <c r="K278" i="17"/>
  <c r="K294" i="17"/>
  <c r="K310" i="17"/>
  <c r="L326" i="17"/>
  <c r="L342" i="17"/>
  <c r="L358" i="17"/>
  <c r="L374" i="17"/>
  <c r="L394" i="17"/>
  <c r="K340" i="17"/>
  <c r="K372" i="17"/>
  <c r="K404" i="17"/>
  <c r="K436" i="17"/>
  <c r="K468" i="17"/>
  <c r="K500" i="17"/>
  <c r="K429" i="17"/>
  <c r="K461" i="17"/>
  <c r="K493" i="17"/>
  <c r="L524" i="17"/>
  <c r="L569" i="17"/>
  <c r="K540" i="17"/>
  <c r="L546" i="17"/>
  <c r="L578" i="17"/>
  <c r="K610" i="17"/>
  <c r="K413" i="17"/>
  <c r="L343" i="17"/>
  <c r="L375" i="17"/>
  <c r="L407" i="17"/>
  <c r="L439" i="17"/>
  <c r="L471" i="17"/>
  <c r="L503" i="17"/>
  <c r="L432" i="17"/>
  <c r="L464" i="17"/>
  <c r="L496" i="17"/>
  <c r="K527" i="17"/>
  <c r="L575" i="17"/>
  <c r="L543" i="17"/>
  <c r="K549" i="17"/>
  <c r="K581" i="17"/>
  <c r="L613" i="17"/>
  <c r="L612" i="17"/>
  <c r="L604" i="17"/>
  <c r="L596" i="17"/>
  <c r="L607" i="17"/>
  <c r="L599" i="17"/>
  <c r="K591" i="17"/>
  <c r="K583" i="17"/>
  <c r="K575" i="17"/>
  <c r="K567" i="17"/>
  <c r="K559" i="17"/>
  <c r="K551" i="17"/>
  <c r="K594" i="17"/>
  <c r="K578" i="17"/>
  <c r="K562" i="17"/>
  <c r="K546" i="17"/>
  <c r="L537" i="17"/>
  <c r="L529" i="17"/>
  <c r="L521" i="17"/>
  <c r="L525" i="17"/>
  <c r="L579" i="17"/>
  <c r="L563" i="17"/>
  <c r="L547" i="17"/>
  <c r="K537" i="17"/>
  <c r="K529" i="17"/>
  <c r="K521" i="17"/>
  <c r="L514" i="17"/>
  <c r="L506" i="17"/>
  <c r="L498" i="17"/>
  <c r="L490" i="17"/>
  <c r="L482" i="17"/>
  <c r="L474" i="17"/>
  <c r="L466" i="17"/>
  <c r="L458" i="17"/>
  <c r="L450" i="17"/>
  <c r="L442" i="17"/>
  <c r="L434" i="17"/>
  <c r="L426" i="17"/>
  <c r="L418" i="17"/>
  <c r="L513" i="17"/>
  <c r="L505" i="17"/>
  <c r="L497" i="17"/>
  <c r="L489" i="17"/>
  <c r="L481" i="17"/>
  <c r="L473" i="17"/>
  <c r="L465" i="17"/>
  <c r="L457" i="17"/>
  <c r="L449" i="17"/>
  <c r="L441" i="17"/>
  <c r="L433" i="17"/>
  <c r="L425" i="17"/>
  <c r="L417" i="17"/>
  <c r="L409" i="17"/>
  <c r="L401" i="17"/>
  <c r="L393" i="17"/>
  <c r="L385" i="17"/>
  <c r="L377" i="17"/>
  <c r="L369" i="17"/>
  <c r="L361" i="17"/>
  <c r="L353" i="17"/>
  <c r="L345" i="17"/>
  <c r="L337" i="17"/>
  <c r="L329" i="17"/>
  <c r="L321" i="17"/>
  <c r="K415" i="17"/>
  <c r="K407" i="17"/>
  <c r="K609" i="17"/>
  <c r="K601" i="17"/>
  <c r="K612" i="17"/>
  <c r="K604" i="17"/>
  <c r="K596" i="17"/>
  <c r="L588" i="17"/>
  <c r="L580" i="17"/>
  <c r="L572" i="17"/>
  <c r="L564" i="17"/>
  <c r="L556" i="17"/>
  <c r="L548" i="17"/>
  <c r="K588" i="17"/>
  <c r="K572" i="17"/>
  <c r="K556" i="17"/>
  <c r="K542" i="17"/>
  <c r="K534" i="17"/>
  <c r="K526" i="17"/>
  <c r="L589" i="17"/>
  <c r="L573" i="17"/>
  <c r="L557" i="17"/>
  <c r="L542" i="17"/>
  <c r="L534" i="17"/>
  <c r="L526" i="17"/>
  <c r="L518" i="17"/>
  <c r="K511" i="17"/>
  <c r="K503" i="17"/>
  <c r="K495" i="17"/>
  <c r="K487" i="17"/>
  <c r="K479" i="17"/>
  <c r="K471" i="17"/>
  <c r="K463" i="17"/>
  <c r="K455" i="17"/>
  <c r="K447" i="17"/>
  <c r="K439" i="17"/>
  <c r="K431" i="17"/>
  <c r="K423" i="17"/>
  <c r="K518" i="17"/>
  <c r="K510" i="17"/>
  <c r="K502" i="17"/>
  <c r="K494" i="17"/>
  <c r="K486" i="17"/>
  <c r="K478" i="17"/>
  <c r="K470" i="17"/>
  <c r="K462" i="17"/>
  <c r="K454" i="17"/>
  <c r="K446" i="17"/>
  <c r="K438" i="17"/>
  <c r="K430" i="17"/>
  <c r="K422" i="17"/>
  <c r="K414" i="17"/>
  <c r="K406" i="17"/>
  <c r="K398" i="17"/>
  <c r="K390" i="17"/>
  <c r="K382" i="17"/>
  <c r="K374" i="17"/>
  <c r="K366" i="17"/>
  <c r="K358" i="17"/>
  <c r="K350" i="17"/>
  <c r="K342" i="17"/>
  <c r="K332" i="17"/>
  <c r="K316" i="17"/>
  <c r="L404" i="17"/>
  <c r="L396" i="17"/>
  <c r="L388" i="17"/>
  <c r="L626" i="17"/>
  <c r="L108" i="17"/>
  <c r="L100" i="17"/>
  <c r="L92" i="17"/>
  <c r="L84" i="17"/>
  <c r="L76" i="17"/>
  <c r="L68" i="17"/>
  <c r="L60" i="17"/>
  <c r="L52" i="17"/>
  <c r="L44" i="17"/>
  <c r="L36" i="17"/>
  <c r="L28" i="17"/>
  <c r="L20" i="17"/>
  <c r="L109" i="17"/>
  <c r="L105" i="17"/>
  <c r="L101" i="17"/>
  <c r="L97" i="17"/>
  <c r="L93" i="17"/>
  <c r="L89" i="17"/>
  <c r="L85" i="17"/>
  <c r="L81" i="17"/>
  <c r="L77" i="17"/>
  <c r="L73" i="17"/>
  <c r="L69" i="17"/>
  <c r="L65" i="17"/>
  <c r="L61" i="17"/>
  <c r="L57" i="17"/>
  <c r="L53" i="17"/>
  <c r="L49" i="17"/>
  <c r="L45" i="17"/>
  <c r="L41" i="17"/>
  <c r="L37" i="17"/>
  <c r="L33" i="17"/>
  <c r="L29" i="17"/>
  <c r="L25" i="17"/>
  <c r="L21" i="17"/>
  <c r="L15" i="17"/>
  <c r="K105" i="17"/>
  <c r="K97" i="17"/>
  <c r="K89" i="17"/>
  <c r="K81" i="17"/>
  <c r="K73" i="17"/>
  <c r="K65" i="17"/>
  <c r="K57" i="17"/>
  <c r="K49" i="17"/>
  <c r="K41" i="17"/>
  <c r="K33" i="17"/>
  <c r="K25" i="17"/>
  <c r="K17" i="17"/>
  <c r="K16" i="17"/>
  <c r="L114" i="17"/>
  <c r="K113" i="17"/>
  <c r="L118" i="17"/>
  <c r="L126" i="17"/>
  <c r="L134" i="17"/>
  <c r="L142" i="17"/>
  <c r="L150" i="17"/>
  <c r="L158" i="17"/>
  <c r="L166" i="17"/>
  <c r="L174" i="17"/>
  <c r="L182" i="17"/>
  <c r="L190" i="17"/>
  <c r="L198" i="17"/>
  <c r="L206" i="17"/>
  <c r="L214" i="17"/>
  <c r="L222" i="17"/>
  <c r="L230" i="17"/>
  <c r="L238" i="17"/>
  <c r="L246" i="17"/>
  <c r="L254" i="17"/>
  <c r="L262" i="17"/>
  <c r="L270" i="17"/>
  <c r="L278" i="17"/>
  <c r="L286" i="17"/>
  <c r="L294" i="17"/>
  <c r="L302" i="17"/>
  <c r="L310" i="17"/>
  <c r="L113" i="17"/>
  <c r="L121" i="17"/>
  <c r="L129" i="17"/>
  <c r="L137" i="17"/>
  <c r="L145" i="17"/>
  <c r="L153" i="17"/>
  <c r="L161" i="17"/>
  <c r="L169" i="17"/>
  <c r="L177" i="17"/>
  <c r="L185" i="17"/>
  <c r="L193" i="17"/>
  <c r="L201" i="17"/>
  <c r="L209" i="17"/>
  <c r="L217" i="17"/>
  <c r="L225" i="17"/>
  <c r="L233" i="17"/>
  <c r="L241" i="17"/>
  <c r="L249" i="17"/>
  <c r="L257" i="17"/>
  <c r="L265" i="17"/>
  <c r="L273" i="17"/>
  <c r="L281" i="17"/>
  <c r="L289" i="17"/>
  <c r="L297" i="17"/>
  <c r="L305" i="17"/>
  <c r="L313" i="17"/>
  <c r="K321" i="17"/>
  <c r="K329" i="17"/>
  <c r="K337" i="17"/>
  <c r="K345" i="17"/>
  <c r="K353" i="17"/>
  <c r="K361" i="17"/>
  <c r="K369" i="17"/>
  <c r="K377" i="17"/>
  <c r="K385" i="17"/>
  <c r="K393" i="17"/>
  <c r="K401" i="17"/>
  <c r="L412" i="17"/>
  <c r="K326" i="17"/>
  <c r="K125" i="17"/>
  <c r="K133" i="17"/>
  <c r="K141" i="17"/>
  <c r="K149" i="17"/>
  <c r="K157" i="17"/>
  <c r="K165" i="17"/>
  <c r="K173" i="17"/>
  <c r="K181" i="17"/>
  <c r="K189" i="17"/>
  <c r="K197" i="17"/>
  <c r="K205" i="17"/>
  <c r="K213" i="17"/>
  <c r="K221" i="17"/>
  <c r="K229" i="17"/>
  <c r="K237" i="17"/>
  <c r="K245" i="17"/>
  <c r="K253" i="17"/>
  <c r="K261" i="17"/>
  <c r="K269" i="17"/>
  <c r="K277" i="17"/>
  <c r="K285" i="17"/>
  <c r="K293" i="17"/>
  <c r="K301" i="17"/>
  <c r="K309" i="17"/>
  <c r="K112" i="17"/>
  <c r="K120" i="17"/>
  <c r="K128" i="17"/>
  <c r="K136" i="17"/>
  <c r="K144" i="17"/>
  <c r="K152" i="17"/>
  <c r="K160" i="17"/>
  <c r="K168" i="17"/>
  <c r="K176" i="17"/>
  <c r="K184" i="17"/>
  <c r="K192" i="17"/>
  <c r="K200" i="17"/>
  <c r="K208" i="17"/>
  <c r="K216" i="17"/>
  <c r="K224" i="17"/>
  <c r="K232" i="17"/>
  <c r="K240" i="17"/>
  <c r="K248" i="17"/>
  <c r="K256" i="17"/>
  <c r="K264" i="17"/>
  <c r="K272" i="17"/>
  <c r="K280" i="17"/>
  <c r="K288" i="17"/>
  <c r="K296" i="17"/>
  <c r="K304" i="17"/>
  <c r="K312" i="17"/>
  <c r="L320" i="17"/>
  <c r="L328" i="17"/>
  <c r="L336" i="17"/>
  <c r="L344" i="17"/>
  <c r="L352" i="17"/>
  <c r="L360" i="17"/>
  <c r="L368" i="17"/>
  <c r="L376" i="17"/>
  <c r="L384" i="17"/>
  <c r="L398" i="17"/>
  <c r="K320" i="17"/>
  <c r="K344" i="17"/>
  <c r="K360" i="17"/>
  <c r="K376" i="17"/>
  <c r="K392" i="17"/>
  <c r="K408" i="17"/>
  <c r="K424" i="17"/>
  <c r="K440" i="17"/>
  <c r="K456" i="17"/>
  <c r="K472" i="17"/>
  <c r="K488" i="17"/>
  <c r="K504" i="17"/>
  <c r="K417" i="17"/>
  <c r="K433" i="17"/>
  <c r="K449" i="17"/>
  <c r="K465" i="17"/>
  <c r="K481" i="17"/>
  <c r="K497" i="17"/>
  <c r="K513" i="17"/>
  <c r="L528" i="17"/>
  <c r="L545" i="17"/>
  <c r="L577" i="17"/>
  <c r="K528" i="17"/>
  <c r="K544" i="17"/>
  <c r="K576" i="17"/>
  <c r="L550" i="17"/>
  <c r="L566" i="17"/>
  <c r="L582" i="17"/>
  <c r="K598" i="17"/>
  <c r="K595" i="17"/>
  <c r="K611" i="17"/>
  <c r="L315" i="17"/>
  <c r="L331" i="17"/>
  <c r="L347" i="17"/>
  <c r="L363" i="17"/>
  <c r="L379" i="17"/>
  <c r="L395" i="17"/>
  <c r="L411" i="17"/>
  <c r="L427" i="17"/>
  <c r="L443" i="17"/>
  <c r="L459" i="17"/>
  <c r="L475" i="17"/>
  <c r="L491" i="17"/>
  <c r="L507" i="17"/>
  <c r="L420" i="17"/>
  <c r="L436" i="17"/>
  <c r="L452" i="17"/>
  <c r="L468" i="17"/>
  <c r="L484" i="17"/>
  <c r="L500" i="17"/>
  <c r="L516" i="17"/>
  <c r="K531" i="17"/>
  <c r="L551" i="17"/>
  <c r="L583" i="17"/>
  <c r="L531" i="17"/>
  <c r="K550" i="17"/>
  <c r="K582" i="17"/>
  <c r="K553" i="17"/>
  <c r="K569" i="17"/>
  <c r="K585" i="17"/>
  <c r="L601" i="17"/>
  <c r="L598" i="17"/>
  <c r="A625" i="17"/>
  <c r="L587" i="17"/>
  <c r="L571" i="17"/>
  <c r="L555" i="17"/>
  <c r="K541" i="17"/>
  <c r="K533" i="17"/>
  <c r="K525" i="17"/>
  <c r="L519" i="17"/>
  <c r="L510" i="17"/>
  <c r="L502" i="17"/>
  <c r="L494" i="17"/>
  <c r="L486" i="17"/>
  <c r="L478" i="17"/>
  <c r="L470" i="17"/>
  <c r="L462" i="17"/>
  <c r="L454" i="17"/>
  <c r="L446" i="17"/>
  <c r="L438" i="17"/>
  <c r="L430" i="17"/>
  <c r="L422" i="17"/>
  <c r="L517" i="17"/>
  <c r="L509" i="17"/>
  <c r="L501" i="17"/>
  <c r="L493" i="17"/>
  <c r="L485" i="17"/>
  <c r="L477" i="17"/>
  <c r="L469" i="17"/>
  <c r="L461" i="17"/>
  <c r="L453" i="17"/>
  <c r="L445" i="17"/>
  <c r="L437" i="17"/>
  <c r="L429" i="17"/>
  <c r="L421" i="17"/>
  <c r="L413" i="17"/>
  <c r="L405" i="17"/>
  <c r="L397" i="17"/>
  <c r="L389" i="17"/>
  <c r="L381" i="17"/>
  <c r="L373" i="17"/>
  <c r="L365" i="17"/>
  <c r="L357" i="17"/>
  <c r="L349" i="17"/>
  <c r="L341" i="17"/>
  <c r="L333" i="17"/>
  <c r="L325" i="17"/>
  <c r="L317" i="17"/>
  <c r="K411" i="17"/>
  <c r="K613" i="17"/>
  <c r="K605" i="17"/>
  <c r="K597" i="17"/>
  <c r="K608" i="17"/>
  <c r="K600" i="17"/>
  <c r="L592" i="17"/>
  <c r="L584" i="17"/>
  <c r="L576" i="17"/>
  <c r="L568" i="17"/>
  <c r="L560" i="17"/>
  <c r="L552" i="17"/>
  <c r="L544" i="17"/>
  <c r="K580" i="17"/>
  <c r="K564" i="17"/>
  <c r="K548" i="17"/>
  <c r="K538" i="17"/>
  <c r="K530" i="17"/>
  <c r="K522" i="17"/>
  <c r="L581" i="17"/>
  <c r="L565" i="17"/>
  <c r="L549" i="17"/>
  <c r="L538" i="17"/>
  <c r="L530" i="17"/>
  <c r="L522" i="17"/>
  <c r="K515" i="17"/>
  <c r="K507" i="17"/>
  <c r="K499" i="17"/>
  <c r="K491" i="17"/>
  <c r="K483" i="17"/>
  <c r="K475" i="17"/>
  <c r="K467" i="17"/>
  <c r="K459" i="17"/>
  <c r="K451" i="17"/>
  <c r="K443" i="17"/>
  <c r="K435" i="17"/>
  <c r="K427" i="17"/>
  <c r="K419" i="17"/>
  <c r="K514" i="17"/>
  <c r="K506" i="17"/>
  <c r="K498" i="17"/>
  <c r="K490" i="17"/>
  <c r="K482" i="17"/>
  <c r="K474" i="17"/>
  <c r="K466" i="17"/>
  <c r="K458" i="17"/>
  <c r="K450" i="17"/>
  <c r="K442" i="17"/>
  <c r="K434" i="17"/>
  <c r="K426" i="17"/>
  <c r="K418" i="17"/>
  <c r="K410" i="17"/>
  <c r="K402" i="17"/>
  <c r="K394" i="17"/>
  <c r="K386" i="17"/>
  <c r="K378" i="17"/>
  <c r="K370" i="17"/>
  <c r="K362" i="17"/>
  <c r="K354" i="17"/>
  <c r="K346" i="17"/>
  <c r="K338" i="17"/>
  <c r="K324" i="17"/>
  <c r="L410" i="17"/>
  <c r="L400" i="17"/>
  <c r="L392" i="17"/>
  <c r="L623" i="17"/>
  <c r="K622" i="17"/>
  <c r="L104" i="17"/>
  <c r="L96" i="17"/>
  <c r="L88" i="17"/>
  <c r="L80" i="17"/>
  <c r="L72" i="17"/>
  <c r="L64" i="17"/>
  <c r="L56" i="17"/>
  <c r="L48" i="17"/>
  <c r="L40" i="17"/>
  <c r="L32" i="17"/>
  <c r="L24" i="17"/>
  <c r="L16" i="17"/>
  <c r="L107" i="17"/>
  <c r="L103" i="17"/>
  <c r="L99" i="17"/>
  <c r="L95" i="17"/>
  <c r="L91" i="17"/>
  <c r="L87" i="17"/>
  <c r="L83" i="17"/>
  <c r="L79" i="17"/>
  <c r="L75" i="17"/>
  <c r="L71" i="17"/>
  <c r="L67" i="17"/>
  <c r="L63" i="17"/>
  <c r="L59" i="17"/>
  <c r="L55" i="17"/>
  <c r="L51" i="17"/>
  <c r="L47" i="17"/>
  <c r="L43" i="17"/>
  <c r="L39" i="17"/>
  <c r="L35" i="17"/>
  <c r="L31" i="17"/>
  <c r="L27" i="17"/>
  <c r="L23" i="17"/>
  <c r="L19" i="17"/>
  <c r="K109" i="17"/>
  <c r="K101" i="17"/>
  <c r="K93" i="17"/>
  <c r="K85" i="17"/>
  <c r="K77" i="17"/>
  <c r="K69" i="17"/>
  <c r="K61" i="17"/>
  <c r="K53" i="17"/>
  <c r="K45" i="17"/>
  <c r="K37" i="17"/>
  <c r="K29" i="17"/>
  <c r="K21" i="17"/>
  <c r="K13" i="17"/>
  <c r="L110" i="17"/>
  <c r="K121" i="17"/>
  <c r="K119" i="17"/>
  <c r="L122" i="17"/>
  <c r="L130" i="17"/>
  <c r="L138" i="17"/>
  <c r="L146" i="17"/>
  <c r="L154" i="17"/>
  <c r="L162" i="17"/>
  <c r="L170" i="17"/>
  <c r="L178" i="17"/>
  <c r="L186" i="17"/>
  <c r="L194" i="17"/>
  <c r="L202" i="17"/>
  <c r="L210" i="17"/>
  <c r="L218" i="17"/>
  <c r="L226" i="17"/>
  <c r="L234" i="17"/>
  <c r="L242" i="17"/>
  <c r="L250" i="17"/>
  <c r="L258" i="17"/>
  <c r="L266" i="17"/>
  <c r="L274" i="17"/>
  <c r="L282" i="17"/>
  <c r="L290" i="17"/>
  <c r="L298" i="17"/>
  <c r="L306" i="17"/>
  <c r="L314" i="17"/>
  <c r="L117" i="17"/>
  <c r="L125" i="17"/>
  <c r="L133" i="17"/>
  <c r="L141" i="17"/>
  <c r="L149" i="17"/>
  <c r="L157" i="17"/>
  <c r="L165" i="17"/>
  <c r="L173" i="17"/>
  <c r="L181" i="17"/>
  <c r="L189" i="17"/>
  <c r="L197" i="17"/>
  <c r="L205" i="17"/>
  <c r="L213" i="17"/>
  <c r="L221" i="17"/>
  <c r="L229" i="17"/>
  <c r="L237" i="17"/>
  <c r="L245" i="17"/>
  <c r="L253" i="17"/>
  <c r="L261" i="17"/>
  <c r="L269" i="17"/>
  <c r="L277" i="17"/>
  <c r="L285" i="17"/>
  <c r="L293" i="17"/>
  <c r="L301" i="17"/>
  <c r="L309" i="17"/>
  <c r="K317" i="17"/>
  <c r="K325" i="17"/>
  <c r="K333" i="17"/>
  <c r="K341" i="17"/>
  <c r="K349" i="17"/>
  <c r="K357" i="17"/>
  <c r="K365" i="17"/>
  <c r="K373" i="17"/>
  <c r="K381" i="17"/>
  <c r="K389" i="17"/>
  <c r="K397" i="17"/>
  <c r="K405" i="17"/>
  <c r="K318" i="17"/>
  <c r="K334" i="17"/>
  <c r="K129" i="17"/>
  <c r="K137" i="17"/>
  <c r="K145" i="17"/>
  <c r="K153" i="17"/>
  <c r="K161" i="17"/>
  <c r="K169" i="17"/>
  <c r="K177" i="17"/>
  <c r="K185" i="17"/>
  <c r="K193" i="17"/>
  <c r="K201" i="17"/>
  <c r="K209" i="17"/>
  <c r="K217" i="17"/>
  <c r="K225" i="17"/>
  <c r="K233" i="17"/>
  <c r="K241" i="17"/>
  <c r="K249" i="17"/>
  <c r="K257" i="17"/>
  <c r="K265" i="17"/>
  <c r="K273" i="17"/>
  <c r="K281" i="17"/>
  <c r="K289" i="17"/>
  <c r="K297" i="17"/>
  <c r="K305" i="17"/>
  <c r="K313" i="17"/>
  <c r="K116" i="17"/>
  <c r="K124" i="17"/>
  <c r="K132" i="17"/>
  <c r="K140" i="17"/>
  <c r="K148" i="17"/>
  <c r="K156" i="17"/>
  <c r="K164" i="17"/>
  <c r="K172" i="17"/>
  <c r="K180" i="17"/>
  <c r="K188" i="17"/>
  <c r="K196" i="17"/>
  <c r="K204" i="17"/>
  <c r="K212" i="17"/>
  <c r="K220" i="17"/>
  <c r="K228" i="17"/>
  <c r="K236" i="17"/>
  <c r="K244" i="17"/>
  <c r="K252" i="17"/>
  <c r="K260" i="17"/>
  <c r="K268" i="17"/>
  <c r="K276" i="17"/>
  <c r="K284" i="17"/>
  <c r="K292" i="17"/>
  <c r="K300" i="17"/>
  <c r="K308" i="17"/>
  <c r="L316" i="17"/>
  <c r="L324" i="17"/>
  <c r="L332" i="17"/>
  <c r="L340" i="17"/>
  <c r="L348" i="17"/>
  <c r="L356" i="17"/>
  <c r="L364" i="17"/>
  <c r="L372" i="17"/>
  <c r="L380" i="17"/>
  <c r="L390" i="17"/>
  <c r="L406" i="17"/>
  <c r="K336" i="17"/>
  <c r="K352" i="17"/>
  <c r="K368" i="17"/>
  <c r="K384" i="17"/>
  <c r="K400" i="17"/>
  <c r="K416" i="17"/>
  <c r="K432" i="17"/>
  <c r="K448" i="17"/>
  <c r="K464" i="17"/>
  <c r="K480" i="17"/>
  <c r="K496" i="17"/>
  <c r="K512" i="17"/>
  <c r="K425" i="17"/>
  <c r="K441" i="17"/>
  <c r="K457" i="17"/>
  <c r="K473" i="17"/>
  <c r="K489" i="17"/>
  <c r="K505" i="17"/>
  <c r="L520" i="17"/>
  <c r="L536" i="17"/>
  <c r="L561" i="17"/>
  <c r="L593" i="17"/>
  <c r="K536" i="17"/>
  <c r="K560" i="17"/>
  <c r="K592" i="17"/>
  <c r="L558" i="17"/>
  <c r="L574" i="17"/>
  <c r="L590" i="17"/>
  <c r="K606" i="17"/>
  <c r="K603" i="17"/>
  <c r="K409" i="17"/>
  <c r="L323" i="17"/>
  <c r="L339" i="17"/>
  <c r="L355" i="17"/>
  <c r="L371" i="17"/>
  <c r="L387" i="17"/>
  <c r="L403" i="17"/>
  <c r="L419" i="17"/>
  <c r="L435" i="17"/>
  <c r="L451" i="17"/>
  <c r="L467" i="17"/>
  <c r="L483" i="17"/>
  <c r="L499" i="17"/>
  <c r="L515" i="17"/>
  <c r="L428" i="17"/>
  <c r="L444" i="17"/>
  <c r="L460" i="17"/>
  <c r="L476" i="17"/>
  <c r="L492" i="17"/>
  <c r="L508" i="17"/>
  <c r="K523" i="17"/>
  <c r="K539" i="17"/>
  <c r="L567" i="17"/>
  <c r="L523" i="17"/>
  <c r="L539" i="17"/>
  <c r="K566" i="17"/>
  <c r="K545" i="17"/>
  <c r="K561" i="17"/>
  <c r="K577" i="17"/>
  <c r="K593" i="17"/>
  <c r="L609" i="17"/>
  <c r="L606" i="17"/>
  <c r="H627" i="25" l="1"/>
  <c r="G627" i="25"/>
  <c r="P627" i="25"/>
  <c r="O627" i="25"/>
  <c r="Y624" i="25"/>
  <c r="N613" i="25"/>
  <c r="N611" i="25"/>
  <c r="N609" i="25"/>
  <c r="M613" i="25"/>
  <c r="M611" i="25"/>
  <c r="M609" i="25"/>
  <c r="M612" i="25"/>
  <c r="M610" i="25"/>
  <c r="M608" i="25"/>
  <c r="M605" i="25"/>
  <c r="M603" i="25"/>
  <c r="M601" i="25"/>
  <c r="M599" i="25"/>
  <c r="M597" i="25"/>
  <c r="N610" i="25"/>
  <c r="N606" i="25"/>
  <c r="N604" i="25"/>
  <c r="N602" i="25"/>
  <c r="N600" i="25"/>
  <c r="N598" i="25"/>
  <c r="N608" i="25"/>
  <c r="M607" i="25"/>
  <c r="N605" i="25"/>
  <c r="N603" i="25"/>
  <c r="N601" i="25"/>
  <c r="N599" i="25"/>
  <c r="N597" i="25"/>
  <c r="N595" i="25"/>
  <c r="N593" i="25"/>
  <c r="N607" i="25"/>
  <c r="M604" i="25"/>
  <c r="M596" i="25"/>
  <c r="M595" i="25"/>
  <c r="N594" i="25"/>
  <c r="N590" i="25"/>
  <c r="N588" i="25"/>
  <c r="N586" i="25"/>
  <c r="M606" i="25"/>
  <c r="M598" i="25"/>
  <c r="M594" i="25"/>
  <c r="M593" i="25"/>
  <c r="N592" i="25"/>
  <c r="M590" i="25"/>
  <c r="M588" i="25"/>
  <c r="M586" i="25"/>
  <c r="M584" i="25"/>
  <c r="M602" i="25"/>
  <c r="N596" i="25"/>
  <c r="M591" i="25"/>
  <c r="M589" i="25"/>
  <c r="M587" i="25"/>
  <c r="M585" i="25"/>
  <c r="M583" i="25"/>
  <c r="M581" i="25"/>
  <c r="M579" i="25"/>
  <c r="M577" i="25"/>
  <c r="N612" i="25"/>
  <c r="N591" i="25"/>
  <c r="N582" i="25"/>
  <c r="N577" i="25"/>
  <c r="M575" i="25"/>
  <c r="M573" i="25"/>
  <c r="M571" i="25"/>
  <c r="M569" i="25"/>
  <c r="M567" i="25"/>
  <c r="M565" i="25"/>
  <c r="M563" i="25"/>
  <c r="M561" i="25"/>
  <c r="M559" i="25"/>
  <c r="M557" i="25"/>
  <c r="M600" i="25"/>
  <c r="N585" i="25"/>
  <c r="N583" i="25"/>
  <c r="M582" i="25"/>
  <c r="N580" i="25"/>
  <c r="N576" i="25"/>
  <c r="N574" i="25"/>
  <c r="N572" i="25"/>
  <c r="N570" i="25"/>
  <c r="N568" i="25"/>
  <c r="N566" i="25"/>
  <c r="M592" i="25"/>
  <c r="N589" i="25"/>
  <c r="N579" i="25"/>
  <c r="M578" i="25"/>
  <c r="N575" i="25"/>
  <c r="N573" i="25"/>
  <c r="N571" i="25"/>
  <c r="N569" i="25"/>
  <c r="N567" i="25"/>
  <c r="N584" i="25"/>
  <c r="M576" i="25"/>
  <c r="M568" i="25"/>
  <c r="N563" i="25"/>
  <c r="M562" i="25"/>
  <c r="N560" i="25"/>
  <c r="M556" i="25"/>
  <c r="M554" i="25"/>
  <c r="M552" i="25"/>
  <c r="M550" i="25"/>
  <c r="M548" i="25"/>
  <c r="M546" i="25"/>
  <c r="M544" i="25"/>
  <c r="M542" i="25"/>
  <c r="M540" i="25"/>
  <c r="M538" i="25"/>
  <c r="M536" i="25"/>
  <c r="M534" i="25"/>
  <c r="M532" i="25"/>
  <c r="M530" i="25"/>
  <c r="M528" i="25"/>
  <c r="M526" i="25"/>
  <c r="M570" i="25"/>
  <c r="N561" i="25"/>
  <c r="M560" i="25"/>
  <c r="N558" i="25"/>
  <c r="N555" i="25"/>
  <c r="N553" i="25"/>
  <c r="N551" i="25"/>
  <c r="N549" i="25"/>
  <c r="N547" i="25"/>
  <c r="N545" i="25"/>
  <c r="N543" i="25"/>
  <c r="N541" i="25"/>
  <c r="N539" i="25"/>
  <c r="N587" i="25"/>
  <c r="N578" i="25"/>
  <c r="M574" i="25"/>
  <c r="M566" i="25"/>
  <c r="N565" i="25"/>
  <c r="M564" i="25"/>
  <c r="N562" i="25"/>
  <c r="N557" i="25"/>
  <c r="N556" i="25"/>
  <c r="N554" i="25"/>
  <c r="N552" i="25"/>
  <c r="N550" i="25"/>
  <c r="N548" i="25"/>
  <c r="N546" i="25"/>
  <c r="N544" i="25"/>
  <c r="N542" i="25"/>
  <c r="N540" i="25"/>
  <c r="M549" i="25"/>
  <c r="M541" i="25"/>
  <c r="N534" i="25"/>
  <c r="M533" i="25"/>
  <c r="N531" i="25"/>
  <c r="N526" i="25"/>
  <c r="M525" i="25"/>
  <c r="N524" i="25"/>
  <c r="M572" i="25"/>
  <c r="N564" i="25"/>
  <c r="N559" i="25"/>
  <c r="M558" i="25"/>
  <c r="M551" i="25"/>
  <c r="M543" i="25"/>
  <c r="N537" i="25"/>
  <c r="N532" i="25"/>
  <c r="M531" i="25"/>
  <c r="N529" i="25"/>
  <c r="M524" i="25"/>
  <c r="M580" i="25"/>
  <c r="M555" i="25"/>
  <c r="M547" i="25"/>
  <c r="M539" i="25"/>
  <c r="N536" i="25"/>
  <c r="M535" i="25"/>
  <c r="N533" i="25"/>
  <c r="N528" i="25"/>
  <c r="M527" i="25"/>
  <c r="N525" i="25"/>
  <c r="M523" i="25"/>
  <c r="M521" i="25"/>
  <c r="M519" i="25"/>
  <c r="M517" i="25"/>
  <c r="M515" i="25"/>
  <c r="M513" i="25"/>
  <c r="N581" i="25"/>
  <c r="M545" i="25"/>
  <c r="N527" i="25"/>
  <c r="N521" i="25"/>
  <c r="M520" i="25"/>
  <c r="N518" i="25"/>
  <c r="N513" i="25"/>
  <c r="M512" i="25"/>
  <c r="M510" i="25"/>
  <c r="M508" i="25"/>
  <c r="M506" i="25"/>
  <c r="M504" i="25"/>
  <c r="M502" i="25"/>
  <c r="M500" i="25"/>
  <c r="M498" i="25"/>
  <c r="M496" i="25"/>
  <c r="M494" i="25"/>
  <c r="M492" i="25"/>
  <c r="M490" i="25"/>
  <c r="M488" i="25"/>
  <c r="M486" i="25"/>
  <c r="M484" i="25"/>
  <c r="M482" i="25"/>
  <c r="M480" i="25"/>
  <c r="M478" i="25"/>
  <c r="M476" i="25"/>
  <c r="M474" i="25"/>
  <c r="M472" i="25"/>
  <c r="M470" i="25"/>
  <c r="M468" i="25"/>
  <c r="M466" i="25"/>
  <c r="M464" i="25"/>
  <c r="M553" i="25"/>
  <c r="N519" i="25"/>
  <c r="M518" i="25"/>
  <c r="N516" i="25"/>
  <c r="N511" i="25"/>
  <c r="N509" i="25"/>
  <c r="N507" i="25"/>
  <c r="N505" i="25"/>
  <c r="N503" i="25"/>
  <c r="N501" i="25"/>
  <c r="N499" i="25"/>
  <c r="N497" i="25"/>
  <c r="N495" i="25"/>
  <c r="N493" i="25"/>
  <c r="N491" i="25"/>
  <c r="N489" i="25"/>
  <c r="N487" i="25"/>
  <c r="N485" i="25"/>
  <c r="N483" i="25"/>
  <c r="N535" i="25"/>
  <c r="N530" i="25"/>
  <c r="M529" i="25"/>
  <c r="N523" i="25"/>
  <c r="M522" i="25"/>
  <c r="N520" i="25"/>
  <c r="N515" i="25"/>
  <c r="M514" i="25"/>
  <c r="N512" i="25"/>
  <c r="N510" i="25"/>
  <c r="N508" i="25"/>
  <c r="N506" i="25"/>
  <c r="N504" i="25"/>
  <c r="N502" i="25"/>
  <c r="N500" i="25"/>
  <c r="N498" i="25"/>
  <c r="N496" i="25"/>
  <c r="N494" i="25"/>
  <c r="N492" i="25"/>
  <c r="N490" i="25"/>
  <c r="N488" i="25"/>
  <c r="N486" i="25"/>
  <c r="N538" i="25"/>
  <c r="M509" i="25"/>
  <c r="M501" i="25"/>
  <c r="M493" i="25"/>
  <c r="M485" i="25"/>
  <c r="N484" i="25"/>
  <c r="N478" i="25"/>
  <c r="M477" i="25"/>
  <c r="N475" i="25"/>
  <c r="N470" i="25"/>
  <c r="M469" i="25"/>
  <c r="N467" i="25"/>
  <c r="N463" i="25"/>
  <c r="N461" i="25"/>
  <c r="N459" i="25"/>
  <c r="N457" i="25"/>
  <c r="N455" i="25"/>
  <c r="N453" i="25"/>
  <c r="N451" i="25"/>
  <c r="N449" i="25"/>
  <c r="N447" i="25"/>
  <c r="N445" i="25"/>
  <c r="N443" i="25"/>
  <c r="N441" i="25"/>
  <c r="N439" i="25"/>
  <c r="N437" i="25"/>
  <c r="N435" i="25"/>
  <c r="N433" i="25"/>
  <c r="N431" i="25"/>
  <c r="N429" i="25"/>
  <c r="N427" i="25"/>
  <c r="N425" i="25"/>
  <c r="N423" i="25"/>
  <c r="N421" i="25"/>
  <c r="N419" i="25"/>
  <c r="N417" i="25"/>
  <c r="N415" i="25"/>
  <c r="N413" i="25"/>
  <c r="N411" i="25"/>
  <c r="N409" i="25"/>
  <c r="N407" i="25"/>
  <c r="N405" i="25"/>
  <c r="N403" i="25"/>
  <c r="N401" i="25"/>
  <c r="M537" i="25"/>
  <c r="M511" i="25"/>
  <c r="M503" i="25"/>
  <c r="M495" i="25"/>
  <c r="M487" i="25"/>
  <c r="N481" i="25"/>
  <c r="N476" i="25"/>
  <c r="M475" i="25"/>
  <c r="N473" i="25"/>
  <c r="N468" i="25"/>
  <c r="M467" i="25"/>
  <c r="N465" i="25"/>
  <c r="M463" i="25"/>
  <c r="M461" i="25"/>
  <c r="M459" i="25"/>
  <c r="M457" i="25"/>
  <c r="M455" i="25"/>
  <c r="M453" i="25"/>
  <c r="M451" i="25"/>
  <c r="M449" i="25"/>
  <c r="M447" i="25"/>
  <c r="M445" i="25"/>
  <c r="M443" i="25"/>
  <c r="M441" i="25"/>
  <c r="M439" i="25"/>
  <c r="M437" i="25"/>
  <c r="M435" i="25"/>
  <c r="M433" i="25"/>
  <c r="M431" i="25"/>
  <c r="M429" i="25"/>
  <c r="N514" i="25"/>
  <c r="M507" i="25"/>
  <c r="M499" i="25"/>
  <c r="M491" i="25"/>
  <c r="N480" i="25"/>
  <c r="M479" i="25"/>
  <c r="N477" i="25"/>
  <c r="N472" i="25"/>
  <c r="M471" i="25"/>
  <c r="N469" i="25"/>
  <c r="N464" i="25"/>
  <c r="M462" i="25"/>
  <c r="M460" i="25"/>
  <c r="M458" i="25"/>
  <c r="M456" i="25"/>
  <c r="M454" i="25"/>
  <c r="M452" i="25"/>
  <c r="M450" i="25"/>
  <c r="M448" i="25"/>
  <c r="M446" i="25"/>
  <c r="M444" i="25"/>
  <c r="M442" i="25"/>
  <c r="M440" i="25"/>
  <c r="M438" i="25"/>
  <c r="M436" i="25"/>
  <c r="M434" i="25"/>
  <c r="M432" i="25"/>
  <c r="M430" i="25"/>
  <c r="N517" i="25"/>
  <c r="M489" i="25"/>
  <c r="N479" i="25"/>
  <c r="N474" i="25"/>
  <c r="M473" i="25"/>
  <c r="N462" i="25"/>
  <c r="N454" i="25"/>
  <c r="N446" i="25"/>
  <c r="N438" i="25"/>
  <c r="N430" i="25"/>
  <c r="N428" i="25"/>
  <c r="M426" i="25"/>
  <c r="M425" i="25"/>
  <c r="N424" i="25"/>
  <c r="M418" i="25"/>
  <c r="M417" i="25"/>
  <c r="N416" i="25"/>
  <c r="M410" i="25"/>
  <c r="M409" i="25"/>
  <c r="N408" i="25"/>
  <c r="M402" i="25"/>
  <c r="M401" i="25"/>
  <c r="N522" i="25"/>
  <c r="M516" i="25"/>
  <c r="M497" i="25"/>
  <c r="M483" i="25"/>
  <c r="N471" i="25"/>
  <c r="N466" i="25"/>
  <c r="M465" i="25"/>
  <c r="N456" i="25"/>
  <c r="N448" i="25"/>
  <c r="N440" i="25"/>
  <c r="N432" i="25"/>
  <c r="M428" i="25"/>
  <c r="M424" i="25"/>
  <c r="M423" i="25"/>
  <c r="N422" i="25"/>
  <c r="M416" i="25"/>
  <c r="M415" i="25"/>
  <c r="N414" i="25"/>
  <c r="M408" i="25"/>
  <c r="M407" i="25"/>
  <c r="N406" i="25"/>
  <c r="N482" i="25"/>
  <c r="M481" i="25"/>
  <c r="N460" i="25"/>
  <c r="N452" i="25"/>
  <c r="N444" i="25"/>
  <c r="N436" i="25"/>
  <c r="M427" i="25"/>
  <c r="N426" i="25"/>
  <c r="M420" i="25"/>
  <c r="M419" i="25"/>
  <c r="N418" i="25"/>
  <c r="M412" i="25"/>
  <c r="M411" i="25"/>
  <c r="N410" i="25"/>
  <c r="M404" i="25"/>
  <c r="M403" i="25"/>
  <c r="N402" i="25"/>
  <c r="N398" i="25"/>
  <c r="N396" i="25"/>
  <c r="N394" i="25"/>
  <c r="N392" i="25"/>
  <c r="N390" i="25"/>
  <c r="N388" i="25"/>
  <c r="N386" i="25"/>
  <c r="N384" i="25"/>
  <c r="N382" i="25"/>
  <c r="N380" i="25"/>
  <c r="N378" i="25"/>
  <c r="N376" i="25"/>
  <c r="N458" i="25"/>
  <c r="M414" i="25"/>
  <c r="M413" i="25"/>
  <c r="N412" i="25"/>
  <c r="M400" i="25"/>
  <c r="M399" i="25"/>
  <c r="M398" i="25"/>
  <c r="N397" i="25"/>
  <c r="M391" i="25"/>
  <c r="M390" i="25"/>
  <c r="N389" i="25"/>
  <c r="M383" i="25"/>
  <c r="M382" i="25"/>
  <c r="N381" i="25"/>
  <c r="M375" i="25"/>
  <c r="N374" i="25"/>
  <c r="N372" i="25"/>
  <c r="N370" i="25"/>
  <c r="N368" i="25"/>
  <c r="N366" i="25"/>
  <c r="N364" i="25"/>
  <c r="N362" i="25"/>
  <c r="N360" i="25"/>
  <c r="N358" i="25"/>
  <c r="N356" i="25"/>
  <c r="N354" i="25"/>
  <c r="N352" i="25"/>
  <c r="N350" i="25"/>
  <c r="N348" i="25"/>
  <c r="N346" i="25"/>
  <c r="N344" i="25"/>
  <c r="N342" i="25"/>
  <c r="N340" i="25"/>
  <c r="N338" i="25"/>
  <c r="N336" i="25"/>
  <c r="N334" i="25"/>
  <c r="N332" i="25"/>
  <c r="N330" i="25"/>
  <c r="N328" i="25"/>
  <c r="N326" i="25"/>
  <c r="N324" i="25"/>
  <c r="N322" i="25"/>
  <c r="N320" i="25"/>
  <c r="N318" i="25"/>
  <c r="N316" i="25"/>
  <c r="N314" i="25"/>
  <c r="N312" i="25"/>
  <c r="N310" i="25"/>
  <c r="N308" i="25"/>
  <c r="N306" i="25"/>
  <c r="N304" i="25"/>
  <c r="N302" i="25"/>
  <c r="N300" i="25"/>
  <c r="N298" i="25"/>
  <c r="N296" i="25"/>
  <c r="N294" i="25"/>
  <c r="N292" i="25"/>
  <c r="N290" i="25"/>
  <c r="N288" i="25"/>
  <c r="N286" i="25"/>
  <c r="N284" i="25"/>
  <c r="N282" i="25"/>
  <c r="N280" i="25"/>
  <c r="N434" i="25"/>
  <c r="M406" i="25"/>
  <c r="M405" i="25"/>
  <c r="N404" i="25"/>
  <c r="M397" i="25"/>
  <c r="M396" i="25"/>
  <c r="N395" i="25"/>
  <c r="M389" i="25"/>
  <c r="M388" i="25"/>
  <c r="N387" i="25"/>
  <c r="M381" i="25"/>
  <c r="M380" i="25"/>
  <c r="N379" i="25"/>
  <c r="M374" i="25"/>
  <c r="M372" i="25"/>
  <c r="M370" i="25"/>
  <c r="M368" i="25"/>
  <c r="M366" i="25"/>
  <c r="N450" i="25"/>
  <c r="M422" i="25"/>
  <c r="M421" i="25"/>
  <c r="N420" i="25"/>
  <c r="N400" i="25"/>
  <c r="N399" i="25"/>
  <c r="M393" i="25"/>
  <c r="M392" i="25"/>
  <c r="N391" i="25"/>
  <c r="M385" i="25"/>
  <c r="M384" i="25"/>
  <c r="N383" i="25"/>
  <c r="M377" i="25"/>
  <c r="M376" i="25"/>
  <c r="N375" i="25"/>
  <c r="M373" i="25"/>
  <c r="M371" i="25"/>
  <c r="M369" i="25"/>
  <c r="M367" i="25"/>
  <c r="M365" i="25"/>
  <c r="M363" i="25"/>
  <c r="M361" i="25"/>
  <c r="M359" i="25"/>
  <c r="M357" i="25"/>
  <c r="M355" i="25"/>
  <c r="M353" i="25"/>
  <c r="M351" i="25"/>
  <c r="M349" i="25"/>
  <c r="M347" i="25"/>
  <c r="M345" i="25"/>
  <c r="M387" i="25"/>
  <c r="M386" i="25"/>
  <c r="N385" i="25"/>
  <c r="N371" i="25"/>
  <c r="M341" i="25"/>
  <c r="M340" i="25"/>
  <c r="N339" i="25"/>
  <c r="M333" i="25"/>
  <c r="M332" i="25"/>
  <c r="N331" i="25"/>
  <c r="M325" i="25"/>
  <c r="M324" i="25"/>
  <c r="N323" i="25"/>
  <c r="M317" i="25"/>
  <c r="M316" i="25"/>
  <c r="N315" i="25"/>
  <c r="M309" i="25"/>
  <c r="M308" i="25"/>
  <c r="N307" i="25"/>
  <c r="M301" i="25"/>
  <c r="M300" i="25"/>
  <c r="N299" i="25"/>
  <c r="M293" i="25"/>
  <c r="M292" i="25"/>
  <c r="N291" i="25"/>
  <c r="M285" i="25"/>
  <c r="M284" i="25"/>
  <c r="N283" i="25"/>
  <c r="N277" i="25"/>
  <c r="N275" i="25"/>
  <c r="N273" i="25"/>
  <c r="N271" i="25"/>
  <c r="N269" i="25"/>
  <c r="N267" i="25"/>
  <c r="N265" i="25"/>
  <c r="M379" i="25"/>
  <c r="M378" i="25"/>
  <c r="N377" i="25"/>
  <c r="N373" i="25"/>
  <c r="N365" i="25"/>
  <c r="M362" i="25"/>
  <c r="N361" i="25"/>
  <c r="M358" i="25"/>
  <c r="N357" i="25"/>
  <c r="M354" i="25"/>
  <c r="N353" i="25"/>
  <c r="M350" i="25"/>
  <c r="N349" i="25"/>
  <c r="M346" i="25"/>
  <c r="N345" i="25"/>
  <c r="M339" i="25"/>
  <c r="M338" i="25"/>
  <c r="N337" i="25"/>
  <c r="M331" i="25"/>
  <c r="M330" i="25"/>
  <c r="N329" i="25"/>
  <c r="M323" i="25"/>
  <c r="M322" i="25"/>
  <c r="N321" i="25"/>
  <c r="M315" i="25"/>
  <c r="M314" i="25"/>
  <c r="N313" i="25"/>
  <c r="M307" i="25"/>
  <c r="M306" i="25"/>
  <c r="N305" i="25"/>
  <c r="M299" i="25"/>
  <c r="M298" i="25"/>
  <c r="N297" i="25"/>
  <c r="M291" i="25"/>
  <c r="M290" i="25"/>
  <c r="N289" i="25"/>
  <c r="M283" i="25"/>
  <c r="M282" i="25"/>
  <c r="N281" i="25"/>
  <c r="M277" i="25"/>
  <c r="M275" i="25"/>
  <c r="M273" i="25"/>
  <c r="M271" i="25"/>
  <c r="M269" i="25"/>
  <c r="M267" i="25"/>
  <c r="M265" i="25"/>
  <c r="M505" i="25"/>
  <c r="N442" i="25"/>
  <c r="M395" i="25"/>
  <c r="M394" i="25"/>
  <c r="N393" i="25"/>
  <c r="N369" i="25"/>
  <c r="M364" i="25"/>
  <c r="N363" i="25"/>
  <c r="M360" i="25"/>
  <c r="N359" i="25"/>
  <c r="M356" i="25"/>
  <c r="N355" i="25"/>
  <c r="M352" i="25"/>
  <c r="N351" i="25"/>
  <c r="M348" i="25"/>
  <c r="N347" i="25"/>
  <c r="M344" i="25"/>
  <c r="M343" i="25"/>
  <c r="M342" i="25"/>
  <c r="N341" i="25"/>
  <c r="M335" i="25"/>
  <c r="M334" i="25"/>
  <c r="N333" i="25"/>
  <c r="M327" i="25"/>
  <c r="M326" i="25"/>
  <c r="N325" i="25"/>
  <c r="M319" i="25"/>
  <c r="M318" i="25"/>
  <c r="N317" i="25"/>
  <c r="M311" i="25"/>
  <c r="M310" i="25"/>
  <c r="N309" i="25"/>
  <c r="M303" i="25"/>
  <c r="M302" i="25"/>
  <c r="N301" i="25"/>
  <c r="M295" i="25"/>
  <c r="M294" i="25"/>
  <c r="N293" i="25"/>
  <c r="M287" i="25"/>
  <c r="M286" i="25"/>
  <c r="N285" i="25"/>
  <c r="M279" i="25"/>
  <c r="M278" i="25"/>
  <c r="M276" i="25"/>
  <c r="M274" i="25"/>
  <c r="M272" i="25"/>
  <c r="M270" i="25"/>
  <c r="M268" i="25"/>
  <c r="M266" i="25"/>
  <c r="M264" i="25"/>
  <c r="M262" i="25"/>
  <c r="M260" i="25"/>
  <c r="M258" i="25"/>
  <c r="M256" i="25"/>
  <c r="M254" i="25"/>
  <c r="M252" i="25"/>
  <c r="M250" i="25"/>
  <c r="M248" i="25"/>
  <c r="M246" i="25"/>
  <c r="M244" i="25"/>
  <c r="M242" i="25"/>
  <c r="M240" i="25"/>
  <c r="M238" i="25"/>
  <c r="M236" i="25"/>
  <c r="M234" i="25"/>
  <c r="M232" i="25"/>
  <c r="M230" i="25"/>
  <c r="M228" i="25"/>
  <c r="M226" i="25"/>
  <c r="N367" i="25"/>
  <c r="N343" i="25"/>
  <c r="M313" i="25"/>
  <c r="M312" i="25"/>
  <c r="N311" i="25"/>
  <c r="M281" i="25"/>
  <c r="M280" i="25"/>
  <c r="N279" i="25"/>
  <c r="N274" i="25"/>
  <c r="N266" i="25"/>
  <c r="N260" i="25"/>
  <c r="M259" i="25"/>
  <c r="N257" i="25"/>
  <c r="N252" i="25"/>
  <c r="M251" i="25"/>
  <c r="N249" i="25"/>
  <c r="N244" i="25"/>
  <c r="M243" i="25"/>
  <c r="N241" i="25"/>
  <c r="N236" i="25"/>
  <c r="M235" i="25"/>
  <c r="N233" i="25"/>
  <c r="N228" i="25"/>
  <c r="M227" i="25"/>
  <c r="M224" i="25"/>
  <c r="M222" i="25"/>
  <c r="M220" i="25"/>
  <c r="M218" i="25"/>
  <c r="M216" i="25"/>
  <c r="M214" i="25"/>
  <c r="M212" i="25"/>
  <c r="M210" i="25"/>
  <c r="M208" i="25"/>
  <c r="M206" i="25"/>
  <c r="M204" i="25"/>
  <c r="M202" i="25"/>
  <c r="M200" i="25"/>
  <c r="M198" i="25"/>
  <c r="M196" i="25"/>
  <c r="M194" i="25"/>
  <c r="M192" i="25"/>
  <c r="M190" i="25"/>
  <c r="M188" i="25"/>
  <c r="M186" i="25"/>
  <c r="M184" i="25"/>
  <c r="M182" i="25"/>
  <c r="M180" i="25"/>
  <c r="M178" i="25"/>
  <c r="M176" i="25"/>
  <c r="M174" i="25"/>
  <c r="M172" i="25"/>
  <c r="M170" i="25"/>
  <c r="M168" i="25"/>
  <c r="M166" i="25"/>
  <c r="M164" i="25"/>
  <c r="M162" i="25"/>
  <c r="M160" i="25"/>
  <c r="M158" i="25"/>
  <c r="M156" i="25"/>
  <c r="M154" i="25"/>
  <c r="M152" i="25"/>
  <c r="M150" i="25"/>
  <c r="M148" i="25"/>
  <c r="M146" i="25"/>
  <c r="M144" i="25"/>
  <c r="M142" i="25"/>
  <c r="M140" i="25"/>
  <c r="M138" i="25"/>
  <c r="M136" i="25"/>
  <c r="M134" i="25"/>
  <c r="M132" i="25"/>
  <c r="M130" i="25"/>
  <c r="M128" i="25"/>
  <c r="M126" i="25"/>
  <c r="M124" i="25"/>
  <c r="M122" i="25"/>
  <c r="M120" i="25"/>
  <c r="M337" i="25"/>
  <c r="M336" i="25"/>
  <c r="N335" i="25"/>
  <c r="M305" i="25"/>
  <c r="M304" i="25"/>
  <c r="N303" i="25"/>
  <c r="N276" i="25"/>
  <c r="N268" i="25"/>
  <c r="N263" i="25"/>
  <c r="N258" i="25"/>
  <c r="M257" i="25"/>
  <c r="N255" i="25"/>
  <c r="N250" i="25"/>
  <c r="M249" i="25"/>
  <c r="N247" i="25"/>
  <c r="N242" i="25"/>
  <c r="M241" i="25"/>
  <c r="N239" i="25"/>
  <c r="N234" i="25"/>
  <c r="M233" i="25"/>
  <c r="N231" i="25"/>
  <c r="N226" i="25"/>
  <c r="N225" i="25"/>
  <c r="N223" i="25"/>
  <c r="N221" i="25"/>
  <c r="M321" i="25"/>
  <c r="M320" i="25"/>
  <c r="N319" i="25"/>
  <c r="M289" i="25"/>
  <c r="M288" i="25"/>
  <c r="N287" i="25"/>
  <c r="N272" i="25"/>
  <c r="N264" i="25"/>
  <c r="N262" i="25"/>
  <c r="M261" i="25"/>
  <c r="N259" i="25"/>
  <c r="N254" i="25"/>
  <c r="M253" i="25"/>
  <c r="N251" i="25"/>
  <c r="N246" i="25"/>
  <c r="M245" i="25"/>
  <c r="N243" i="25"/>
  <c r="N238" i="25"/>
  <c r="M237" i="25"/>
  <c r="N235" i="25"/>
  <c r="N230" i="25"/>
  <c r="M229" i="25"/>
  <c r="N227" i="25"/>
  <c r="N224" i="25"/>
  <c r="N222" i="25"/>
  <c r="N220" i="25"/>
  <c r="N218" i="25"/>
  <c r="N216" i="25"/>
  <c r="N214" i="25"/>
  <c r="N212" i="25"/>
  <c r="N210" i="25"/>
  <c r="N208" i="25"/>
  <c r="N206" i="25"/>
  <c r="N204" i="25"/>
  <c r="N202" i="25"/>
  <c r="N200" i="25"/>
  <c r="N198" i="25"/>
  <c r="N196" i="25"/>
  <c r="N194" i="25"/>
  <c r="N192" i="25"/>
  <c r="N190" i="25"/>
  <c r="N188" i="25"/>
  <c r="N186" i="25"/>
  <c r="N184" i="25"/>
  <c r="N182" i="25"/>
  <c r="N180" i="25"/>
  <c r="N178" i="25"/>
  <c r="N176" i="25"/>
  <c r="N174" i="25"/>
  <c r="N172" i="25"/>
  <c r="N170" i="25"/>
  <c r="N168" i="25"/>
  <c r="N166" i="25"/>
  <c r="N164" i="25"/>
  <c r="N162" i="25"/>
  <c r="N160" i="25"/>
  <c r="N158" i="25"/>
  <c r="N156" i="25"/>
  <c r="N154" i="25"/>
  <c r="N152" i="25"/>
  <c r="N150" i="25"/>
  <c r="N148" i="25"/>
  <c r="N146" i="25"/>
  <c r="N144" i="25"/>
  <c r="N142" i="25"/>
  <c r="N140" i="25"/>
  <c r="N138" i="25"/>
  <c r="N136" i="25"/>
  <c r="N134" i="25"/>
  <c r="N132" i="25"/>
  <c r="N130" i="25"/>
  <c r="N128" i="25"/>
  <c r="N126" i="25"/>
  <c r="N124" i="25"/>
  <c r="N122" i="25"/>
  <c r="N120" i="25"/>
  <c r="N118" i="25"/>
  <c r="N116" i="25"/>
  <c r="N114" i="25"/>
  <c r="N112" i="25"/>
  <c r="N110" i="25"/>
  <c r="N108" i="25"/>
  <c r="N106" i="25"/>
  <c r="N104" i="25"/>
  <c r="N102" i="25"/>
  <c r="N100" i="25"/>
  <c r="N98" i="25"/>
  <c r="N96" i="25"/>
  <c r="N94" i="25"/>
  <c r="N92" i="25"/>
  <c r="N90" i="25"/>
  <c r="N88" i="25"/>
  <c r="N86" i="25"/>
  <c r="N84" i="25"/>
  <c r="N82" i="25"/>
  <c r="N80" i="25"/>
  <c r="N78" i="25"/>
  <c r="N76" i="25"/>
  <c r="N74" i="25"/>
  <c r="N72" i="25"/>
  <c r="N70" i="25"/>
  <c r="N68" i="25"/>
  <c r="N66" i="25"/>
  <c r="N64" i="25"/>
  <c r="N62" i="25"/>
  <c r="N60" i="25"/>
  <c r="N58" i="25"/>
  <c r="N56" i="25"/>
  <c r="N54" i="25"/>
  <c r="N52" i="25"/>
  <c r="N50" i="25"/>
  <c r="N48" i="25"/>
  <c r="N46" i="25"/>
  <c r="N44" i="25"/>
  <c r="N42" i="25"/>
  <c r="N40" i="25"/>
  <c r="N38" i="25"/>
  <c r="N36" i="25"/>
  <c r="N34" i="25"/>
  <c r="N32" i="25"/>
  <c r="N30" i="25"/>
  <c r="N327" i="25"/>
  <c r="M296" i="25"/>
  <c r="N278" i="25"/>
  <c r="M263" i="25"/>
  <c r="N237" i="25"/>
  <c r="N232" i="25"/>
  <c r="M231" i="25"/>
  <c r="M221" i="25"/>
  <c r="M219" i="25"/>
  <c r="M215" i="25"/>
  <c r="M211" i="25"/>
  <c r="M207" i="25"/>
  <c r="M203" i="25"/>
  <c r="M199" i="25"/>
  <c r="M195" i="25"/>
  <c r="M191" i="25"/>
  <c r="M187" i="25"/>
  <c r="M183" i="25"/>
  <c r="M179" i="25"/>
  <c r="M175" i="25"/>
  <c r="M171" i="25"/>
  <c r="M167" i="25"/>
  <c r="M163" i="25"/>
  <c r="M159" i="25"/>
  <c r="M155" i="25"/>
  <c r="M151" i="25"/>
  <c r="M147" i="25"/>
  <c r="M143" i="25"/>
  <c r="M139" i="25"/>
  <c r="M135" i="25"/>
  <c r="M131" i="25"/>
  <c r="M127" i="25"/>
  <c r="M123" i="25"/>
  <c r="M115" i="25"/>
  <c r="M114" i="25"/>
  <c r="N113" i="25"/>
  <c r="M107" i="25"/>
  <c r="M106" i="25"/>
  <c r="N105" i="25"/>
  <c r="M99" i="25"/>
  <c r="M98" i="25"/>
  <c r="N97" i="25"/>
  <c r="M91" i="25"/>
  <c r="M90" i="25"/>
  <c r="N89" i="25"/>
  <c r="M83" i="25"/>
  <c r="M82" i="25"/>
  <c r="N81" i="25"/>
  <c r="M75" i="25"/>
  <c r="M74" i="25"/>
  <c r="N73" i="25"/>
  <c r="M67" i="25"/>
  <c r="M66" i="25"/>
  <c r="N65" i="25"/>
  <c r="M59" i="25"/>
  <c r="M58" i="25"/>
  <c r="M50" i="25"/>
  <c r="M35" i="25"/>
  <c r="N295" i="25"/>
  <c r="N261" i="25"/>
  <c r="N256" i="25"/>
  <c r="M255" i="25"/>
  <c r="N229" i="25"/>
  <c r="M223" i="25"/>
  <c r="N217" i="25"/>
  <c r="N213" i="25"/>
  <c r="N209" i="25"/>
  <c r="N205" i="25"/>
  <c r="N201" i="25"/>
  <c r="N197" i="25"/>
  <c r="N193" i="25"/>
  <c r="N189" i="25"/>
  <c r="N185" i="25"/>
  <c r="N181" i="25"/>
  <c r="N177" i="25"/>
  <c r="N173" i="25"/>
  <c r="N169" i="25"/>
  <c r="N165" i="25"/>
  <c r="N161" i="25"/>
  <c r="N157" i="25"/>
  <c r="N153" i="25"/>
  <c r="N149" i="25"/>
  <c r="N145" i="25"/>
  <c r="N141" i="25"/>
  <c r="N137" i="25"/>
  <c r="N133" i="25"/>
  <c r="N129" i="25"/>
  <c r="N125" i="25"/>
  <c r="N121" i="25"/>
  <c r="N119" i="25"/>
  <c r="M113" i="25"/>
  <c r="M112" i="25"/>
  <c r="N111" i="25"/>
  <c r="M105" i="25"/>
  <c r="M104" i="25"/>
  <c r="N103" i="25"/>
  <c r="M97" i="25"/>
  <c r="M96" i="25"/>
  <c r="N95" i="25"/>
  <c r="M89" i="25"/>
  <c r="M88" i="25"/>
  <c r="N87" i="25"/>
  <c r="M81" i="25"/>
  <c r="M80" i="25"/>
  <c r="N79" i="25"/>
  <c r="M73" i="25"/>
  <c r="M72" i="25"/>
  <c r="N71" i="25"/>
  <c r="M65" i="25"/>
  <c r="M64" i="25"/>
  <c r="N63" i="25"/>
  <c r="M57" i="25"/>
  <c r="M56" i="25"/>
  <c r="N55" i="25"/>
  <c r="M49" i="25"/>
  <c r="M48" i="25"/>
  <c r="N47" i="25"/>
  <c r="M41" i="25"/>
  <c r="M40" i="25"/>
  <c r="M328" i="25"/>
  <c r="M297" i="25"/>
  <c r="N270" i="25"/>
  <c r="N245" i="25"/>
  <c r="N240" i="25"/>
  <c r="M239" i="25"/>
  <c r="N219" i="25"/>
  <c r="N215" i="25"/>
  <c r="N211" i="25"/>
  <c r="N207" i="25"/>
  <c r="N203" i="25"/>
  <c r="N199" i="25"/>
  <c r="N195" i="25"/>
  <c r="N191" i="25"/>
  <c r="N187" i="25"/>
  <c r="N183" i="25"/>
  <c r="N179" i="25"/>
  <c r="N175" i="25"/>
  <c r="N171" i="25"/>
  <c r="N167" i="25"/>
  <c r="N163" i="25"/>
  <c r="N159" i="25"/>
  <c r="N155" i="25"/>
  <c r="N151" i="25"/>
  <c r="N147" i="25"/>
  <c r="N143" i="25"/>
  <c r="N139" i="25"/>
  <c r="N135" i="25"/>
  <c r="N131" i="25"/>
  <c r="N127" i="25"/>
  <c r="N123" i="25"/>
  <c r="M117" i="25"/>
  <c r="M116" i="25"/>
  <c r="N115" i="25"/>
  <c r="M109" i="25"/>
  <c r="M108" i="25"/>
  <c r="N107" i="25"/>
  <c r="M101" i="25"/>
  <c r="M100" i="25"/>
  <c r="N99" i="25"/>
  <c r="M93" i="25"/>
  <c r="M92" i="25"/>
  <c r="N91" i="25"/>
  <c r="M85" i="25"/>
  <c r="M84" i="25"/>
  <c r="N83" i="25"/>
  <c r="M77" i="25"/>
  <c r="M76" i="25"/>
  <c r="N75" i="25"/>
  <c r="M69" i="25"/>
  <c r="M68" i="25"/>
  <c r="N67" i="25"/>
  <c r="M61" i="25"/>
  <c r="M60" i="25"/>
  <c r="N59" i="25"/>
  <c r="M53" i="25"/>
  <c r="M52" i="25"/>
  <c r="N51" i="25"/>
  <c r="M45" i="25"/>
  <c r="M44" i="25"/>
  <c r="N43" i="25"/>
  <c r="M37" i="25"/>
  <c r="M36" i="25"/>
  <c r="N35" i="25"/>
  <c r="M29" i="25"/>
  <c r="N28" i="25"/>
  <c r="N26" i="25"/>
  <c r="N24" i="25"/>
  <c r="N22" i="25"/>
  <c r="N20" i="25"/>
  <c r="N18" i="25"/>
  <c r="N16" i="25"/>
  <c r="N14" i="25"/>
  <c r="N57" i="25"/>
  <c r="M51" i="25"/>
  <c r="N49" i="25"/>
  <c r="M43" i="25"/>
  <c r="M42" i="25"/>
  <c r="N41" i="25"/>
  <c r="M34" i="25"/>
  <c r="N33" i="25"/>
  <c r="M28" i="25"/>
  <c r="M26" i="25"/>
  <c r="M329" i="25"/>
  <c r="N248" i="25"/>
  <c r="M209" i="25"/>
  <c r="M193" i="25"/>
  <c r="M177" i="25"/>
  <c r="M161" i="25"/>
  <c r="M145" i="25"/>
  <c r="M129" i="25"/>
  <c r="M95" i="25"/>
  <c r="M94" i="25"/>
  <c r="N93" i="25"/>
  <c r="M63" i="25"/>
  <c r="M62" i="25"/>
  <c r="N61" i="25"/>
  <c r="M39" i="25"/>
  <c r="N25" i="25"/>
  <c r="M24" i="25"/>
  <c r="N23" i="25"/>
  <c r="M17" i="25"/>
  <c r="M16" i="25"/>
  <c r="N13" i="25"/>
  <c r="M201" i="25"/>
  <c r="M169" i="25"/>
  <c r="M137" i="25"/>
  <c r="M121" i="25"/>
  <c r="M79" i="25"/>
  <c r="N77" i="25"/>
  <c r="M46" i="25"/>
  <c r="N45" i="25"/>
  <c r="M31" i="25"/>
  <c r="N253" i="25"/>
  <c r="M247" i="25"/>
  <c r="M225" i="25"/>
  <c r="M213" i="25"/>
  <c r="M197" i="25"/>
  <c r="M181" i="25"/>
  <c r="M165" i="25"/>
  <c r="M149" i="25"/>
  <c r="M133" i="25"/>
  <c r="M119" i="25"/>
  <c r="M118" i="25"/>
  <c r="N117" i="25"/>
  <c r="M87" i="25"/>
  <c r="M86" i="25"/>
  <c r="N85" i="25"/>
  <c r="M55" i="25"/>
  <c r="M54" i="25"/>
  <c r="N53" i="25"/>
  <c r="M38" i="25"/>
  <c r="N37" i="25"/>
  <c r="N31" i="25"/>
  <c r="M25" i="25"/>
  <c r="M23" i="25"/>
  <c r="M22" i="25"/>
  <c r="N21" i="25"/>
  <c r="M15" i="25"/>
  <c r="M110" i="25"/>
  <c r="M78" i="25"/>
  <c r="M32" i="25"/>
  <c r="M205" i="25"/>
  <c r="M189" i="25"/>
  <c r="M173" i="25"/>
  <c r="M157" i="25"/>
  <c r="M141" i="25"/>
  <c r="M125" i="25"/>
  <c r="M103" i="25"/>
  <c r="M102" i="25"/>
  <c r="N101" i="25"/>
  <c r="M71" i="25"/>
  <c r="M70" i="25"/>
  <c r="N69" i="25"/>
  <c r="N39" i="25"/>
  <c r="M33" i="25"/>
  <c r="M30" i="25"/>
  <c r="N29" i="25"/>
  <c r="M27" i="25"/>
  <c r="M19" i="25"/>
  <c r="M18" i="25"/>
  <c r="N17" i="25"/>
  <c r="N15" i="25"/>
  <c r="M14" i="25"/>
  <c r="M217" i="25"/>
  <c r="M185" i="25"/>
  <c r="M153" i="25"/>
  <c r="M111" i="25"/>
  <c r="N109" i="25"/>
  <c r="M47" i="25"/>
  <c r="N27" i="25"/>
  <c r="M21" i="25"/>
  <c r="M20" i="25"/>
  <c r="N19" i="25"/>
  <c r="M13" i="25"/>
  <c r="N626" i="25"/>
  <c r="N628" i="25"/>
  <c r="R628" i="25" s="1"/>
  <c r="S628" i="25" s="1"/>
  <c r="M628" i="25"/>
  <c r="Q628" i="25" s="1"/>
  <c r="M626" i="25"/>
  <c r="N623" i="25"/>
  <c r="M623" i="25"/>
  <c r="Q623" i="25" s="1"/>
  <c r="N622" i="25"/>
  <c r="M622" i="25"/>
  <c r="AB625" i="25"/>
  <c r="M625" i="25"/>
  <c r="X625" i="25" s="1"/>
  <c r="AA624" i="25"/>
  <c r="E634" i="25" s="1"/>
  <c r="K627" i="25"/>
  <c r="C627" i="25"/>
  <c r="N627" i="25"/>
  <c r="J627" i="25"/>
  <c r="F627" i="25"/>
  <c r="L627" i="25"/>
  <c r="D627" i="25"/>
  <c r="I627" i="25"/>
  <c r="M627" i="25"/>
  <c r="E627" i="25"/>
  <c r="N625" i="25"/>
  <c r="R625" i="25" s="1"/>
  <c r="S625" i="25" s="1"/>
  <c r="M624" i="25"/>
  <c r="X624" i="25" s="1"/>
  <c r="R624" i="25"/>
  <c r="S624" i="25" s="1"/>
  <c r="AB624" i="25"/>
  <c r="AA625" i="25"/>
  <c r="E635" i="25" s="1"/>
  <c r="N592" i="17"/>
  <c r="R592" i="17" s="1"/>
  <c r="S592" i="17" s="1"/>
  <c r="N295" i="17"/>
  <c r="R295" i="17" s="1"/>
  <c r="S295" i="17" s="1"/>
  <c r="M345" i="17"/>
  <c r="X345" i="17" s="1"/>
  <c r="M572" i="17"/>
  <c r="Q572" i="17" s="1"/>
  <c r="U572" i="17" s="1"/>
  <c r="N40" i="17"/>
  <c r="R40" i="17" s="1"/>
  <c r="S40" i="17" s="1"/>
  <c r="N460" i="17"/>
  <c r="R460" i="17" s="1"/>
  <c r="S460" i="17" s="1"/>
  <c r="M36" i="17"/>
  <c r="Q36" i="17" s="1"/>
  <c r="U36" i="17" s="1"/>
  <c r="M263" i="17"/>
  <c r="X263" i="17" s="1"/>
  <c r="M417" i="17"/>
  <c r="Q417" i="17" s="1"/>
  <c r="U417" i="17" s="1"/>
  <c r="N130" i="17"/>
  <c r="R130" i="17" s="1"/>
  <c r="S130" i="17" s="1"/>
  <c r="M297" i="17"/>
  <c r="X297" i="17" s="1"/>
  <c r="M494" i="17"/>
  <c r="M277" i="17"/>
  <c r="Q277" i="17" s="1"/>
  <c r="U277" i="17" s="1"/>
  <c r="N443" i="17"/>
  <c r="Y443" i="17" s="1"/>
  <c r="N561" i="17"/>
  <c r="R561" i="17" s="1"/>
  <c r="S561" i="17" s="1"/>
  <c r="N127" i="17"/>
  <c r="R127" i="17" s="1"/>
  <c r="S127" i="17" s="1"/>
  <c r="M151" i="17"/>
  <c r="Q151" i="17" s="1"/>
  <c r="U151" i="17" s="1"/>
  <c r="M283" i="17"/>
  <c r="Q283" i="17" s="1"/>
  <c r="U283" i="17" s="1"/>
  <c r="N516" i="17"/>
  <c r="R516" i="17" s="1"/>
  <c r="S516" i="17" s="1"/>
  <c r="M487" i="17"/>
  <c r="Q487" i="17" s="1"/>
  <c r="N25" i="17"/>
  <c r="R25" i="17" s="1"/>
  <c r="S25" i="17" s="1"/>
  <c r="M326" i="17"/>
  <c r="X326" i="17" s="1"/>
  <c r="N524" i="17"/>
  <c r="Y524" i="17" s="1"/>
  <c r="N269" i="17"/>
  <c r="M435" i="17"/>
  <c r="Q435" i="17" s="1"/>
  <c r="U435" i="17" s="1"/>
  <c r="N156" i="17"/>
  <c r="R156" i="17" s="1"/>
  <c r="S156" i="17" s="1"/>
  <c r="N22" i="17"/>
  <c r="R22" i="17" s="1"/>
  <c r="S22" i="17" s="1"/>
  <c r="M320" i="17"/>
  <c r="M237" i="17"/>
  <c r="Q237" i="17" s="1"/>
  <c r="U237" i="17" s="1"/>
  <c r="N37" i="17"/>
  <c r="R37" i="17" s="1"/>
  <c r="S37" i="17" s="1"/>
  <c r="M252" i="17"/>
  <c r="Q252" i="17" s="1"/>
  <c r="U252" i="17" s="1"/>
  <c r="N394" i="17"/>
  <c r="Y394" i="17" s="1"/>
  <c r="N306" i="17"/>
  <c r="R306" i="17" s="1"/>
  <c r="S306" i="17" s="1"/>
  <c r="N361" i="17"/>
  <c r="R361" i="17" s="1"/>
  <c r="S361" i="17" s="1"/>
  <c r="N35" i="17"/>
  <c r="Y35" i="17" s="1"/>
  <c r="M381" i="17"/>
  <c r="M560" i="17"/>
  <c r="Q560" i="17" s="1"/>
  <c r="U560" i="17" s="1"/>
  <c r="N354" i="17"/>
  <c r="R354" i="17" s="1"/>
  <c r="S354" i="17" s="1"/>
  <c r="N206" i="17"/>
  <c r="Y206" i="17" s="1"/>
  <c r="M612" i="17"/>
  <c r="N518" i="17"/>
  <c r="R518" i="17" s="1"/>
  <c r="S518" i="17" s="1"/>
  <c r="M454" i="17"/>
  <c r="Q454" i="17" s="1"/>
  <c r="U454" i="17" s="1"/>
  <c r="N380" i="17"/>
  <c r="M212" i="17"/>
  <c r="M402" i="17"/>
  <c r="Q402" i="17" s="1"/>
  <c r="U402" i="17" s="1"/>
  <c r="N613" i="17"/>
  <c r="R613" i="17" s="1"/>
  <c r="S613" i="17" s="1"/>
  <c r="N446" i="17"/>
  <c r="R446" i="17" s="1"/>
  <c r="S446" i="17" s="1"/>
  <c r="M314" i="17"/>
  <c r="N549" i="17"/>
  <c r="R549" i="17" s="1"/>
  <c r="S549" i="17" s="1"/>
  <c r="N363" i="17"/>
  <c r="N229" i="17"/>
  <c r="N258" i="17"/>
  <c r="R258" i="17" s="1"/>
  <c r="S258" i="17" s="1"/>
  <c r="M161" i="17"/>
  <c r="Q161" i="17" s="1"/>
  <c r="U161" i="17" s="1"/>
  <c r="M578" i="17"/>
  <c r="Q578" i="17" s="1"/>
  <c r="U578" i="17" s="1"/>
  <c r="N489" i="17"/>
  <c r="N321" i="17"/>
  <c r="Y321" i="17" s="1"/>
  <c r="N255" i="17"/>
  <c r="Y255" i="17" s="1"/>
  <c r="N284" i="17"/>
  <c r="Y284" i="17" s="1"/>
  <c r="N116" i="17"/>
  <c r="N55" i="17"/>
  <c r="R55" i="17" s="1"/>
  <c r="S55" i="17" s="1"/>
  <c r="N104" i="17"/>
  <c r="R104" i="17" s="1"/>
  <c r="S104" i="17" s="1"/>
  <c r="M30" i="17"/>
  <c r="N78" i="17"/>
  <c r="R78" i="17" s="1"/>
  <c r="S78" i="17" s="1"/>
  <c r="N343" i="17"/>
  <c r="R343" i="17" s="1"/>
  <c r="S343" i="17" s="1"/>
  <c r="M465" i="17"/>
  <c r="Q465" i="17" s="1"/>
  <c r="U465" i="17" s="1"/>
  <c r="M166" i="17"/>
  <c r="Q166" i="17" s="1"/>
  <c r="U166" i="17" s="1"/>
  <c r="M400" i="17"/>
  <c r="Q400" i="17" s="1"/>
  <c r="U400" i="17" s="1"/>
  <c r="N566" i="17"/>
  <c r="M208" i="17"/>
  <c r="Q208" i="17" s="1"/>
  <c r="U208" i="17" s="1"/>
  <c r="M600" i="17"/>
  <c r="X600" i="17" s="1"/>
  <c r="N586" i="17"/>
  <c r="M178" i="17"/>
  <c r="N233" i="17"/>
  <c r="R233" i="17" s="1"/>
  <c r="S233" i="17" s="1"/>
  <c r="N349" i="17"/>
  <c r="R349" i="17" s="1"/>
  <c r="S349" i="17" s="1"/>
  <c r="N108" i="17"/>
  <c r="M479" i="17"/>
  <c r="M540" i="17"/>
  <c r="M76" i="17"/>
  <c r="X76" i="17" s="1"/>
  <c r="N572" i="17"/>
  <c r="Y572" i="17" s="1"/>
  <c r="M406" i="17"/>
  <c r="Q406" i="17" s="1"/>
  <c r="U406" i="17" s="1"/>
  <c r="M312" i="17"/>
  <c r="Q312" i="17" s="1"/>
  <c r="U312" i="17" s="1"/>
  <c r="M468" i="17"/>
  <c r="Q468" i="17" s="1"/>
  <c r="U468" i="17" s="1"/>
  <c r="M517" i="17"/>
  <c r="N181" i="17"/>
  <c r="Y181" i="17" s="1"/>
  <c r="M515" i="17"/>
  <c r="M383" i="17"/>
  <c r="Q383" i="17" s="1"/>
  <c r="U383" i="17" s="1"/>
  <c r="N244" i="17"/>
  <c r="N79" i="17"/>
  <c r="M58" i="17"/>
  <c r="X58" i="17" s="1"/>
  <c r="N399" i="17"/>
  <c r="R399" i="17" s="1"/>
  <c r="S399" i="17" s="1"/>
  <c r="M488" i="17"/>
  <c r="X488" i="17" s="1"/>
  <c r="N368" i="17"/>
  <c r="R368" i="17" s="1"/>
  <c r="S368" i="17" s="1"/>
  <c r="N565" i="17"/>
  <c r="R565" i="17" s="1"/>
  <c r="S565" i="17" s="1"/>
  <c r="N203" i="17"/>
  <c r="R203" i="17" s="1"/>
  <c r="S203" i="17" s="1"/>
  <c r="N480" i="17"/>
  <c r="Y480" i="17" s="1"/>
  <c r="N340" i="17"/>
  <c r="R340" i="17" s="1"/>
  <c r="S340" i="17" s="1"/>
  <c r="M172" i="17"/>
  <c r="Q172" i="17" s="1"/>
  <c r="U172" i="17" s="1"/>
  <c r="M607" i="17"/>
  <c r="Q607" i="17" s="1"/>
  <c r="U607" i="17" s="1"/>
  <c r="M218" i="17"/>
  <c r="M385" i="17"/>
  <c r="Q385" i="17" s="1"/>
  <c r="U385" i="17" s="1"/>
  <c r="N218" i="17"/>
  <c r="M259" i="17"/>
  <c r="N449" i="17"/>
  <c r="N207" i="17"/>
  <c r="M125" i="17"/>
  <c r="M63" i="17"/>
  <c r="X63" i="17" s="1"/>
  <c r="M45" i="17"/>
  <c r="Q45" i="17" s="1"/>
  <c r="U45" i="17" s="1"/>
  <c r="M543" i="17"/>
  <c r="X543" i="17" s="1"/>
  <c r="M246" i="17"/>
  <c r="M561" i="17"/>
  <c r="Q561" i="17" s="1"/>
  <c r="U561" i="17" s="1"/>
  <c r="M482" i="17"/>
  <c r="N486" i="17"/>
  <c r="N294" i="17"/>
  <c r="Y294" i="17" s="1"/>
  <c r="N227" i="17"/>
  <c r="Y227" i="17" s="1"/>
  <c r="M24" i="17"/>
  <c r="X24" i="17" s="1"/>
  <c r="M123" i="17"/>
  <c r="N571" i="17"/>
  <c r="N432" i="17"/>
  <c r="M366" i="17"/>
  <c r="M300" i="17"/>
  <c r="N544" i="17"/>
  <c r="M152" i="17"/>
  <c r="Q152" i="17" s="1"/>
  <c r="U152" i="17" s="1"/>
  <c r="N546" i="17"/>
  <c r="M372" i="17"/>
  <c r="X372" i="17" s="1"/>
  <c r="M138" i="17"/>
  <c r="Q138" i="17" s="1"/>
  <c r="U138" i="17" s="1"/>
  <c r="M437" i="17"/>
  <c r="Q437" i="17" s="1"/>
  <c r="U437" i="17" s="1"/>
  <c r="N309" i="17"/>
  <c r="N141" i="17"/>
  <c r="R141" i="17" s="1"/>
  <c r="S141" i="17" s="1"/>
  <c r="N178" i="17"/>
  <c r="R178" i="17" s="1"/>
  <c r="S178" i="17" s="1"/>
  <c r="N595" i="17"/>
  <c r="R595" i="17" s="1"/>
  <c r="S595" i="17" s="1"/>
  <c r="M475" i="17"/>
  <c r="N409" i="17"/>
  <c r="R409" i="17" s="1"/>
  <c r="S409" i="17" s="1"/>
  <c r="M335" i="17"/>
  <c r="X335" i="17" s="1"/>
  <c r="N167" i="17"/>
  <c r="R167" i="17" s="1"/>
  <c r="S167" i="17" s="1"/>
  <c r="N204" i="17"/>
  <c r="N15" i="17"/>
  <c r="N99" i="17"/>
  <c r="R99" i="17" s="1"/>
  <c r="S99" i="17" s="1"/>
  <c r="N622" i="17"/>
  <c r="M90" i="17"/>
  <c r="M333" i="17"/>
  <c r="Q333" i="17" s="1"/>
  <c r="U333" i="17" s="1"/>
  <c r="N455" i="17"/>
  <c r="R455" i="17" s="1"/>
  <c r="S455" i="17" s="1"/>
  <c r="M559" i="17"/>
  <c r="N334" i="17"/>
  <c r="N474" i="17"/>
  <c r="M209" i="17"/>
  <c r="Q209" i="17" s="1"/>
  <c r="U209" i="17" s="1"/>
  <c r="M442" i="17"/>
  <c r="Q442" i="17" s="1"/>
  <c r="U442" i="17" s="1"/>
  <c r="M232" i="17"/>
  <c r="M428" i="17"/>
  <c r="X428" i="17" s="1"/>
  <c r="N483" i="17"/>
  <c r="R483" i="17" s="1"/>
  <c r="S483" i="17" s="1"/>
  <c r="M179" i="17"/>
  <c r="Q179" i="17" s="1"/>
  <c r="U179" i="17" s="1"/>
  <c r="N208" i="17"/>
  <c r="N82" i="17"/>
  <c r="Y82" i="17" s="1"/>
  <c r="N49" i="17"/>
  <c r="R49" i="17" s="1"/>
  <c r="S49" i="17" s="1"/>
  <c r="N628" i="17"/>
  <c r="R628" i="17" s="1"/>
  <c r="S628" i="17" s="1"/>
  <c r="M199" i="17"/>
  <c r="Q199" i="17" s="1"/>
  <c r="U199" i="17" s="1"/>
  <c r="N123" i="17"/>
  <c r="Y123" i="17" s="1"/>
  <c r="M41" i="17"/>
  <c r="Q41" i="17" s="1"/>
  <c r="U41" i="17" s="1"/>
  <c r="N100" i="17"/>
  <c r="N264" i="17"/>
  <c r="N469" i="17"/>
  <c r="M555" i="17"/>
  <c r="Q555" i="17" s="1"/>
  <c r="U555" i="17" s="1"/>
  <c r="N110" i="17"/>
  <c r="Y110" i="17" s="1"/>
  <c r="M92" i="17"/>
  <c r="Q92" i="17" s="1"/>
  <c r="U92" i="17" s="1"/>
  <c r="M99" i="17"/>
  <c r="Q99" i="17" s="1"/>
  <c r="U99" i="17" s="1"/>
  <c r="N73" i="17"/>
  <c r="N168" i="17"/>
  <c r="Y168" i="17" s="1"/>
  <c r="N219" i="17"/>
  <c r="N373" i="17"/>
  <c r="R373" i="17" s="1"/>
  <c r="S373" i="17" s="1"/>
  <c r="M525" i="17"/>
  <c r="X525" i="17" s="1"/>
  <c r="N142" i="17"/>
  <c r="Y142" i="17" s="1"/>
  <c r="N90" i="17"/>
  <c r="M84" i="17"/>
  <c r="M20" i="17"/>
  <c r="M83" i="17"/>
  <c r="Q83" i="17" s="1"/>
  <c r="U83" i="17" s="1"/>
  <c r="N52" i="17"/>
  <c r="N65" i="17"/>
  <c r="M155" i="17"/>
  <c r="N184" i="17"/>
  <c r="R184" i="17" s="1"/>
  <c r="S184" i="17" s="1"/>
  <c r="N312" i="17"/>
  <c r="N235" i="17"/>
  <c r="M363" i="17"/>
  <c r="Q363" i="17" s="1"/>
  <c r="U363" i="17" s="1"/>
  <c r="N389" i="17"/>
  <c r="R389" i="17" s="1"/>
  <c r="S389" i="17" s="1"/>
  <c r="N517" i="17"/>
  <c r="M541" i="17"/>
  <c r="M219" i="17"/>
  <c r="X219" i="17" s="1"/>
  <c r="N158" i="17"/>
  <c r="N222" i="17"/>
  <c r="Y222" i="17" s="1"/>
  <c r="N286" i="17"/>
  <c r="R286" i="17" s="1"/>
  <c r="S286" i="17" s="1"/>
  <c r="M97" i="17"/>
  <c r="M17" i="17"/>
  <c r="N50" i="17"/>
  <c r="M96" i="17"/>
  <c r="M64" i="17"/>
  <c r="M32" i="17"/>
  <c r="Q32" i="17" s="1"/>
  <c r="U32" i="17" s="1"/>
  <c r="M159" i="17"/>
  <c r="M107" i="17"/>
  <c r="Q107" i="17" s="1"/>
  <c r="U107" i="17" s="1"/>
  <c r="M43" i="17"/>
  <c r="Q43" i="17" s="1"/>
  <c r="U43" i="17" s="1"/>
  <c r="N76" i="17"/>
  <c r="N109" i="17"/>
  <c r="N77" i="17"/>
  <c r="R77" i="17" s="1"/>
  <c r="S77" i="17" s="1"/>
  <c r="N45" i="17"/>
  <c r="R45" i="17" s="1"/>
  <c r="S45" i="17" s="1"/>
  <c r="N13" i="17"/>
  <c r="Y13" i="17" s="1"/>
  <c r="M173" i="17"/>
  <c r="N160" i="17"/>
  <c r="N224" i="17"/>
  <c r="R224" i="17" s="1"/>
  <c r="S224" i="17" s="1"/>
  <c r="N288" i="17"/>
  <c r="Y288" i="17" s="1"/>
  <c r="N147" i="17"/>
  <c r="N211" i="17"/>
  <c r="R211" i="17" s="1"/>
  <c r="S211" i="17" s="1"/>
  <c r="N275" i="17"/>
  <c r="R275" i="17" s="1"/>
  <c r="S275" i="17" s="1"/>
  <c r="M339" i="17"/>
  <c r="X339" i="17" s="1"/>
  <c r="M403" i="17"/>
  <c r="N365" i="17"/>
  <c r="N429" i="17"/>
  <c r="R429" i="17" s="1"/>
  <c r="S429" i="17" s="1"/>
  <c r="N493" i="17"/>
  <c r="R493" i="17" s="1"/>
  <c r="S493" i="17" s="1"/>
  <c r="M455" i="17"/>
  <c r="M520" i="17"/>
  <c r="Q520" i="17" s="1"/>
  <c r="U520" i="17" s="1"/>
  <c r="M532" i="17"/>
  <c r="N603" i="17"/>
  <c r="R603" i="17" s="1"/>
  <c r="S603" i="17" s="1"/>
  <c r="M121" i="17"/>
  <c r="N134" i="17"/>
  <c r="R134" i="17" s="1"/>
  <c r="S134" i="17" s="1"/>
  <c r="N198" i="17"/>
  <c r="N262" i="17"/>
  <c r="Y262" i="17" s="1"/>
  <c r="N121" i="17"/>
  <c r="N161" i="17"/>
  <c r="Y161" i="17" s="1"/>
  <c r="N193" i="17"/>
  <c r="N225" i="17"/>
  <c r="R225" i="17" s="1"/>
  <c r="S225" i="17" s="1"/>
  <c r="N257" i="17"/>
  <c r="R257" i="17" s="1"/>
  <c r="S257" i="17" s="1"/>
  <c r="N289" i="17"/>
  <c r="M321" i="17"/>
  <c r="Q321" i="17" s="1"/>
  <c r="U321" i="17" s="1"/>
  <c r="M377" i="17"/>
  <c r="X377" i="17" s="1"/>
  <c r="N339" i="17"/>
  <c r="Y339" i="17" s="1"/>
  <c r="N403" i="17"/>
  <c r="N467" i="17"/>
  <c r="R467" i="17" s="1"/>
  <c r="S467" i="17" s="1"/>
  <c r="M429" i="17"/>
  <c r="Q429" i="17" s="1"/>
  <c r="U429" i="17" s="1"/>
  <c r="M493" i="17"/>
  <c r="M566" i="17"/>
  <c r="Q566" i="17" s="1"/>
  <c r="U566" i="17" s="1"/>
  <c r="M551" i="17"/>
  <c r="M247" i="17"/>
  <c r="X247" i="17" s="1"/>
  <c r="M114" i="17"/>
  <c r="N74" i="17"/>
  <c r="N200" i="17"/>
  <c r="R200" i="17" s="1"/>
  <c r="S200" i="17" s="1"/>
  <c r="M85" i="17"/>
  <c r="N187" i="17"/>
  <c r="N405" i="17"/>
  <c r="M251" i="17"/>
  <c r="M60" i="17"/>
  <c r="N68" i="17"/>
  <c r="M189" i="17"/>
  <c r="Q189" i="17" s="1"/>
  <c r="U189" i="17" s="1"/>
  <c r="N283" i="17"/>
  <c r="R283" i="17" s="1"/>
  <c r="S283" i="17" s="1"/>
  <c r="N501" i="17"/>
  <c r="R501" i="17" s="1"/>
  <c r="S501" i="17" s="1"/>
  <c r="M137" i="17"/>
  <c r="N58" i="17"/>
  <c r="Y58" i="17" s="1"/>
  <c r="M52" i="17"/>
  <c r="X52" i="17" s="1"/>
  <c r="M626" i="17"/>
  <c r="N20" i="17"/>
  <c r="Y20" i="17" s="1"/>
  <c r="N33" i="17"/>
  <c r="N152" i="17"/>
  <c r="R152" i="17" s="1"/>
  <c r="S152" i="17" s="1"/>
  <c r="N139" i="17"/>
  <c r="N299" i="17"/>
  <c r="N357" i="17"/>
  <c r="M447" i="17"/>
  <c r="N569" i="17"/>
  <c r="N126" i="17"/>
  <c r="N238" i="17"/>
  <c r="N113" i="17"/>
  <c r="M33" i="17"/>
  <c r="N34" i="17"/>
  <c r="M80" i="17"/>
  <c r="M40" i="17"/>
  <c r="Q40" i="17" s="1"/>
  <c r="U40" i="17" s="1"/>
  <c r="M117" i="17"/>
  <c r="M75" i="17"/>
  <c r="Q75" i="17" s="1"/>
  <c r="U75" i="17" s="1"/>
  <c r="N92" i="17"/>
  <c r="R92" i="17" s="1"/>
  <c r="S92" i="17" s="1"/>
  <c r="N101" i="17"/>
  <c r="Y101" i="17" s="1"/>
  <c r="N61" i="17"/>
  <c r="N21" i="17"/>
  <c r="R21" i="17" s="1"/>
  <c r="S21" i="17" s="1"/>
  <c r="N112" i="17"/>
  <c r="N192" i="17"/>
  <c r="Y192" i="17" s="1"/>
  <c r="N272" i="17"/>
  <c r="R272" i="17" s="1"/>
  <c r="S272" i="17" s="1"/>
  <c r="N163" i="17"/>
  <c r="N243" i="17"/>
  <c r="M323" i="17"/>
  <c r="Q323" i="17" s="1"/>
  <c r="U323" i="17" s="1"/>
  <c r="N317" i="17"/>
  <c r="R317" i="17" s="1"/>
  <c r="S317" i="17" s="1"/>
  <c r="N397" i="17"/>
  <c r="N477" i="17"/>
  <c r="Y477" i="17" s="1"/>
  <c r="M471" i="17"/>
  <c r="Q471" i="17" s="1"/>
  <c r="U471" i="17" s="1"/>
  <c r="M554" i="17"/>
  <c r="M571" i="17"/>
  <c r="M153" i="17"/>
  <c r="Q153" i="17" s="1"/>
  <c r="U153" i="17" s="1"/>
  <c r="N166" i="17"/>
  <c r="R166" i="17" s="1"/>
  <c r="S166" i="17" s="1"/>
  <c r="N246" i="17"/>
  <c r="N137" i="17"/>
  <c r="N177" i="17"/>
  <c r="R177" i="17" s="1"/>
  <c r="S177" i="17" s="1"/>
  <c r="N217" i="17"/>
  <c r="R217" i="17" s="1"/>
  <c r="S217" i="17" s="1"/>
  <c r="N265" i="17"/>
  <c r="R265" i="17" s="1"/>
  <c r="S265" i="17" s="1"/>
  <c r="N305" i="17"/>
  <c r="M361" i="17"/>
  <c r="Q361" i="17" s="1"/>
  <c r="U361" i="17" s="1"/>
  <c r="N355" i="17"/>
  <c r="R355" i="17" s="1"/>
  <c r="S355" i="17" s="1"/>
  <c r="N435" i="17"/>
  <c r="N515" i="17"/>
  <c r="M509" i="17"/>
  <c r="M538" i="17"/>
  <c r="X538" i="17" s="1"/>
  <c r="M215" i="17"/>
  <c r="Q215" i="17" s="1"/>
  <c r="U215" i="17" s="1"/>
  <c r="M130" i="17"/>
  <c r="M194" i="17"/>
  <c r="Q194" i="17" s="1"/>
  <c r="U194" i="17" s="1"/>
  <c r="M258" i="17"/>
  <c r="N322" i="17"/>
  <c r="R322" i="17" s="1"/>
  <c r="S322" i="17" s="1"/>
  <c r="N386" i="17"/>
  <c r="Y386" i="17" s="1"/>
  <c r="M348" i="17"/>
  <c r="M412" i="17"/>
  <c r="M476" i="17"/>
  <c r="N438" i="17"/>
  <c r="R438" i="17" s="1"/>
  <c r="S438" i="17" s="1"/>
  <c r="N502" i="17"/>
  <c r="Y502" i="17" s="1"/>
  <c r="M584" i="17"/>
  <c r="Q584" i="17" s="1"/>
  <c r="N554" i="17"/>
  <c r="Y554" i="17" s="1"/>
  <c r="M599" i="17"/>
  <c r="Q599" i="17" s="1"/>
  <c r="U599" i="17" s="1"/>
  <c r="M589" i="17"/>
  <c r="Q589" i="17" s="1"/>
  <c r="U589" i="17" s="1"/>
  <c r="M221" i="17"/>
  <c r="Q221" i="17" s="1"/>
  <c r="U221" i="17" s="1"/>
  <c r="M285" i="17"/>
  <c r="M144" i="17"/>
  <c r="M264" i="17"/>
  <c r="N392" i="17"/>
  <c r="M418" i="17"/>
  <c r="Q418" i="17" s="1"/>
  <c r="U418" i="17" s="1"/>
  <c r="N444" i="17"/>
  <c r="N521" i="17"/>
  <c r="Y521" i="17" s="1"/>
  <c r="M597" i="17"/>
  <c r="X597" i="17" s="1"/>
  <c r="N552" i="17"/>
  <c r="Y552" i="17" s="1"/>
  <c r="M580" i="17"/>
  <c r="Q580" i="17" s="1"/>
  <c r="U580" i="17" s="1"/>
  <c r="N500" i="17"/>
  <c r="R500" i="17" s="1"/>
  <c r="S500" i="17" s="1"/>
  <c r="N436" i="17"/>
  <c r="R436" i="17" s="1"/>
  <c r="S436" i="17" s="1"/>
  <c r="M474" i="17"/>
  <c r="M410" i="17"/>
  <c r="M346" i="17"/>
  <c r="N384" i="17"/>
  <c r="Y384" i="17" s="1"/>
  <c r="N320" i="17"/>
  <c r="R320" i="17" s="1"/>
  <c r="S320" i="17" s="1"/>
  <c r="M256" i="17"/>
  <c r="M192" i="17"/>
  <c r="M140" i="17"/>
  <c r="Q140" i="17" s="1"/>
  <c r="U140" i="17" s="1"/>
  <c r="M313" i="17"/>
  <c r="X313" i="17" s="1"/>
  <c r="M281" i="17"/>
  <c r="M249" i="17"/>
  <c r="X249" i="17" s="1"/>
  <c r="M217" i="17"/>
  <c r="Q217" i="17" s="1"/>
  <c r="U217" i="17" s="1"/>
  <c r="N598" i="17"/>
  <c r="R598" i="17" s="1"/>
  <c r="S598" i="17" s="1"/>
  <c r="M585" i="17"/>
  <c r="Q585" i="17" s="1"/>
  <c r="U585" i="17" s="1"/>
  <c r="M553" i="17"/>
  <c r="M595" i="17"/>
  <c r="Q595" i="17" s="1"/>
  <c r="U595" i="17" s="1"/>
  <c r="N582" i="17"/>
  <c r="N550" i="17"/>
  <c r="N543" i="17"/>
  <c r="R543" i="17" s="1"/>
  <c r="S543" i="17" s="1"/>
  <c r="M576" i="17"/>
  <c r="X576" i="17" s="1"/>
  <c r="N528" i="17"/>
  <c r="N498" i="17"/>
  <c r="N466" i="17"/>
  <c r="N434" i="17"/>
  <c r="R434" i="17" s="1"/>
  <c r="S434" i="17" s="1"/>
  <c r="M504" i="17"/>
  <c r="M472" i="17"/>
  <c r="M440" i="17"/>
  <c r="M408" i="17"/>
  <c r="Q408" i="17" s="1"/>
  <c r="U408" i="17" s="1"/>
  <c r="M376" i="17"/>
  <c r="M344" i="17"/>
  <c r="Q344" i="17" s="1"/>
  <c r="U344" i="17" s="1"/>
  <c r="N414" i="17"/>
  <c r="R414" i="17" s="1"/>
  <c r="S414" i="17" s="1"/>
  <c r="N382" i="17"/>
  <c r="R382" i="17" s="1"/>
  <c r="S382" i="17" s="1"/>
  <c r="N350" i="17"/>
  <c r="Y350" i="17" s="1"/>
  <c r="N318" i="17"/>
  <c r="M286" i="17"/>
  <c r="Q286" i="17" s="1"/>
  <c r="U286" i="17" s="1"/>
  <c r="M254" i="17"/>
  <c r="M222" i="17"/>
  <c r="X222" i="17" s="1"/>
  <c r="M190" i="17"/>
  <c r="M158" i="17"/>
  <c r="Q158" i="17" s="1"/>
  <c r="U158" i="17" s="1"/>
  <c r="M126" i="17"/>
  <c r="M299" i="17"/>
  <c r="Q299" i="17" s="1"/>
  <c r="U299" i="17" s="1"/>
  <c r="M267" i="17"/>
  <c r="M207" i="17"/>
  <c r="Q207" i="17" s="1"/>
  <c r="U207" i="17" s="1"/>
  <c r="M575" i="17"/>
  <c r="N557" i="17"/>
  <c r="M590" i="17"/>
  <c r="M535" i="17"/>
  <c r="Q535" i="17" s="1"/>
  <c r="U535" i="17" s="1"/>
  <c r="M505" i="17"/>
  <c r="Q505" i="17" s="1"/>
  <c r="U505" i="17" s="1"/>
  <c r="M473" i="17"/>
  <c r="Q473" i="17" s="1"/>
  <c r="U473" i="17" s="1"/>
  <c r="M441" i="17"/>
  <c r="N511" i="17"/>
  <c r="N479" i="17"/>
  <c r="R479" i="17" s="1"/>
  <c r="S479" i="17" s="1"/>
  <c r="N447" i="17"/>
  <c r="N415" i="17"/>
  <c r="N383" i="17"/>
  <c r="R383" i="17" s="1"/>
  <c r="S383" i="17" s="1"/>
  <c r="N351" i="17"/>
  <c r="N319" i="17"/>
  <c r="M389" i="17"/>
  <c r="Q389" i="17" s="1"/>
  <c r="U389" i="17" s="1"/>
  <c r="M357" i="17"/>
  <c r="Q357" i="17" s="1"/>
  <c r="U357" i="17" s="1"/>
  <c r="N623" i="17"/>
  <c r="R623" i="17" s="1"/>
  <c r="S623" i="17" s="1"/>
  <c r="M61" i="17"/>
  <c r="M29" i="17"/>
  <c r="N94" i="17"/>
  <c r="N62" i="17"/>
  <c r="R62" i="17" s="1"/>
  <c r="S62" i="17" s="1"/>
  <c r="N30" i="17"/>
  <c r="R30" i="17" s="1"/>
  <c r="S30" i="17" s="1"/>
  <c r="M102" i="17"/>
  <c r="M86" i="17"/>
  <c r="M70" i="17"/>
  <c r="Q70" i="17" s="1"/>
  <c r="U70" i="17" s="1"/>
  <c r="M54" i="17"/>
  <c r="M38" i="17"/>
  <c r="Q38" i="17" s="1"/>
  <c r="U38" i="17" s="1"/>
  <c r="M22" i="17"/>
  <c r="Q22" i="17" s="1"/>
  <c r="M135" i="17"/>
  <c r="Q135" i="17" s="1"/>
  <c r="U135" i="17" s="1"/>
  <c r="M133" i="17"/>
  <c r="Q133" i="17" s="1"/>
  <c r="U133" i="17" s="1"/>
  <c r="M623" i="17"/>
  <c r="M87" i="17"/>
  <c r="Q87" i="17" s="1"/>
  <c r="U87" i="17" s="1"/>
  <c r="M55" i="17"/>
  <c r="X55" i="17" s="1"/>
  <c r="M23" i="17"/>
  <c r="X23" i="17" s="1"/>
  <c r="N88" i="17"/>
  <c r="R88" i="17" s="1"/>
  <c r="S88" i="17" s="1"/>
  <c r="N56" i="17"/>
  <c r="R56" i="17" s="1"/>
  <c r="S56" i="17" s="1"/>
  <c r="N24" i="17"/>
  <c r="Y24" i="17" s="1"/>
  <c r="M111" i="17"/>
  <c r="Q111" i="17" s="1"/>
  <c r="U111" i="17" s="1"/>
  <c r="M108" i="17"/>
  <c r="N136" i="17"/>
  <c r="Y136" i="17" s="1"/>
  <c r="M495" i="17"/>
  <c r="Q495" i="17" s="1"/>
  <c r="U495" i="17" s="1"/>
  <c r="N106" i="17"/>
  <c r="M35" i="17"/>
  <c r="N232" i="17"/>
  <c r="R232" i="17" s="1"/>
  <c r="S232" i="17" s="1"/>
  <c r="M411" i="17"/>
  <c r="Q411" i="17" s="1"/>
  <c r="U411" i="17" s="1"/>
  <c r="N600" i="17"/>
  <c r="N26" i="17"/>
  <c r="M143" i="17"/>
  <c r="N84" i="17"/>
  <c r="R84" i="17" s="1"/>
  <c r="S84" i="17" s="1"/>
  <c r="N17" i="17"/>
  <c r="R17" i="17" s="1"/>
  <c r="S17" i="17" s="1"/>
  <c r="N248" i="17"/>
  <c r="N267" i="17"/>
  <c r="R267" i="17" s="1"/>
  <c r="S267" i="17" s="1"/>
  <c r="N421" i="17"/>
  <c r="R421" i="17" s="1"/>
  <c r="S421" i="17" s="1"/>
  <c r="M511" i="17"/>
  <c r="M169" i="17"/>
  <c r="Q169" i="17" s="1"/>
  <c r="U169" i="17" s="1"/>
  <c r="N254" i="17"/>
  <c r="M65" i="17"/>
  <c r="X65" i="17" s="1"/>
  <c r="N66" i="17"/>
  <c r="R66" i="17" s="1"/>
  <c r="S66" i="17" s="1"/>
  <c r="M72" i="17"/>
  <c r="M16" i="17"/>
  <c r="Q16" i="17" s="1"/>
  <c r="U16" i="17" s="1"/>
  <c r="M91" i="17"/>
  <c r="Q91" i="17" s="1"/>
  <c r="U91" i="17" s="1"/>
  <c r="N60" i="17"/>
  <c r="Y60" i="17" s="1"/>
  <c r="N85" i="17"/>
  <c r="N29" i="17"/>
  <c r="R29" i="17" s="1"/>
  <c r="S29" i="17" s="1"/>
  <c r="N128" i="17"/>
  <c r="N240" i="17"/>
  <c r="Y240" i="17" s="1"/>
  <c r="N131" i="17"/>
  <c r="N259" i="17"/>
  <c r="R259" i="17" s="1"/>
  <c r="S259" i="17" s="1"/>
  <c r="M371" i="17"/>
  <c r="Q371" i="17" s="1"/>
  <c r="U371" i="17" s="1"/>
  <c r="N381" i="17"/>
  <c r="R381" i="17" s="1"/>
  <c r="S381" i="17" s="1"/>
  <c r="N509" i="17"/>
  <c r="R509" i="17" s="1"/>
  <c r="S509" i="17" s="1"/>
  <c r="M503" i="17"/>
  <c r="N585" i="17"/>
  <c r="R585" i="17" s="1"/>
  <c r="S585" i="17" s="1"/>
  <c r="M185" i="17"/>
  <c r="N214" i="17"/>
  <c r="R214" i="17" s="1"/>
  <c r="S214" i="17" s="1"/>
  <c r="N310" i="17"/>
  <c r="R310" i="17" s="1"/>
  <c r="S310" i="17" s="1"/>
  <c r="N185" i="17"/>
  <c r="N241" i="17"/>
  <c r="R241" i="17" s="1"/>
  <c r="S241" i="17" s="1"/>
  <c r="N297" i="17"/>
  <c r="R297" i="17" s="1"/>
  <c r="S297" i="17" s="1"/>
  <c r="M393" i="17"/>
  <c r="N387" i="17"/>
  <c r="N499" i="17"/>
  <c r="R499" i="17" s="1"/>
  <c r="S499" i="17" s="1"/>
  <c r="M523" i="17"/>
  <c r="M583" i="17"/>
  <c r="Q583" i="17" s="1"/>
  <c r="U583" i="17" s="1"/>
  <c r="M303" i="17"/>
  <c r="M210" i="17"/>
  <c r="X210" i="17" s="1"/>
  <c r="M290" i="17"/>
  <c r="N370" i="17"/>
  <c r="R370" i="17" s="1"/>
  <c r="S370" i="17" s="1"/>
  <c r="M364" i="17"/>
  <c r="Q364" i="17" s="1"/>
  <c r="U364" i="17" s="1"/>
  <c r="M444" i="17"/>
  <c r="N422" i="17"/>
  <c r="R422" i="17" s="1"/>
  <c r="S422" i="17" s="1"/>
  <c r="M518" i="17"/>
  <c r="Q518" i="17" s="1"/>
  <c r="U518" i="17" s="1"/>
  <c r="N551" i="17"/>
  <c r="R551" i="17" s="1"/>
  <c r="S551" i="17" s="1"/>
  <c r="M602" i="17"/>
  <c r="X602" i="17" s="1"/>
  <c r="N605" i="17"/>
  <c r="M253" i="17"/>
  <c r="Q253" i="17" s="1"/>
  <c r="U253" i="17" s="1"/>
  <c r="M128" i="17"/>
  <c r="Q128" i="17" s="1"/>
  <c r="U128" i="17" s="1"/>
  <c r="M296" i="17"/>
  <c r="M354" i="17"/>
  <c r="M514" i="17"/>
  <c r="Q514" i="17" s="1"/>
  <c r="U514" i="17" s="1"/>
  <c r="N563" i="17"/>
  <c r="Y563" i="17" s="1"/>
  <c r="N584" i="17"/>
  <c r="N529" i="17"/>
  <c r="N484" i="17"/>
  <c r="M506" i="17"/>
  <c r="M426" i="17"/>
  <c r="Q426" i="17" s="1"/>
  <c r="U426" i="17" s="1"/>
  <c r="M330" i="17"/>
  <c r="N352" i="17"/>
  <c r="M272" i="17"/>
  <c r="Q272" i="17" s="1"/>
  <c r="U272" i="17" s="1"/>
  <c r="M176" i="17"/>
  <c r="M124" i="17"/>
  <c r="Q124" i="17" s="1"/>
  <c r="U124" i="17" s="1"/>
  <c r="M289" i="17"/>
  <c r="M241" i="17"/>
  <c r="M201" i="17"/>
  <c r="Q201" i="17" s="1"/>
  <c r="U201" i="17" s="1"/>
  <c r="M593" i="17"/>
  <c r="M545" i="17"/>
  <c r="M598" i="17"/>
  <c r="N558" i="17"/>
  <c r="Y558" i="17" s="1"/>
  <c r="N535" i="17"/>
  <c r="M544" i="17"/>
  <c r="X544" i="17" s="1"/>
  <c r="N506" i="17"/>
  <c r="N458" i="17"/>
  <c r="R458" i="17" s="1"/>
  <c r="S458" i="17" s="1"/>
  <c r="N418" i="17"/>
  <c r="R418" i="17" s="1"/>
  <c r="S418" i="17" s="1"/>
  <c r="M480" i="17"/>
  <c r="M432" i="17"/>
  <c r="M392" i="17"/>
  <c r="Q392" i="17" s="1"/>
  <c r="U392" i="17" s="1"/>
  <c r="M352" i="17"/>
  <c r="N406" i="17"/>
  <c r="R406" i="17" s="1"/>
  <c r="S406" i="17" s="1"/>
  <c r="N366" i="17"/>
  <c r="Y366" i="17" s="1"/>
  <c r="N326" i="17"/>
  <c r="M278" i="17"/>
  <c r="M238" i="17"/>
  <c r="Q238" i="17" s="1"/>
  <c r="M198" i="17"/>
  <c r="M150" i="17"/>
  <c r="Q150" i="17" s="1"/>
  <c r="U150" i="17" s="1"/>
  <c r="M110" i="17"/>
  <c r="Q110" i="17" s="1"/>
  <c r="M275" i="17"/>
  <c r="N604" i="17"/>
  <c r="N593" i="17"/>
  <c r="M526" i="17"/>
  <c r="Q526" i="17" s="1"/>
  <c r="U526" i="17" s="1"/>
  <c r="M527" i="17"/>
  <c r="M489" i="17"/>
  <c r="M449" i="17"/>
  <c r="X449" i="17" s="1"/>
  <c r="N503" i="17"/>
  <c r="N463" i="17"/>
  <c r="N423" i="17"/>
  <c r="R423" i="17" s="1"/>
  <c r="S423" i="17" s="1"/>
  <c r="N375" i="17"/>
  <c r="Y375" i="17" s="1"/>
  <c r="N335" i="17"/>
  <c r="M397" i="17"/>
  <c r="Q397" i="17" s="1"/>
  <c r="U397" i="17" s="1"/>
  <c r="M349" i="17"/>
  <c r="M89" i="17"/>
  <c r="M37" i="17"/>
  <c r="N86" i="17"/>
  <c r="N46" i="17"/>
  <c r="R46" i="17" s="1"/>
  <c r="S46" i="17" s="1"/>
  <c r="M106" i="17"/>
  <c r="M82" i="17"/>
  <c r="M62" i="17"/>
  <c r="Q62" i="17" s="1"/>
  <c r="U62" i="17" s="1"/>
  <c r="M42" i="17"/>
  <c r="Q42" i="17" s="1"/>
  <c r="U42" i="17" s="1"/>
  <c r="M18" i="17"/>
  <c r="Q18" i="17" s="1"/>
  <c r="M167" i="17"/>
  <c r="M77" i="17"/>
  <c r="Q77" i="17" s="1"/>
  <c r="U77" i="17" s="1"/>
  <c r="M79" i="17"/>
  <c r="Q79" i="17" s="1"/>
  <c r="U79" i="17" s="1"/>
  <c r="M39" i="17"/>
  <c r="Q39" i="17" s="1"/>
  <c r="U39" i="17" s="1"/>
  <c r="N96" i="17"/>
  <c r="R96" i="17" s="1"/>
  <c r="S96" i="17" s="1"/>
  <c r="N48" i="17"/>
  <c r="R48" i="17" s="1"/>
  <c r="S48" i="17" s="1"/>
  <c r="N107" i="17"/>
  <c r="R107" i="17" s="1"/>
  <c r="S107" i="17" s="1"/>
  <c r="N91" i="17"/>
  <c r="Y91" i="17" s="1"/>
  <c r="N75" i="17"/>
  <c r="N59" i="17"/>
  <c r="R59" i="17" s="1"/>
  <c r="S59" i="17" s="1"/>
  <c r="N43" i="17"/>
  <c r="R43" i="17" s="1"/>
  <c r="S43" i="17" s="1"/>
  <c r="N27" i="17"/>
  <c r="R27" i="17" s="1"/>
  <c r="S27" i="17" s="1"/>
  <c r="M115" i="17"/>
  <c r="M183" i="17"/>
  <c r="Q183" i="17" s="1"/>
  <c r="U183" i="17" s="1"/>
  <c r="M181" i="17"/>
  <c r="X181" i="17" s="1"/>
  <c r="N132" i="17"/>
  <c r="N164" i="17"/>
  <c r="R164" i="17" s="1"/>
  <c r="S164" i="17" s="1"/>
  <c r="N196" i="17"/>
  <c r="N228" i="17"/>
  <c r="R228" i="17" s="1"/>
  <c r="S228" i="17" s="1"/>
  <c r="N260" i="17"/>
  <c r="Y260" i="17" s="1"/>
  <c r="N292" i="17"/>
  <c r="N119" i="17"/>
  <c r="N151" i="17"/>
  <c r="R151" i="17" s="1"/>
  <c r="S151" i="17" s="1"/>
  <c r="N183" i="17"/>
  <c r="Y183" i="17" s="1"/>
  <c r="N215" i="17"/>
  <c r="N247" i="17"/>
  <c r="R247" i="17" s="1"/>
  <c r="S247" i="17" s="1"/>
  <c r="N279" i="17"/>
  <c r="R279" i="17" s="1"/>
  <c r="S279" i="17" s="1"/>
  <c r="N311" i="17"/>
  <c r="Y311" i="17" s="1"/>
  <c r="M343" i="17"/>
  <c r="Q343" i="17" s="1"/>
  <c r="U343" i="17" s="1"/>
  <c r="M375" i="17"/>
  <c r="M407" i="17"/>
  <c r="Q407" i="17" s="1"/>
  <c r="U407" i="17" s="1"/>
  <c r="N337" i="17"/>
  <c r="R337" i="17" s="1"/>
  <c r="S337" i="17" s="1"/>
  <c r="N369" i="17"/>
  <c r="R369" i="17" s="1"/>
  <c r="S369" i="17" s="1"/>
  <c r="N401" i="17"/>
  <c r="N433" i="17"/>
  <c r="R433" i="17" s="1"/>
  <c r="S433" i="17" s="1"/>
  <c r="N465" i="17"/>
  <c r="N497" i="17"/>
  <c r="M427" i="17"/>
  <c r="Q427" i="17" s="1"/>
  <c r="U427" i="17" s="1"/>
  <c r="M459" i="17"/>
  <c r="M491" i="17"/>
  <c r="Q491" i="17" s="1"/>
  <c r="U491" i="17" s="1"/>
  <c r="M521" i="17"/>
  <c r="M562" i="17"/>
  <c r="Q562" i="17" s="1"/>
  <c r="U562" i="17" s="1"/>
  <c r="M536" i="17"/>
  <c r="Q536" i="17" s="1"/>
  <c r="U536" i="17" s="1"/>
  <c r="M547" i="17"/>
  <c r="N611" i="17"/>
  <c r="R611" i="17" s="1"/>
  <c r="S611" i="17" s="1"/>
  <c r="M243" i="17"/>
  <c r="X243" i="17" s="1"/>
  <c r="M129" i="17"/>
  <c r="X129" i="17" s="1"/>
  <c r="M193" i="17"/>
  <c r="X193" i="17" s="1"/>
  <c r="N138" i="17"/>
  <c r="R138" i="17" s="1"/>
  <c r="S138" i="17" s="1"/>
  <c r="N170" i="17"/>
  <c r="R170" i="17" s="1"/>
  <c r="S170" i="17" s="1"/>
  <c r="N202" i="17"/>
  <c r="N234" i="17"/>
  <c r="R234" i="17" s="1"/>
  <c r="S234" i="17" s="1"/>
  <c r="N266" i="17"/>
  <c r="N298" i="17"/>
  <c r="R298" i="17" s="1"/>
  <c r="S298" i="17" s="1"/>
  <c r="N125" i="17"/>
  <c r="N157" i="17"/>
  <c r="R157" i="17" s="1"/>
  <c r="S157" i="17" s="1"/>
  <c r="N189" i="17"/>
  <c r="N221" i="17"/>
  <c r="N253" i="17"/>
  <c r="Y253" i="17" s="1"/>
  <c r="N285" i="17"/>
  <c r="R285" i="17" s="1"/>
  <c r="S285" i="17" s="1"/>
  <c r="M317" i="17"/>
  <c r="Q317" i="17" s="1"/>
  <c r="U317" i="17" s="1"/>
  <c r="M369" i="17"/>
  <c r="Q369" i="17" s="1"/>
  <c r="U369" i="17" s="1"/>
  <c r="N331" i="17"/>
  <c r="R331" i="17" s="1"/>
  <c r="S331" i="17" s="1"/>
  <c r="N395" i="17"/>
  <c r="N459" i="17"/>
  <c r="R459" i="17" s="1"/>
  <c r="S459" i="17" s="1"/>
  <c r="M421" i="17"/>
  <c r="Q421" i="17" s="1"/>
  <c r="U421" i="17" s="1"/>
  <c r="M485" i="17"/>
  <c r="X485" i="17" s="1"/>
  <c r="M550" i="17"/>
  <c r="X550" i="17" s="1"/>
  <c r="N581" i="17"/>
  <c r="M231" i="17"/>
  <c r="Q231" i="17" s="1"/>
  <c r="U231" i="17" s="1"/>
  <c r="M311" i="17"/>
  <c r="Q311" i="17" s="1"/>
  <c r="U311" i="17" s="1"/>
  <c r="M170" i="17"/>
  <c r="M234" i="17"/>
  <c r="M298" i="17"/>
  <c r="Q298" i="17" s="1"/>
  <c r="U298" i="17" s="1"/>
  <c r="N362" i="17"/>
  <c r="R362" i="17" s="1"/>
  <c r="S362" i="17" s="1"/>
  <c r="M324" i="17"/>
  <c r="M388" i="17"/>
  <c r="Q388" i="17" s="1"/>
  <c r="U388" i="17" s="1"/>
  <c r="M452" i="17"/>
  <c r="Q452" i="17" s="1"/>
  <c r="U452" i="17" s="1"/>
  <c r="M516" i="17"/>
  <c r="N478" i="17"/>
  <c r="N540" i="17"/>
  <c r="N567" i="17"/>
  <c r="Y567" i="17" s="1"/>
  <c r="N594" i="17"/>
  <c r="R594" i="17" s="1"/>
  <c r="S594" i="17" s="1"/>
  <c r="M565" i="17"/>
  <c r="N610" i="17"/>
  <c r="M261" i="17"/>
  <c r="Q261" i="17" s="1"/>
  <c r="U261" i="17" s="1"/>
  <c r="M120" i="17"/>
  <c r="Q120" i="17" s="1"/>
  <c r="U120" i="17" s="1"/>
  <c r="M216" i="17"/>
  <c r="X216" i="17" s="1"/>
  <c r="N344" i="17"/>
  <c r="M370" i="17"/>
  <c r="M498" i="17"/>
  <c r="N522" i="17"/>
  <c r="R522" i="17" s="1"/>
  <c r="S522" i="17" s="1"/>
  <c r="N576" i="17"/>
  <c r="R576" i="17" s="1"/>
  <c r="S576" i="17" s="1"/>
  <c r="M164" i="17"/>
  <c r="Q164" i="17" s="1"/>
  <c r="U164" i="17" s="1"/>
  <c r="M196" i="17"/>
  <c r="Q196" i="17" s="1"/>
  <c r="U196" i="17" s="1"/>
  <c r="M228" i="17"/>
  <c r="M260" i="17"/>
  <c r="Q260" i="17" s="1"/>
  <c r="U260" i="17" s="1"/>
  <c r="M292" i="17"/>
  <c r="Q292" i="17" s="1"/>
  <c r="U292" i="17" s="1"/>
  <c r="N324" i="17"/>
  <c r="N356" i="17"/>
  <c r="N388" i="17"/>
  <c r="M318" i="17"/>
  <c r="Q318" i="17" s="1"/>
  <c r="U318" i="17" s="1"/>
  <c r="M350" i="17"/>
  <c r="Q350" i="17" s="1"/>
  <c r="U350" i="17" s="1"/>
  <c r="M382" i="17"/>
  <c r="M414" i="17"/>
  <c r="Q414" i="17" s="1"/>
  <c r="U414" i="17" s="1"/>
  <c r="M446" i="17"/>
  <c r="Q446" i="17" s="1"/>
  <c r="U446" i="17" s="1"/>
  <c r="M478" i="17"/>
  <c r="Q478" i="17" s="1"/>
  <c r="U478" i="17" s="1"/>
  <c r="M510" i="17"/>
  <c r="N440" i="17"/>
  <c r="N472" i="17"/>
  <c r="N504" i="17"/>
  <c r="R504" i="17" s="1"/>
  <c r="S504" i="17" s="1"/>
  <c r="N534" i="17"/>
  <c r="M588" i="17"/>
  <c r="N555" i="17"/>
  <c r="R555" i="17" s="1"/>
  <c r="S555" i="17" s="1"/>
  <c r="N556" i="17"/>
  <c r="R556" i="17" s="1"/>
  <c r="S556" i="17" s="1"/>
  <c r="N588" i="17"/>
  <c r="M601" i="17"/>
  <c r="Q601" i="17" s="1"/>
  <c r="U601" i="17" s="1"/>
  <c r="N36" i="17"/>
  <c r="M44" i="17"/>
  <c r="X44" i="17" s="1"/>
  <c r="N341" i="17"/>
  <c r="R341" i="17" s="1"/>
  <c r="S341" i="17" s="1"/>
  <c r="M431" i="17"/>
  <c r="N42" i="17"/>
  <c r="N105" i="17"/>
  <c r="N296" i="17"/>
  <c r="R296" i="17" s="1"/>
  <c r="S296" i="17" s="1"/>
  <c r="N437" i="17"/>
  <c r="R437" i="17" s="1"/>
  <c r="S437" i="17" s="1"/>
  <c r="M622" i="17"/>
  <c r="M100" i="17"/>
  <c r="N626" i="17"/>
  <c r="N97" i="17"/>
  <c r="M157" i="17"/>
  <c r="X157" i="17" s="1"/>
  <c r="N280" i="17"/>
  <c r="R280" i="17" s="1"/>
  <c r="S280" i="17" s="1"/>
  <c r="M331" i="17"/>
  <c r="N453" i="17"/>
  <c r="M524" i="17"/>
  <c r="N174" i="17"/>
  <c r="Y174" i="17" s="1"/>
  <c r="N270" i="17"/>
  <c r="Y270" i="17" s="1"/>
  <c r="M49" i="17"/>
  <c r="N18" i="17"/>
  <c r="R18" i="17" s="1"/>
  <c r="S18" i="17" s="1"/>
  <c r="M56" i="17"/>
  <c r="Q56" i="17" s="1"/>
  <c r="U56" i="17" s="1"/>
  <c r="M127" i="17"/>
  <c r="X127" i="17" s="1"/>
  <c r="M59" i="17"/>
  <c r="Q59" i="17" s="1"/>
  <c r="U59" i="17" s="1"/>
  <c r="N44" i="17"/>
  <c r="N69" i="17"/>
  <c r="Y69" i="17" s="1"/>
  <c r="M139" i="17"/>
  <c r="X139" i="17" s="1"/>
  <c r="N144" i="17"/>
  <c r="R144" i="17" s="1"/>
  <c r="S144" i="17" s="1"/>
  <c r="N256" i="17"/>
  <c r="N179" i="17"/>
  <c r="N291" i="17"/>
  <c r="M387" i="17"/>
  <c r="Q387" i="17" s="1"/>
  <c r="U387" i="17" s="1"/>
  <c r="N413" i="17"/>
  <c r="M423" i="17"/>
  <c r="Q423" i="17" s="1"/>
  <c r="U423" i="17" s="1"/>
  <c r="M533" i="17"/>
  <c r="Q533" i="17" s="1"/>
  <c r="U533" i="17" s="1"/>
  <c r="M203" i="17"/>
  <c r="Q203" i="17" s="1"/>
  <c r="U203" i="17" s="1"/>
  <c r="N118" i="17"/>
  <c r="R118" i="17" s="1"/>
  <c r="S118" i="17" s="1"/>
  <c r="N230" i="17"/>
  <c r="R230" i="17" s="1"/>
  <c r="S230" i="17" s="1"/>
  <c r="N145" i="17"/>
  <c r="N201" i="17"/>
  <c r="R201" i="17" s="1"/>
  <c r="S201" i="17" s="1"/>
  <c r="N249" i="17"/>
  <c r="N313" i="17"/>
  <c r="M409" i="17"/>
  <c r="N419" i="17"/>
  <c r="R419" i="17" s="1"/>
  <c r="S419" i="17" s="1"/>
  <c r="M445" i="17"/>
  <c r="X445" i="17" s="1"/>
  <c r="M539" i="17"/>
  <c r="Q539" i="17" s="1"/>
  <c r="U539" i="17" s="1"/>
  <c r="N596" i="17"/>
  <c r="R596" i="17" s="1"/>
  <c r="S596" i="17" s="1"/>
  <c r="M146" i="17"/>
  <c r="M226" i="17"/>
  <c r="M306" i="17"/>
  <c r="Q306" i="17" s="1"/>
  <c r="U306" i="17" s="1"/>
  <c r="N402" i="17"/>
  <c r="Y402" i="17" s="1"/>
  <c r="M380" i="17"/>
  <c r="Q380" i="17" s="1"/>
  <c r="U380" i="17" s="1"/>
  <c r="M460" i="17"/>
  <c r="Q460" i="17" s="1"/>
  <c r="U460" i="17" s="1"/>
  <c r="N454" i="17"/>
  <c r="R454" i="17" s="1"/>
  <c r="S454" i="17" s="1"/>
  <c r="N532" i="17"/>
  <c r="R532" i="17" s="1"/>
  <c r="S532" i="17" s="1"/>
  <c r="N583" i="17"/>
  <c r="N589" i="17"/>
  <c r="R589" i="17" s="1"/>
  <c r="S589" i="17" s="1"/>
  <c r="N602" i="17"/>
  <c r="Y602" i="17" s="1"/>
  <c r="M269" i="17"/>
  <c r="X269" i="17" s="1"/>
  <c r="M168" i="17"/>
  <c r="N328" i="17"/>
  <c r="Y328" i="17" s="1"/>
  <c r="M386" i="17"/>
  <c r="Q386" i="17" s="1"/>
  <c r="U386" i="17" s="1"/>
  <c r="N476" i="17"/>
  <c r="N560" i="17"/>
  <c r="N568" i="17"/>
  <c r="R568" i="17" s="1"/>
  <c r="S568" i="17" s="1"/>
  <c r="M548" i="17"/>
  <c r="Q548" i="17" s="1"/>
  <c r="U548" i="17" s="1"/>
  <c r="N468" i="17"/>
  <c r="M490" i="17"/>
  <c r="Q490" i="17" s="1"/>
  <c r="U490" i="17" s="1"/>
  <c r="M394" i="17"/>
  <c r="Q394" i="17" s="1"/>
  <c r="U394" i="17" s="1"/>
  <c r="N416" i="17"/>
  <c r="N336" i="17"/>
  <c r="M240" i="17"/>
  <c r="Q240" i="17" s="1"/>
  <c r="U240" i="17" s="1"/>
  <c r="M160" i="17"/>
  <c r="X160" i="17" s="1"/>
  <c r="M116" i="17"/>
  <c r="Q116" i="17" s="1"/>
  <c r="U116" i="17" s="1"/>
  <c r="M273" i="17"/>
  <c r="M233" i="17"/>
  <c r="Q233" i="17" s="1"/>
  <c r="U233" i="17" s="1"/>
  <c r="N606" i="17"/>
  <c r="R606" i="17" s="1"/>
  <c r="S606" i="17" s="1"/>
  <c r="M577" i="17"/>
  <c r="Q577" i="17" s="1"/>
  <c r="U577" i="17" s="1"/>
  <c r="M611" i="17"/>
  <c r="X611" i="17" s="1"/>
  <c r="N590" i="17"/>
  <c r="R590" i="17" s="1"/>
  <c r="S590" i="17" s="1"/>
  <c r="N591" i="17"/>
  <c r="N527" i="17"/>
  <c r="Y527" i="17" s="1"/>
  <c r="N536" i="17"/>
  <c r="Y536" i="17" s="1"/>
  <c r="N490" i="17"/>
  <c r="N450" i="17"/>
  <c r="R450" i="17" s="1"/>
  <c r="S450" i="17" s="1"/>
  <c r="M512" i="17"/>
  <c r="M464" i="17"/>
  <c r="M424" i="17"/>
  <c r="Q424" i="17" s="1"/>
  <c r="U424" i="17" s="1"/>
  <c r="M384" i="17"/>
  <c r="Q384" i="17" s="1"/>
  <c r="U384" i="17" s="1"/>
  <c r="M336" i="17"/>
  <c r="X336" i="17" s="1"/>
  <c r="N398" i="17"/>
  <c r="Y398" i="17" s="1"/>
  <c r="N358" i="17"/>
  <c r="M310" i="17"/>
  <c r="X310" i="17" s="1"/>
  <c r="M270" i="17"/>
  <c r="X270" i="17" s="1"/>
  <c r="M230" i="17"/>
  <c r="Q230" i="17" s="1"/>
  <c r="U230" i="17" s="1"/>
  <c r="M182" i="17"/>
  <c r="Q182" i="17" s="1"/>
  <c r="U182" i="17" s="1"/>
  <c r="M142" i="17"/>
  <c r="M307" i="17"/>
  <c r="Q307" i="17" s="1"/>
  <c r="U307" i="17" s="1"/>
  <c r="M255" i="17"/>
  <c r="Q255" i="17" s="1"/>
  <c r="U255" i="17" s="1"/>
  <c r="N607" i="17"/>
  <c r="R607" i="17" s="1"/>
  <c r="S607" i="17" s="1"/>
  <c r="N573" i="17"/>
  <c r="M574" i="17"/>
  <c r="Q574" i="17" s="1"/>
  <c r="U574" i="17" s="1"/>
  <c r="M519" i="17"/>
  <c r="M604" i="17"/>
  <c r="Q604" i="17" s="1"/>
  <c r="U604" i="17" s="1"/>
  <c r="N564" i="17"/>
  <c r="R564" i="17" s="1"/>
  <c r="S564" i="17" s="1"/>
  <c r="N541" i="17"/>
  <c r="M556" i="17"/>
  <c r="N512" i="17"/>
  <c r="N464" i="17"/>
  <c r="Y464" i="17" s="1"/>
  <c r="N424" i="17"/>
  <c r="R424" i="17" s="1"/>
  <c r="S424" i="17" s="1"/>
  <c r="M486" i="17"/>
  <c r="M438" i="17"/>
  <c r="Q438" i="17" s="1"/>
  <c r="U438" i="17" s="1"/>
  <c r="M398" i="17"/>
  <c r="M358" i="17"/>
  <c r="N412" i="17"/>
  <c r="R412" i="17" s="1"/>
  <c r="S412" i="17" s="1"/>
  <c r="N372" i="17"/>
  <c r="N332" i="17"/>
  <c r="R332" i="17" s="1"/>
  <c r="S332" i="17" s="1"/>
  <c r="M284" i="17"/>
  <c r="M244" i="17"/>
  <c r="Q244" i="17" s="1"/>
  <c r="U244" i="17" s="1"/>
  <c r="M204" i="17"/>
  <c r="M156" i="17"/>
  <c r="Q156" i="17" s="1"/>
  <c r="U156" i="17" s="1"/>
  <c r="N537" i="17"/>
  <c r="Y537" i="17" s="1"/>
  <c r="N428" i="17"/>
  <c r="M338" i="17"/>
  <c r="M280" i="17"/>
  <c r="Q280" i="17" s="1"/>
  <c r="U280" i="17" s="1"/>
  <c r="M136" i="17"/>
  <c r="M245" i="17"/>
  <c r="N597" i="17"/>
  <c r="M610" i="17"/>
  <c r="N539" i="17"/>
  <c r="N510" i="17"/>
  <c r="N430" i="17"/>
  <c r="M436" i="17"/>
  <c r="M356" i="17"/>
  <c r="Q356" i="17" s="1"/>
  <c r="U356" i="17" s="1"/>
  <c r="N378" i="17"/>
  <c r="Y378" i="17" s="1"/>
  <c r="M282" i="17"/>
  <c r="Q282" i="17" s="1"/>
  <c r="U282" i="17" s="1"/>
  <c r="M202" i="17"/>
  <c r="X202" i="17" s="1"/>
  <c r="M122" i="17"/>
  <c r="Q122" i="17" s="1"/>
  <c r="U122" i="17" s="1"/>
  <c r="N612" i="17"/>
  <c r="Y612" i="17" s="1"/>
  <c r="M530" i="17"/>
  <c r="M501" i="17"/>
  <c r="Q501" i="17" s="1"/>
  <c r="U501" i="17" s="1"/>
  <c r="N507" i="17"/>
  <c r="R507" i="17" s="1"/>
  <c r="S507" i="17" s="1"/>
  <c r="N427" i="17"/>
  <c r="R427" i="17" s="1"/>
  <c r="S427" i="17" s="1"/>
  <c r="N347" i="17"/>
  <c r="M353" i="17"/>
  <c r="N301" i="17"/>
  <c r="Y301" i="17" s="1"/>
  <c r="N261" i="17"/>
  <c r="R261" i="17" s="1"/>
  <c r="S261" i="17" s="1"/>
  <c r="N213" i="17"/>
  <c r="Y213" i="17" s="1"/>
  <c r="N173" i="17"/>
  <c r="N133" i="17"/>
  <c r="N290" i="17"/>
  <c r="Y290" i="17" s="1"/>
  <c r="N250" i="17"/>
  <c r="N210" i="17"/>
  <c r="N162" i="17"/>
  <c r="Y162" i="17" s="1"/>
  <c r="N122" i="17"/>
  <c r="Y122" i="17" s="1"/>
  <c r="M145" i="17"/>
  <c r="Q145" i="17" s="1"/>
  <c r="U145" i="17" s="1"/>
  <c r="M227" i="17"/>
  <c r="M579" i="17"/>
  <c r="Q579" i="17" s="1"/>
  <c r="U579" i="17" s="1"/>
  <c r="N545" i="17"/>
  <c r="R545" i="17" s="1"/>
  <c r="S545" i="17" s="1"/>
  <c r="M546" i="17"/>
  <c r="M507" i="17"/>
  <c r="Q507" i="17" s="1"/>
  <c r="U507" i="17" s="1"/>
  <c r="M467" i="17"/>
  <c r="X467" i="17" s="1"/>
  <c r="M419" i="17"/>
  <c r="X419" i="17" s="1"/>
  <c r="N481" i="17"/>
  <c r="R481" i="17" s="1"/>
  <c r="S481" i="17" s="1"/>
  <c r="N441" i="17"/>
  <c r="N393" i="17"/>
  <c r="R393" i="17" s="1"/>
  <c r="S393" i="17" s="1"/>
  <c r="N353" i="17"/>
  <c r="Y353" i="17" s="1"/>
  <c r="M415" i="17"/>
  <c r="M367" i="17"/>
  <c r="Q367" i="17" s="1"/>
  <c r="U367" i="17" s="1"/>
  <c r="M327" i="17"/>
  <c r="Q327" i="17" s="1"/>
  <c r="U327" i="17" s="1"/>
  <c r="N287" i="17"/>
  <c r="Y287" i="17" s="1"/>
  <c r="N239" i="17"/>
  <c r="N199" i="17"/>
  <c r="R199" i="17" s="1"/>
  <c r="S199" i="17" s="1"/>
  <c r="N159" i="17"/>
  <c r="N111" i="17"/>
  <c r="Y111" i="17" s="1"/>
  <c r="N276" i="17"/>
  <c r="R276" i="17" s="1"/>
  <c r="S276" i="17" s="1"/>
  <c r="N236" i="17"/>
  <c r="N188" i="17"/>
  <c r="R188" i="17" s="1"/>
  <c r="S188" i="17" s="1"/>
  <c r="N148" i="17"/>
  <c r="M197" i="17"/>
  <c r="M163" i="17"/>
  <c r="Q163" i="17" s="1"/>
  <c r="U163" i="17" s="1"/>
  <c r="N19" i="17"/>
  <c r="R19" i="17" s="1"/>
  <c r="S19" i="17" s="1"/>
  <c r="N39" i="17"/>
  <c r="R39" i="17" s="1"/>
  <c r="S39" i="17" s="1"/>
  <c r="N63" i="17"/>
  <c r="N83" i="17"/>
  <c r="R83" i="17" s="1"/>
  <c r="S83" i="17" s="1"/>
  <c r="N103" i="17"/>
  <c r="R103" i="17" s="1"/>
  <c r="S103" i="17" s="1"/>
  <c r="N64" i="17"/>
  <c r="M15" i="17"/>
  <c r="M71" i="17"/>
  <c r="Q71" i="17" s="1"/>
  <c r="U71" i="17" s="1"/>
  <c r="M93" i="17"/>
  <c r="X93" i="17" s="1"/>
  <c r="M119" i="17"/>
  <c r="X119" i="17" s="1"/>
  <c r="M34" i="17"/>
  <c r="M66" i="17"/>
  <c r="M94" i="17"/>
  <c r="X94" i="17" s="1"/>
  <c r="N38" i="17"/>
  <c r="Y38" i="17" s="1"/>
  <c r="N102" i="17"/>
  <c r="M53" i="17"/>
  <c r="Q53" i="17" s="1"/>
  <c r="U53" i="17" s="1"/>
  <c r="M341" i="17"/>
  <c r="M405" i="17"/>
  <c r="X405" i="17" s="1"/>
  <c r="N359" i="17"/>
  <c r="N407" i="17"/>
  <c r="R407" i="17" s="1"/>
  <c r="S407" i="17" s="1"/>
  <c r="N471" i="17"/>
  <c r="R471" i="17" s="1"/>
  <c r="S471" i="17" s="1"/>
  <c r="M425" i="17"/>
  <c r="X425" i="17" s="1"/>
  <c r="M481" i="17"/>
  <c r="M558" i="17"/>
  <c r="M591" i="17"/>
  <c r="Q591" i="17" s="1"/>
  <c r="U591" i="17" s="1"/>
  <c r="M291" i="17"/>
  <c r="Q291" i="17" s="1"/>
  <c r="U291" i="17" s="1"/>
  <c r="M174" i="17"/>
  <c r="M262" i="17"/>
  <c r="X262" i="17" s="1"/>
  <c r="N342" i="17"/>
  <c r="R342" i="17" s="1"/>
  <c r="S342" i="17" s="1"/>
  <c r="M328" i="17"/>
  <c r="M416" i="17"/>
  <c r="Q416" i="17" s="1"/>
  <c r="U416" i="17" s="1"/>
  <c r="M496" i="17"/>
  <c r="N482" i="17"/>
  <c r="R482" i="17" s="1"/>
  <c r="S482" i="17" s="1"/>
  <c r="M592" i="17"/>
  <c r="Q592" i="17" s="1"/>
  <c r="U592" i="17" s="1"/>
  <c r="N574" i="17"/>
  <c r="M569" i="17"/>
  <c r="M225" i="17"/>
  <c r="Q225" i="17" s="1"/>
  <c r="U225" i="17" s="1"/>
  <c r="M305" i="17"/>
  <c r="M224" i="17"/>
  <c r="N400" i="17"/>
  <c r="Y400" i="17" s="1"/>
  <c r="M458" i="17"/>
  <c r="X458" i="17" s="1"/>
  <c r="N530" i="17"/>
  <c r="M613" i="17"/>
  <c r="Q613" i="17" s="1"/>
  <c r="M450" i="17"/>
  <c r="M200" i="17"/>
  <c r="X200" i="17" s="1"/>
  <c r="M205" i="17"/>
  <c r="N570" i="17"/>
  <c r="N470" i="17"/>
  <c r="Y470" i="17" s="1"/>
  <c r="M396" i="17"/>
  <c r="Q396" i="17" s="1"/>
  <c r="U396" i="17" s="1"/>
  <c r="N338" i="17"/>
  <c r="R338" i="17" s="1"/>
  <c r="S338" i="17" s="1"/>
  <c r="M162" i="17"/>
  <c r="X162" i="17" s="1"/>
  <c r="M522" i="17"/>
  <c r="N451" i="17"/>
  <c r="R451" i="17" s="1"/>
  <c r="S451" i="17" s="1"/>
  <c r="M329" i="17"/>
  <c r="Q329" i="17" s="1"/>
  <c r="U329" i="17" s="1"/>
  <c r="N209" i="17"/>
  <c r="N278" i="17"/>
  <c r="R278" i="17" s="1"/>
  <c r="S278" i="17" s="1"/>
  <c r="M235" i="17"/>
  <c r="Q235" i="17" s="1"/>
  <c r="U235" i="17" s="1"/>
  <c r="M439" i="17"/>
  <c r="Q439" i="17" s="1"/>
  <c r="U439" i="17" s="1"/>
  <c r="N333" i="17"/>
  <c r="Y333" i="17" s="1"/>
  <c r="N195" i="17"/>
  <c r="Y195" i="17" s="1"/>
  <c r="N176" i="17"/>
  <c r="N53" i="17"/>
  <c r="R53" i="17" s="1"/>
  <c r="S53" i="17" s="1"/>
  <c r="M27" i="17"/>
  <c r="M48" i="17"/>
  <c r="X48" i="17" s="1"/>
  <c r="N98" i="17"/>
  <c r="R98" i="17" s="1"/>
  <c r="S98" i="17" s="1"/>
  <c r="N190" i="17"/>
  <c r="N485" i="17"/>
  <c r="R485" i="17" s="1"/>
  <c r="S485" i="17" s="1"/>
  <c r="N171" i="17"/>
  <c r="R171" i="17" s="1"/>
  <c r="S171" i="17" s="1"/>
  <c r="N81" i="17"/>
  <c r="R81" i="17" s="1"/>
  <c r="S81" i="17" s="1"/>
  <c r="M68" i="17"/>
  <c r="Q68" i="17" s="1"/>
  <c r="U68" i="17" s="1"/>
  <c r="M463" i="17"/>
  <c r="N41" i="17"/>
  <c r="M570" i="17"/>
  <c r="Q570" i="17" s="1"/>
  <c r="U570" i="17" s="1"/>
  <c r="N89" i="17"/>
  <c r="R89" i="17" s="1"/>
  <c r="S89" i="17" s="1"/>
  <c r="M67" i="17"/>
  <c r="M596" i="17"/>
  <c r="N548" i="17"/>
  <c r="R548" i="17" s="1"/>
  <c r="S548" i="17" s="1"/>
  <c r="N533" i="17"/>
  <c r="N542" i="17"/>
  <c r="R542" i="17" s="1"/>
  <c r="S542" i="17" s="1"/>
  <c r="N496" i="17"/>
  <c r="Y496" i="17" s="1"/>
  <c r="N456" i="17"/>
  <c r="N519" i="17"/>
  <c r="R519" i="17" s="1"/>
  <c r="S519" i="17" s="1"/>
  <c r="M470" i="17"/>
  <c r="M430" i="17"/>
  <c r="X430" i="17" s="1"/>
  <c r="M390" i="17"/>
  <c r="M342" i="17"/>
  <c r="N404" i="17"/>
  <c r="R404" i="17" s="1"/>
  <c r="S404" i="17" s="1"/>
  <c r="N364" i="17"/>
  <c r="R364" i="17" s="1"/>
  <c r="S364" i="17" s="1"/>
  <c r="N316" i="17"/>
  <c r="R316" i="17" s="1"/>
  <c r="S316" i="17" s="1"/>
  <c r="M276" i="17"/>
  <c r="M236" i="17"/>
  <c r="M188" i="17"/>
  <c r="Q188" i="17" s="1"/>
  <c r="U188" i="17" s="1"/>
  <c r="M605" i="17"/>
  <c r="Q605" i="17" s="1"/>
  <c r="U605" i="17" s="1"/>
  <c r="M564" i="17"/>
  <c r="M466" i="17"/>
  <c r="Q466" i="17" s="1"/>
  <c r="U466" i="17" s="1"/>
  <c r="N408" i="17"/>
  <c r="R408" i="17" s="1"/>
  <c r="S408" i="17" s="1"/>
  <c r="M248" i="17"/>
  <c r="M309" i="17"/>
  <c r="Q309" i="17" s="1"/>
  <c r="U309" i="17" s="1"/>
  <c r="M229" i="17"/>
  <c r="Q229" i="17" s="1"/>
  <c r="U229" i="17" s="1"/>
  <c r="M581" i="17"/>
  <c r="N578" i="17"/>
  <c r="R578" i="17" s="1"/>
  <c r="S578" i="17" s="1"/>
  <c r="N523" i="17"/>
  <c r="R523" i="17" s="1"/>
  <c r="S523" i="17" s="1"/>
  <c r="N494" i="17"/>
  <c r="M500" i="17"/>
  <c r="M420" i="17"/>
  <c r="M340" i="17"/>
  <c r="Q340" i="17" s="1"/>
  <c r="U340" i="17" s="1"/>
  <c r="N346" i="17"/>
  <c r="M266" i="17"/>
  <c r="Q266" i="17" s="1"/>
  <c r="U266" i="17" s="1"/>
  <c r="M186" i="17"/>
  <c r="X186" i="17" s="1"/>
  <c r="M295" i="17"/>
  <c r="Q295" i="17" s="1"/>
  <c r="U295" i="17" s="1"/>
  <c r="N599" i="17"/>
  <c r="R599" i="17" s="1"/>
  <c r="S599" i="17" s="1"/>
  <c r="M582" i="17"/>
  <c r="M469" i="17"/>
  <c r="Q469" i="17" s="1"/>
  <c r="N491" i="17"/>
  <c r="R491" i="17" s="1"/>
  <c r="S491" i="17" s="1"/>
  <c r="N411" i="17"/>
  <c r="N315" i="17"/>
  <c r="M337" i="17"/>
  <c r="N293" i="17"/>
  <c r="Y293" i="17" s="1"/>
  <c r="N245" i="17"/>
  <c r="N205" i="17"/>
  <c r="N165" i="17"/>
  <c r="N117" i="17"/>
  <c r="R117" i="17" s="1"/>
  <c r="S117" i="17" s="1"/>
  <c r="N282" i="17"/>
  <c r="N242" i="17"/>
  <c r="Y242" i="17" s="1"/>
  <c r="N194" i="17"/>
  <c r="N154" i="17"/>
  <c r="N114" i="17"/>
  <c r="M113" i="17"/>
  <c r="Q113" i="17" s="1"/>
  <c r="U113" i="17" s="1"/>
  <c r="M211" i="17"/>
  <c r="X211" i="17" s="1"/>
  <c r="M563" i="17"/>
  <c r="X563" i="17" s="1"/>
  <c r="M528" i="17"/>
  <c r="M537" i="17"/>
  <c r="Q537" i="17" s="1"/>
  <c r="U537" i="17" s="1"/>
  <c r="M499" i="17"/>
  <c r="Q499" i="17" s="1"/>
  <c r="U499" i="17" s="1"/>
  <c r="M451" i="17"/>
  <c r="N513" i="17"/>
  <c r="R513" i="17" s="1"/>
  <c r="S513" i="17" s="1"/>
  <c r="N473" i="17"/>
  <c r="R473" i="17" s="1"/>
  <c r="S473" i="17" s="1"/>
  <c r="N425" i="17"/>
  <c r="Y425" i="17" s="1"/>
  <c r="N385" i="17"/>
  <c r="N345" i="17"/>
  <c r="M399" i="17"/>
  <c r="X399" i="17" s="1"/>
  <c r="M359" i="17"/>
  <c r="M319" i="17"/>
  <c r="Q319" i="17" s="1"/>
  <c r="U319" i="17" s="1"/>
  <c r="N271" i="17"/>
  <c r="N231" i="17"/>
  <c r="N191" i="17"/>
  <c r="R191" i="17" s="1"/>
  <c r="S191" i="17" s="1"/>
  <c r="N143" i="17"/>
  <c r="N308" i="17"/>
  <c r="R308" i="17" s="1"/>
  <c r="S308" i="17" s="1"/>
  <c r="N268" i="17"/>
  <c r="R268" i="17" s="1"/>
  <c r="S268" i="17" s="1"/>
  <c r="N220" i="17"/>
  <c r="R220" i="17" s="1"/>
  <c r="S220" i="17" s="1"/>
  <c r="N180" i="17"/>
  <c r="Y180" i="17" s="1"/>
  <c r="N140" i="17"/>
  <c r="M165" i="17"/>
  <c r="X165" i="17" s="1"/>
  <c r="M147" i="17"/>
  <c r="Q147" i="17" s="1"/>
  <c r="U147" i="17" s="1"/>
  <c r="N23" i="17"/>
  <c r="N47" i="17"/>
  <c r="N67" i="17"/>
  <c r="R67" i="17" s="1"/>
  <c r="S67" i="17" s="1"/>
  <c r="N87" i="17"/>
  <c r="R87" i="17" s="1"/>
  <c r="S87" i="17" s="1"/>
  <c r="N16" i="17"/>
  <c r="Y16" i="17" s="1"/>
  <c r="N72" i="17"/>
  <c r="R72" i="17" s="1"/>
  <c r="S72" i="17" s="1"/>
  <c r="M31" i="17"/>
  <c r="X31" i="17" s="1"/>
  <c r="M95" i="17"/>
  <c r="Q95" i="17" s="1"/>
  <c r="U95" i="17" s="1"/>
  <c r="M109" i="17"/>
  <c r="X109" i="17" s="1"/>
  <c r="M14" i="17"/>
  <c r="M46" i="17"/>
  <c r="M74" i="17"/>
  <c r="Q74" i="17" s="1"/>
  <c r="U74" i="17" s="1"/>
  <c r="M98" i="17"/>
  <c r="Q98" i="17" s="1"/>
  <c r="U98" i="17" s="1"/>
  <c r="N54" i="17"/>
  <c r="M13" i="17"/>
  <c r="Q13" i="17" s="1"/>
  <c r="U13" i="17" s="1"/>
  <c r="M73" i="17"/>
  <c r="Q73" i="17" s="1"/>
  <c r="U73" i="17" s="1"/>
  <c r="M365" i="17"/>
  <c r="X365" i="17" s="1"/>
  <c r="M413" i="17"/>
  <c r="N367" i="17"/>
  <c r="R367" i="17" s="1"/>
  <c r="S367" i="17" s="1"/>
  <c r="N431" i="17"/>
  <c r="R431" i="17" s="1"/>
  <c r="S431" i="17" s="1"/>
  <c r="N487" i="17"/>
  <c r="Y487" i="17" s="1"/>
  <c r="M433" i="17"/>
  <c r="M497" i="17"/>
  <c r="M534" i="17"/>
  <c r="X534" i="17" s="1"/>
  <c r="M223" i="17"/>
  <c r="M118" i="17"/>
  <c r="M206" i="17"/>
  <c r="Q206" i="17" s="1"/>
  <c r="U206" i="17" s="1"/>
  <c r="M294" i="17"/>
  <c r="N374" i="17"/>
  <c r="R374" i="17" s="1"/>
  <c r="S374" i="17" s="1"/>
  <c r="M360" i="17"/>
  <c r="M448" i="17"/>
  <c r="N426" i="17"/>
  <c r="Y426" i="17" s="1"/>
  <c r="N514" i="17"/>
  <c r="N559" i="17"/>
  <c r="M606" i="17"/>
  <c r="N601" i="17"/>
  <c r="R601" i="17" s="1"/>
  <c r="S601" i="17" s="1"/>
  <c r="M257" i="17"/>
  <c r="X257" i="17" s="1"/>
  <c r="M132" i="17"/>
  <c r="M288" i="17"/>
  <c r="Q288" i="17" s="1"/>
  <c r="U288" i="17" s="1"/>
  <c r="M362" i="17"/>
  <c r="Q362" i="17" s="1"/>
  <c r="U362" i="17" s="1"/>
  <c r="N420" i="17"/>
  <c r="N547" i="17"/>
  <c r="R547" i="17" s="1"/>
  <c r="S547" i="17" s="1"/>
  <c r="N538" i="17"/>
  <c r="Y538" i="17" s="1"/>
  <c r="M322" i="17"/>
  <c r="M112" i="17"/>
  <c r="Q112" i="17" s="1"/>
  <c r="U112" i="17" s="1"/>
  <c r="M573" i="17"/>
  <c r="N531" i="17"/>
  <c r="M508" i="17"/>
  <c r="M332" i="17"/>
  <c r="M274" i="17"/>
  <c r="M287" i="17"/>
  <c r="X287" i="17" s="1"/>
  <c r="M477" i="17"/>
  <c r="Q477" i="17" s="1"/>
  <c r="U477" i="17" s="1"/>
  <c r="N371" i="17"/>
  <c r="N281" i="17"/>
  <c r="N169" i="17"/>
  <c r="R169" i="17" s="1"/>
  <c r="S169" i="17" s="1"/>
  <c r="N182" i="17"/>
  <c r="R182" i="17" s="1"/>
  <c r="S182" i="17" s="1"/>
  <c r="N553" i="17"/>
  <c r="N461" i="17"/>
  <c r="M355" i="17"/>
  <c r="N115" i="17"/>
  <c r="Y115" i="17" s="1"/>
  <c r="M141" i="17"/>
  <c r="X141" i="17" s="1"/>
  <c r="N93" i="17"/>
  <c r="M69" i="17"/>
  <c r="Q69" i="17" s="1"/>
  <c r="U69" i="17" s="1"/>
  <c r="M88" i="17"/>
  <c r="X88" i="17" s="1"/>
  <c r="N129" i="17"/>
  <c r="Y129" i="17" s="1"/>
  <c r="M195" i="17"/>
  <c r="N325" i="17"/>
  <c r="Y325" i="17" s="1"/>
  <c r="N216" i="17"/>
  <c r="M19" i="17"/>
  <c r="X19" i="17" s="1"/>
  <c r="M25" i="17"/>
  <c r="X25" i="17" s="1"/>
  <c r="M347" i="17"/>
  <c r="X347" i="17" s="1"/>
  <c r="M175" i="17"/>
  <c r="Q175" i="17" s="1"/>
  <c r="U175" i="17" s="1"/>
  <c r="M379" i="17"/>
  <c r="Q379" i="17" s="1"/>
  <c r="U379" i="17" s="1"/>
  <c r="N251" i="17"/>
  <c r="M609" i="17"/>
  <c r="X609" i="17" s="1"/>
  <c r="N580" i="17"/>
  <c r="Y580" i="17" s="1"/>
  <c r="N587" i="17"/>
  <c r="Y587" i="17" s="1"/>
  <c r="N525" i="17"/>
  <c r="N526" i="17"/>
  <c r="N488" i="17"/>
  <c r="R488" i="17" s="1"/>
  <c r="S488" i="17" s="1"/>
  <c r="N448" i="17"/>
  <c r="M502" i="17"/>
  <c r="M462" i="17"/>
  <c r="M422" i="17"/>
  <c r="Q422" i="17" s="1"/>
  <c r="U422" i="17" s="1"/>
  <c r="M374" i="17"/>
  <c r="Q374" i="17" s="1"/>
  <c r="U374" i="17" s="1"/>
  <c r="M334" i="17"/>
  <c r="Q334" i="17" s="1"/>
  <c r="U334" i="17" s="1"/>
  <c r="N396" i="17"/>
  <c r="N348" i="17"/>
  <c r="M308" i="17"/>
  <c r="M268" i="17"/>
  <c r="M220" i="17"/>
  <c r="Q220" i="17" s="1"/>
  <c r="U220" i="17" s="1"/>
  <c r="M180" i="17"/>
  <c r="M608" i="17"/>
  <c r="N492" i="17"/>
  <c r="R492" i="17" s="1"/>
  <c r="S492" i="17" s="1"/>
  <c r="M434" i="17"/>
  <c r="Q434" i="17" s="1"/>
  <c r="U434" i="17" s="1"/>
  <c r="N376" i="17"/>
  <c r="R376" i="17" s="1"/>
  <c r="S376" i="17" s="1"/>
  <c r="M184" i="17"/>
  <c r="Q184" i="17" s="1"/>
  <c r="U184" i="17" s="1"/>
  <c r="M293" i="17"/>
  <c r="M213" i="17"/>
  <c r="M549" i="17"/>
  <c r="N562" i="17"/>
  <c r="Y562" i="17" s="1"/>
  <c r="M568" i="17"/>
  <c r="N462" i="17"/>
  <c r="M484" i="17"/>
  <c r="X484" i="17" s="1"/>
  <c r="M404" i="17"/>
  <c r="N410" i="17"/>
  <c r="N330" i="17"/>
  <c r="M250" i="17"/>
  <c r="Q250" i="17" s="1"/>
  <c r="U250" i="17" s="1"/>
  <c r="M154" i="17"/>
  <c r="Q154" i="17" s="1"/>
  <c r="U154" i="17" s="1"/>
  <c r="M279" i="17"/>
  <c r="Q279" i="17" s="1"/>
  <c r="U279" i="17" s="1"/>
  <c r="M567" i="17"/>
  <c r="M531" i="17"/>
  <c r="Q531" i="17" s="1"/>
  <c r="U531" i="17" s="1"/>
  <c r="M453" i="17"/>
  <c r="N475" i="17"/>
  <c r="N379" i="17"/>
  <c r="Y379" i="17" s="1"/>
  <c r="M401" i="17"/>
  <c r="Q401" i="17" s="1"/>
  <c r="U401" i="17" s="1"/>
  <c r="M325" i="17"/>
  <c r="Q325" i="17" s="1"/>
  <c r="U325" i="17" s="1"/>
  <c r="N277" i="17"/>
  <c r="Y277" i="17" s="1"/>
  <c r="N237" i="17"/>
  <c r="N197" i="17"/>
  <c r="N149" i="17"/>
  <c r="Y149" i="17" s="1"/>
  <c r="N314" i="17"/>
  <c r="N274" i="17"/>
  <c r="N226" i="17"/>
  <c r="N186" i="17"/>
  <c r="N146" i="17"/>
  <c r="M177" i="17"/>
  <c r="Q177" i="17" s="1"/>
  <c r="U177" i="17" s="1"/>
  <c r="M187" i="17"/>
  <c r="N608" i="17"/>
  <c r="Y608" i="17" s="1"/>
  <c r="N577" i="17"/>
  <c r="R577" i="17" s="1"/>
  <c r="S577" i="17" s="1"/>
  <c r="M594" i="17"/>
  <c r="Q594" i="17" s="1"/>
  <c r="U594" i="17" s="1"/>
  <c r="M529" i="17"/>
  <c r="M483" i="17"/>
  <c r="Q483" i="17" s="1"/>
  <c r="U483" i="17" s="1"/>
  <c r="M443" i="17"/>
  <c r="N505" i="17"/>
  <c r="N457" i="17"/>
  <c r="R457" i="17" s="1"/>
  <c r="S457" i="17" s="1"/>
  <c r="N417" i="17"/>
  <c r="R417" i="17" s="1"/>
  <c r="S417" i="17" s="1"/>
  <c r="N377" i="17"/>
  <c r="N329" i="17"/>
  <c r="R329" i="17" s="1"/>
  <c r="S329" i="17" s="1"/>
  <c r="M391" i="17"/>
  <c r="Q391" i="17" s="1"/>
  <c r="M351" i="17"/>
  <c r="Q351" i="17" s="1"/>
  <c r="U351" i="17" s="1"/>
  <c r="N303" i="17"/>
  <c r="N263" i="17"/>
  <c r="R263" i="17" s="1"/>
  <c r="S263" i="17" s="1"/>
  <c r="N223" i="17"/>
  <c r="N175" i="17"/>
  <c r="N135" i="17"/>
  <c r="N300" i="17"/>
  <c r="R300" i="17" s="1"/>
  <c r="S300" i="17" s="1"/>
  <c r="N252" i="17"/>
  <c r="R252" i="17" s="1"/>
  <c r="S252" i="17" s="1"/>
  <c r="N212" i="17"/>
  <c r="Y212" i="17" s="1"/>
  <c r="N172" i="17"/>
  <c r="R172" i="17" s="1"/>
  <c r="S172" i="17" s="1"/>
  <c r="N124" i="17"/>
  <c r="Y124" i="17" s="1"/>
  <c r="M149" i="17"/>
  <c r="M131" i="17"/>
  <c r="N31" i="17"/>
  <c r="N51" i="17"/>
  <c r="N71" i="17"/>
  <c r="N95" i="17"/>
  <c r="N32" i="17"/>
  <c r="N80" i="17"/>
  <c r="M47" i="17"/>
  <c r="Q47" i="17" s="1"/>
  <c r="U47" i="17" s="1"/>
  <c r="M103" i="17"/>
  <c r="M191" i="17"/>
  <c r="Q191" i="17" s="1"/>
  <c r="U191" i="17" s="1"/>
  <c r="M26" i="17"/>
  <c r="Q26" i="17" s="1"/>
  <c r="U26" i="17" s="1"/>
  <c r="M50" i="17"/>
  <c r="X50" i="17" s="1"/>
  <c r="M78" i="17"/>
  <c r="Q78" i="17" s="1"/>
  <c r="U78" i="17" s="1"/>
  <c r="N14" i="17"/>
  <c r="N70" i="17"/>
  <c r="M21" i="17"/>
  <c r="Q21" i="17" s="1"/>
  <c r="U21" i="17" s="1"/>
  <c r="M105" i="17"/>
  <c r="M373" i="17"/>
  <c r="Q373" i="17" s="1"/>
  <c r="U373" i="17" s="1"/>
  <c r="N327" i="17"/>
  <c r="Y327" i="17" s="1"/>
  <c r="N391" i="17"/>
  <c r="N439" i="17"/>
  <c r="R439" i="17" s="1"/>
  <c r="S439" i="17" s="1"/>
  <c r="N495" i="17"/>
  <c r="R495" i="17" s="1"/>
  <c r="S495" i="17" s="1"/>
  <c r="M457" i="17"/>
  <c r="Q457" i="17" s="1"/>
  <c r="U457" i="17" s="1"/>
  <c r="M513" i="17"/>
  <c r="Q513" i="17" s="1"/>
  <c r="U513" i="17" s="1"/>
  <c r="M542" i="17"/>
  <c r="X542" i="17" s="1"/>
  <c r="M239" i="17"/>
  <c r="Q239" i="17" s="1"/>
  <c r="U239" i="17" s="1"/>
  <c r="M134" i="17"/>
  <c r="Q134" i="17" s="1"/>
  <c r="U134" i="17" s="1"/>
  <c r="M214" i="17"/>
  <c r="Q214" i="17" s="1"/>
  <c r="U214" i="17" s="1"/>
  <c r="M302" i="17"/>
  <c r="Q302" i="17" s="1"/>
  <c r="U302" i="17" s="1"/>
  <c r="N390" i="17"/>
  <c r="Y390" i="17" s="1"/>
  <c r="M368" i="17"/>
  <c r="Q368" i="17" s="1"/>
  <c r="U368" i="17" s="1"/>
  <c r="M456" i="17"/>
  <c r="X456" i="17" s="1"/>
  <c r="N442" i="17"/>
  <c r="N520" i="17"/>
  <c r="N575" i="17"/>
  <c r="R575" i="17" s="1"/>
  <c r="S575" i="17" s="1"/>
  <c r="M603" i="17"/>
  <c r="Q603" i="17" s="1"/>
  <c r="U603" i="17" s="1"/>
  <c r="N609" i="17"/>
  <c r="R609" i="17" s="1"/>
  <c r="S609" i="17" s="1"/>
  <c r="M265" i="17"/>
  <c r="M148" i="17"/>
  <c r="M304" i="17"/>
  <c r="Q304" i="17" s="1"/>
  <c r="U304" i="17" s="1"/>
  <c r="M378" i="17"/>
  <c r="N452" i="17"/>
  <c r="N579" i="17"/>
  <c r="N508" i="17"/>
  <c r="Y508" i="17" s="1"/>
  <c r="N360" i="17"/>
  <c r="M301" i="17"/>
  <c r="M557" i="17"/>
  <c r="Q557" i="17" s="1"/>
  <c r="U557" i="17" s="1"/>
  <c r="M552" i="17"/>
  <c r="Q552" i="17" s="1"/>
  <c r="U552" i="17" s="1"/>
  <c r="M492" i="17"/>
  <c r="Q492" i="17" s="1"/>
  <c r="U492" i="17" s="1"/>
  <c r="M316" i="17"/>
  <c r="M242" i="17"/>
  <c r="M271" i="17"/>
  <c r="Q271" i="17" s="1"/>
  <c r="U271" i="17" s="1"/>
  <c r="M461" i="17"/>
  <c r="X461" i="17" s="1"/>
  <c r="N323" i="17"/>
  <c r="N273" i="17"/>
  <c r="Y273" i="17" s="1"/>
  <c r="N153" i="17"/>
  <c r="R153" i="17" s="1"/>
  <c r="S153" i="17" s="1"/>
  <c r="N150" i="17"/>
  <c r="R150" i="17" s="1"/>
  <c r="S150" i="17" s="1"/>
  <c r="M586" i="17"/>
  <c r="N445" i="17"/>
  <c r="N307" i="17"/>
  <c r="R307" i="17" s="1"/>
  <c r="S307" i="17" s="1"/>
  <c r="N304" i="17"/>
  <c r="M171" i="17"/>
  <c r="Q171" i="17" s="1"/>
  <c r="U171" i="17" s="1"/>
  <c r="N28" i="17"/>
  <c r="R28" i="17" s="1"/>
  <c r="S28" i="17" s="1"/>
  <c r="M101" i="17"/>
  <c r="Q101" i="17" s="1"/>
  <c r="U101" i="17" s="1"/>
  <c r="M104" i="17"/>
  <c r="N302" i="17"/>
  <c r="R302" i="17" s="1"/>
  <c r="S302" i="17" s="1"/>
  <c r="M587" i="17"/>
  <c r="X587" i="17" s="1"/>
  <c r="M395" i="17"/>
  <c r="N120" i="17"/>
  <c r="R120" i="17" s="1"/>
  <c r="S120" i="17" s="1"/>
  <c r="M51" i="17"/>
  <c r="M57" i="17"/>
  <c r="N155" i="17"/>
  <c r="R155" i="17" s="1"/>
  <c r="S155" i="17" s="1"/>
  <c r="M28" i="17"/>
  <c r="M315" i="17"/>
  <c r="N57" i="17"/>
  <c r="M628" i="17"/>
  <c r="Q628" i="17" s="1"/>
  <c r="F627" i="17"/>
  <c r="E627" i="17"/>
  <c r="N627" i="17"/>
  <c r="M627" i="17"/>
  <c r="J627" i="17"/>
  <c r="D627" i="17"/>
  <c r="L627" i="17"/>
  <c r="K627" i="17"/>
  <c r="I627" i="17"/>
  <c r="P627" i="17"/>
  <c r="O627" i="17"/>
  <c r="C627" i="17"/>
  <c r="G627" i="17"/>
  <c r="H624" i="17"/>
  <c r="G624" i="17"/>
  <c r="M625" i="17"/>
  <c r="H625" i="17"/>
  <c r="G625" i="17"/>
  <c r="Q81" i="17"/>
  <c r="U81" i="17" s="1"/>
  <c r="X81" i="17"/>
  <c r="M624" i="17"/>
  <c r="N624" i="17"/>
  <c r="J625" i="17"/>
  <c r="I625" i="17"/>
  <c r="C625" i="17"/>
  <c r="O625" i="17"/>
  <c r="D625" i="17"/>
  <c r="F625" i="17"/>
  <c r="P625" i="17"/>
  <c r="K625" i="17"/>
  <c r="E625" i="17"/>
  <c r="L625" i="17"/>
  <c r="I624" i="17"/>
  <c r="K624" i="17"/>
  <c r="C624" i="17"/>
  <c r="F624" i="17"/>
  <c r="P624" i="17"/>
  <c r="L624" i="17"/>
  <c r="J624" i="17"/>
  <c r="D624" i="17"/>
  <c r="E624" i="17"/>
  <c r="O624" i="17"/>
  <c r="N625" i="17"/>
  <c r="Q624" i="25" l="1"/>
  <c r="D634" i="25" s="1"/>
  <c r="Y625" i="25"/>
  <c r="Q625" i="25"/>
  <c r="D635" i="25" s="1"/>
  <c r="AA627" i="25"/>
  <c r="Q627" i="25"/>
  <c r="Y623" i="25"/>
  <c r="R623" i="25"/>
  <c r="S623" i="25" s="1"/>
  <c r="Q111" i="25"/>
  <c r="X111" i="25"/>
  <c r="Q33" i="25"/>
  <c r="X33" i="25"/>
  <c r="X110" i="25"/>
  <c r="Q110" i="25"/>
  <c r="Y85" i="25"/>
  <c r="R85" i="25"/>
  <c r="S85" i="25" s="1"/>
  <c r="R45" i="25"/>
  <c r="S45" i="25" s="1"/>
  <c r="Y45" i="25"/>
  <c r="X62" i="25"/>
  <c r="Q62" i="25"/>
  <c r="Q329" i="25"/>
  <c r="X329" i="25"/>
  <c r="R24" i="25"/>
  <c r="S24" i="25" s="1"/>
  <c r="Y24" i="25"/>
  <c r="X53" i="25"/>
  <c r="Q53" i="25"/>
  <c r="R99" i="25"/>
  <c r="S99" i="25" s="1"/>
  <c r="Y99" i="25"/>
  <c r="R135" i="25"/>
  <c r="S135" i="25" s="1"/>
  <c r="Y135" i="25"/>
  <c r="Y199" i="25"/>
  <c r="R199" i="25"/>
  <c r="S199" i="25" s="1"/>
  <c r="Q40" i="25"/>
  <c r="X40" i="25"/>
  <c r="Q72" i="25"/>
  <c r="X72" i="25"/>
  <c r="Q113" i="25"/>
  <c r="X113" i="25"/>
  <c r="Y161" i="25"/>
  <c r="R161" i="25"/>
  <c r="S161" i="25" s="1"/>
  <c r="R193" i="25"/>
  <c r="S193" i="25" s="1"/>
  <c r="Y193" i="25"/>
  <c r="R295" i="25"/>
  <c r="S295" i="25" s="1"/>
  <c r="Y295" i="25"/>
  <c r="Q91" i="25"/>
  <c r="X91" i="25"/>
  <c r="X163" i="25"/>
  <c r="Q163" i="25"/>
  <c r="Y32" i="25"/>
  <c r="R32" i="25"/>
  <c r="S32" i="25" s="1"/>
  <c r="Y56" i="25"/>
  <c r="R56" i="25"/>
  <c r="S56" i="25" s="1"/>
  <c r="R80" i="25"/>
  <c r="S80" i="25" s="1"/>
  <c r="Y80" i="25"/>
  <c r="Y112" i="25"/>
  <c r="R112" i="25"/>
  <c r="S112" i="25" s="1"/>
  <c r="Y136" i="25"/>
  <c r="R136" i="25"/>
  <c r="S136" i="25" s="1"/>
  <c r="Y168" i="25"/>
  <c r="R168" i="25"/>
  <c r="S168" i="25" s="1"/>
  <c r="R200" i="25"/>
  <c r="S200" i="25" s="1"/>
  <c r="Y200" i="25"/>
  <c r="Y224" i="25"/>
  <c r="R224" i="25"/>
  <c r="S224" i="25" s="1"/>
  <c r="Y264" i="25"/>
  <c r="R264" i="25"/>
  <c r="S264" i="25" s="1"/>
  <c r="X241" i="25"/>
  <c r="Q241" i="25"/>
  <c r="X126" i="25"/>
  <c r="Q126" i="25"/>
  <c r="Q150" i="25"/>
  <c r="X150" i="25"/>
  <c r="X182" i="25"/>
  <c r="Q182" i="25"/>
  <c r="X214" i="25"/>
  <c r="Q214" i="25"/>
  <c r="R233" i="25"/>
  <c r="S233" i="25" s="1"/>
  <c r="Y233" i="25"/>
  <c r="Q281" i="25"/>
  <c r="X281" i="25"/>
  <c r="X238" i="25"/>
  <c r="Q238" i="25"/>
  <c r="Q262" i="25"/>
  <c r="X262" i="25"/>
  <c r="R301" i="25"/>
  <c r="S301" i="25" s="1"/>
  <c r="Y301" i="25"/>
  <c r="R333" i="25"/>
  <c r="S333" i="25" s="1"/>
  <c r="Y333" i="25"/>
  <c r="Q364" i="25"/>
  <c r="X364" i="25"/>
  <c r="Q275" i="25"/>
  <c r="X275" i="25"/>
  <c r="Q306" i="25"/>
  <c r="X306" i="25"/>
  <c r="X338" i="25"/>
  <c r="Q338" i="25"/>
  <c r="X379" i="25"/>
  <c r="Q379" i="25"/>
  <c r="Q292" i="25"/>
  <c r="X292" i="25"/>
  <c r="Q333" i="25"/>
  <c r="X333" i="25"/>
  <c r="Q361" i="25"/>
  <c r="X361" i="25"/>
  <c r="X385" i="25"/>
  <c r="Q385" i="25"/>
  <c r="Q380" i="25"/>
  <c r="X380" i="25"/>
  <c r="R404" i="25"/>
  <c r="S404" i="25" s="1"/>
  <c r="Y404" i="25"/>
  <c r="Y304" i="25"/>
  <c r="R304" i="25"/>
  <c r="S304" i="25" s="1"/>
  <c r="Y320" i="25"/>
  <c r="R320" i="25"/>
  <c r="S320" i="25" s="1"/>
  <c r="R352" i="25"/>
  <c r="S352" i="25" s="1"/>
  <c r="Y352" i="25"/>
  <c r="R389" i="25"/>
  <c r="S389" i="25" s="1"/>
  <c r="Y389" i="25"/>
  <c r="Y386" i="25"/>
  <c r="R386" i="25"/>
  <c r="S386" i="25" s="1"/>
  <c r="Q412" i="25"/>
  <c r="X412" i="25"/>
  <c r="Q415" i="25"/>
  <c r="X415" i="25"/>
  <c r="R448" i="25"/>
  <c r="S448" i="25" s="1"/>
  <c r="Y448" i="25"/>
  <c r="X418" i="25"/>
  <c r="Q418" i="25"/>
  <c r="Y479" i="25"/>
  <c r="R479" i="25"/>
  <c r="S479" i="25" s="1"/>
  <c r="Y464" i="25"/>
  <c r="R464" i="25"/>
  <c r="S464" i="25" s="1"/>
  <c r="Q439" i="25"/>
  <c r="X439" i="25"/>
  <c r="Q463" i="25"/>
  <c r="X463" i="25"/>
  <c r="Y407" i="25"/>
  <c r="R407" i="25"/>
  <c r="S407" i="25" s="1"/>
  <c r="Y431" i="25"/>
  <c r="R431" i="25"/>
  <c r="S431" i="25" s="1"/>
  <c r="R455" i="25"/>
  <c r="S455" i="25" s="1"/>
  <c r="Y455" i="25"/>
  <c r="X485" i="25"/>
  <c r="Q485" i="25"/>
  <c r="R515" i="25"/>
  <c r="S515" i="25" s="1"/>
  <c r="Y515" i="25"/>
  <c r="R493" i="25"/>
  <c r="S493" i="25" s="1"/>
  <c r="Y493" i="25"/>
  <c r="Q476" i="25"/>
  <c r="X476" i="25"/>
  <c r="Q500" i="25"/>
  <c r="X500" i="25"/>
  <c r="Q545" i="25"/>
  <c r="X545" i="25"/>
  <c r="Q535" i="25"/>
  <c r="X535" i="25"/>
  <c r="Y546" i="25"/>
  <c r="R546" i="25"/>
  <c r="S546" i="25" s="1"/>
  <c r="Y610" i="25"/>
  <c r="R610" i="25"/>
  <c r="S610" i="25" s="1"/>
  <c r="D633" i="25"/>
  <c r="X623" i="25"/>
  <c r="Q20" i="25"/>
  <c r="X20" i="25"/>
  <c r="R109" i="25"/>
  <c r="S109" i="25" s="1"/>
  <c r="Y109" i="25"/>
  <c r="X217" i="25"/>
  <c r="Q217" i="25"/>
  <c r="X18" i="25"/>
  <c r="Q18" i="25"/>
  <c r="X30" i="25"/>
  <c r="Q30" i="25"/>
  <c r="X70" i="25"/>
  <c r="Q70" i="25"/>
  <c r="X103" i="25"/>
  <c r="Q103" i="25"/>
  <c r="Q173" i="25"/>
  <c r="X173" i="25"/>
  <c r="Q78" i="25"/>
  <c r="X78" i="25"/>
  <c r="X22" i="25"/>
  <c r="Q22" i="25"/>
  <c r="Y37" i="25"/>
  <c r="R37" i="25"/>
  <c r="S37" i="25" s="1"/>
  <c r="Q55" i="25"/>
  <c r="X55" i="25"/>
  <c r="Y117" i="25"/>
  <c r="R117" i="25"/>
  <c r="S117" i="25" s="1"/>
  <c r="Q149" i="25"/>
  <c r="X149" i="25"/>
  <c r="X213" i="25"/>
  <c r="Q213" i="25"/>
  <c r="X31" i="25"/>
  <c r="Q31" i="25"/>
  <c r="X79" i="25"/>
  <c r="Q79" i="25"/>
  <c r="X201" i="25"/>
  <c r="Q201" i="25"/>
  <c r="Y23" i="25"/>
  <c r="R23" i="25"/>
  <c r="S23" i="25" s="1"/>
  <c r="R61" i="25"/>
  <c r="S61" i="25" s="1"/>
  <c r="Y61" i="25"/>
  <c r="X94" i="25"/>
  <c r="Q94" i="25"/>
  <c r="Q161" i="25"/>
  <c r="X161" i="25"/>
  <c r="R248" i="25"/>
  <c r="S248" i="25" s="1"/>
  <c r="Y248" i="25"/>
  <c r="Y33" i="25"/>
  <c r="R33" i="25"/>
  <c r="S33" i="25" s="1"/>
  <c r="X43" i="25"/>
  <c r="Q43" i="25"/>
  <c r="R14" i="25"/>
  <c r="S14" i="25" s="1"/>
  <c r="Y14" i="25"/>
  <c r="Y22" i="25"/>
  <c r="R22" i="25"/>
  <c r="S22" i="25" s="1"/>
  <c r="X29" i="25"/>
  <c r="Q29" i="25"/>
  <c r="Y43" i="25"/>
  <c r="R43" i="25"/>
  <c r="S43" i="25" s="1"/>
  <c r="Q52" i="25"/>
  <c r="X52" i="25"/>
  <c r="X61" i="25"/>
  <c r="Q61" i="25"/>
  <c r="Y75" i="25"/>
  <c r="R75" i="25"/>
  <c r="S75" i="25" s="1"/>
  <c r="X84" i="25"/>
  <c r="Q84" i="25"/>
  <c r="Q93" i="25"/>
  <c r="X93" i="25"/>
  <c r="Y107" i="25"/>
  <c r="R107" i="25"/>
  <c r="S107" i="25" s="1"/>
  <c r="X116" i="25"/>
  <c r="Q116" i="25"/>
  <c r="R131" i="25"/>
  <c r="S131" i="25" s="1"/>
  <c r="Y131" i="25"/>
  <c r="R147" i="25"/>
  <c r="S147" i="25" s="1"/>
  <c r="Y147" i="25"/>
  <c r="R163" i="25"/>
  <c r="S163" i="25" s="1"/>
  <c r="Y163" i="25"/>
  <c r="R179" i="25"/>
  <c r="S179" i="25" s="1"/>
  <c r="Y179" i="25"/>
  <c r="R195" i="25"/>
  <c r="S195" i="25" s="1"/>
  <c r="Y195" i="25"/>
  <c r="R211" i="25"/>
  <c r="S211" i="25" s="1"/>
  <c r="Y211" i="25"/>
  <c r="R240" i="25"/>
  <c r="S240" i="25" s="1"/>
  <c r="Y240" i="25"/>
  <c r="X328" i="25"/>
  <c r="Q328" i="25"/>
  <c r="X48" i="25"/>
  <c r="Q48" i="25"/>
  <c r="X57" i="25"/>
  <c r="Q57" i="25"/>
  <c r="Y71" i="25"/>
  <c r="R71" i="25"/>
  <c r="S71" i="25" s="1"/>
  <c r="X80" i="25"/>
  <c r="Q80" i="25"/>
  <c r="X89" i="25"/>
  <c r="Q89" i="25"/>
  <c r="Y103" i="25"/>
  <c r="R103" i="25"/>
  <c r="S103" i="25" s="1"/>
  <c r="X112" i="25"/>
  <c r="Q112" i="25"/>
  <c r="R125" i="25"/>
  <c r="S125" i="25" s="1"/>
  <c r="Y125" i="25"/>
  <c r="R141" i="25"/>
  <c r="S141" i="25" s="1"/>
  <c r="Y141" i="25"/>
  <c r="R157" i="25"/>
  <c r="S157" i="25" s="1"/>
  <c r="Y157" i="25"/>
  <c r="R173" i="25"/>
  <c r="S173" i="25" s="1"/>
  <c r="Y173" i="25"/>
  <c r="R189" i="25"/>
  <c r="S189" i="25" s="1"/>
  <c r="Y189" i="25"/>
  <c r="R205" i="25"/>
  <c r="S205" i="25" s="1"/>
  <c r="Y205" i="25"/>
  <c r="X223" i="25"/>
  <c r="Q223" i="25"/>
  <c r="Y261" i="25"/>
  <c r="R261" i="25"/>
  <c r="S261" i="25" s="1"/>
  <c r="X58" i="25"/>
  <c r="Q58" i="25"/>
  <c r="X67" i="25"/>
  <c r="Q67" i="25"/>
  <c r="Y81" i="25"/>
  <c r="R81" i="25"/>
  <c r="S81" i="25" s="1"/>
  <c r="X90" i="25"/>
  <c r="Q90" i="25"/>
  <c r="Q99" i="25"/>
  <c r="X99" i="25"/>
  <c r="R113" i="25"/>
  <c r="S113" i="25" s="1"/>
  <c r="Y113" i="25"/>
  <c r="X127" i="25"/>
  <c r="Q127" i="25"/>
  <c r="X143" i="25"/>
  <c r="Q143" i="25"/>
  <c r="X159" i="25"/>
  <c r="Q159" i="25"/>
  <c r="X175" i="25"/>
  <c r="Q175" i="25"/>
  <c r="X191" i="25"/>
  <c r="Q191" i="25"/>
  <c r="X207" i="25"/>
  <c r="Q207" i="25"/>
  <c r="X221" i="25"/>
  <c r="Q221" i="25"/>
  <c r="X263" i="25"/>
  <c r="Q263" i="25"/>
  <c r="Y30" i="25"/>
  <c r="R30" i="25"/>
  <c r="S30" i="25" s="1"/>
  <c r="Y38" i="25"/>
  <c r="R38" i="25"/>
  <c r="S38" i="25" s="1"/>
  <c r="Y46" i="25"/>
  <c r="R46" i="25"/>
  <c r="S46" i="25" s="1"/>
  <c r="Y54" i="25"/>
  <c r="R54" i="25"/>
  <c r="S54" i="25" s="1"/>
  <c r="Y62" i="25"/>
  <c r="R62" i="25"/>
  <c r="S62" i="25" s="1"/>
  <c r="R70" i="25"/>
  <c r="S70" i="25" s="1"/>
  <c r="Y70" i="25"/>
  <c r="R78" i="25"/>
  <c r="S78" i="25" s="1"/>
  <c r="Y78" i="25"/>
  <c r="R86" i="25"/>
  <c r="S86" i="25" s="1"/>
  <c r="Y86" i="25"/>
  <c r="Y94" i="25"/>
  <c r="R94" i="25"/>
  <c r="S94" i="25" s="1"/>
  <c r="Y102" i="25"/>
  <c r="R102" i="25"/>
  <c r="S102" i="25" s="1"/>
  <c r="Y110" i="25"/>
  <c r="R110" i="25"/>
  <c r="S110" i="25" s="1"/>
  <c r="R118" i="25"/>
  <c r="S118" i="25" s="1"/>
  <c r="Y118" i="25"/>
  <c r="Y126" i="25"/>
  <c r="R126" i="25"/>
  <c r="S126" i="25" s="1"/>
  <c r="R134" i="25"/>
  <c r="S134" i="25" s="1"/>
  <c r="Y134" i="25"/>
  <c r="Y142" i="25"/>
  <c r="R142" i="25"/>
  <c r="S142" i="25" s="1"/>
  <c r="Y150" i="25"/>
  <c r="R150" i="25"/>
  <c r="S150" i="25" s="1"/>
  <c r="R158" i="25"/>
  <c r="S158" i="25" s="1"/>
  <c r="Y158" i="25"/>
  <c r="R166" i="25"/>
  <c r="S166" i="25" s="1"/>
  <c r="Y166" i="25"/>
  <c r="Y174" i="25"/>
  <c r="R174" i="25"/>
  <c r="S174" i="25" s="1"/>
  <c r="Y182" i="25"/>
  <c r="R182" i="25"/>
  <c r="S182" i="25" s="1"/>
  <c r="R190" i="25"/>
  <c r="S190" i="25" s="1"/>
  <c r="Y190" i="25"/>
  <c r="R198" i="25"/>
  <c r="S198" i="25" s="1"/>
  <c r="Y198" i="25"/>
  <c r="Y206" i="25"/>
  <c r="R206" i="25"/>
  <c r="S206" i="25" s="1"/>
  <c r="Y214" i="25"/>
  <c r="R214" i="25"/>
  <c r="S214" i="25" s="1"/>
  <c r="Y222" i="25"/>
  <c r="R222" i="25"/>
  <c r="S222" i="25" s="1"/>
  <c r="R230" i="25"/>
  <c r="S230" i="25" s="1"/>
  <c r="Y230" i="25"/>
  <c r="Y243" i="25"/>
  <c r="R243" i="25"/>
  <c r="S243" i="25" s="1"/>
  <c r="Q253" i="25"/>
  <c r="X253" i="25"/>
  <c r="R262" i="25"/>
  <c r="S262" i="25" s="1"/>
  <c r="Y262" i="25"/>
  <c r="Q288" i="25"/>
  <c r="X288" i="25"/>
  <c r="X321" i="25"/>
  <c r="Q321" i="25"/>
  <c r="R226" i="25"/>
  <c r="S226" i="25" s="1"/>
  <c r="Y226" i="25"/>
  <c r="Y239" i="25"/>
  <c r="R239" i="25"/>
  <c r="S239" i="25" s="1"/>
  <c r="X249" i="25"/>
  <c r="Q249" i="25"/>
  <c r="Y258" i="25"/>
  <c r="R258" i="25"/>
  <c r="S258" i="25" s="1"/>
  <c r="Y303" i="25"/>
  <c r="R303" i="25"/>
  <c r="S303" i="25" s="1"/>
  <c r="Q336" i="25"/>
  <c r="X336" i="25"/>
  <c r="X124" i="25"/>
  <c r="Q124" i="25"/>
  <c r="X132" i="25"/>
  <c r="Q132" i="25"/>
  <c r="Q140" i="25"/>
  <c r="X140" i="25"/>
  <c r="Q148" i="25"/>
  <c r="X148" i="25"/>
  <c r="X156" i="25"/>
  <c r="Q156" i="25"/>
  <c r="X164" i="25"/>
  <c r="Q164" i="25"/>
  <c r="X172" i="25"/>
  <c r="Q172" i="25"/>
  <c r="Q180" i="25"/>
  <c r="X180" i="25"/>
  <c r="X188" i="25"/>
  <c r="Q188" i="25"/>
  <c r="X196" i="25"/>
  <c r="Q196" i="25"/>
  <c r="Q204" i="25"/>
  <c r="X204" i="25"/>
  <c r="Q212" i="25"/>
  <c r="X212" i="25"/>
  <c r="X220" i="25"/>
  <c r="Q220" i="25"/>
  <c r="R228" i="25"/>
  <c r="S228" i="25" s="1"/>
  <c r="Y228" i="25"/>
  <c r="R241" i="25"/>
  <c r="S241" i="25" s="1"/>
  <c r="Y241" i="25"/>
  <c r="X251" i="25"/>
  <c r="Q251" i="25"/>
  <c r="Y260" i="25"/>
  <c r="R260" i="25"/>
  <c r="S260" i="25" s="1"/>
  <c r="Q280" i="25"/>
  <c r="X280" i="25"/>
  <c r="Q313" i="25"/>
  <c r="X313" i="25"/>
  <c r="Q228" i="25"/>
  <c r="X228" i="25"/>
  <c r="X236" i="25"/>
  <c r="Q236" i="25"/>
  <c r="Q244" i="25"/>
  <c r="X244" i="25"/>
  <c r="Q252" i="25"/>
  <c r="X252" i="25"/>
  <c r="Q260" i="25"/>
  <c r="X260" i="25"/>
  <c r="Q268" i="25"/>
  <c r="X268" i="25"/>
  <c r="X276" i="25"/>
  <c r="Q276" i="25"/>
  <c r="X286" i="25"/>
  <c r="Q286" i="25"/>
  <c r="Q295" i="25"/>
  <c r="X295" i="25"/>
  <c r="Y309" i="25"/>
  <c r="R309" i="25"/>
  <c r="S309" i="25" s="1"/>
  <c r="X318" i="25"/>
  <c r="Q318" i="25"/>
  <c r="X327" i="25"/>
  <c r="Q327" i="25"/>
  <c r="Y341" i="25"/>
  <c r="R341" i="25"/>
  <c r="S341" i="25" s="1"/>
  <c r="Y347" i="25"/>
  <c r="R347" i="25"/>
  <c r="S347" i="25" s="1"/>
  <c r="R355" i="25"/>
  <c r="S355" i="25" s="1"/>
  <c r="Y355" i="25"/>
  <c r="Y363" i="25"/>
  <c r="R363" i="25"/>
  <c r="S363" i="25" s="1"/>
  <c r="Q394" i="25"/>
  <c r="X394" i="25"/>
  <c r="X265" i="25"/>
  <c r="Q265" i="25"/>
  <c r="X273" i="25"/>
  <c r="Q273" i="25"/>
  <c r="X282" i="25"/>
  <c r="Q282" i="25"/>
  <c r="X291" i="25"/>
  <c r="Q291" i="25"/>
  <c r="Y305" i="25"/>
  <c r="R305" i="25"/>
  <c r="S305" i="25" s="1"/>
  <c r="Q314" i="25"/>
  <c r="X314" i="25"/>
  <c r="X323" i="25"/>
  <c r="Q323" i="25"/>
  <c r="R337" i="25"/>
  <c r="S337" i="25" s="1"/>
  <c r="Y337" i="25"/>
  <c r="X346" i="25"/>
  <c r="Q346" i="25"/>
  <c r="Q354" i="25"/>
  <c r="X354" i="25"/>
  <c r="X362" i="25"/>
  <c r="Q362" i="25"/>
  <c r="X378" i="25"/>
  <c r="Q378" i="25"/>
  <c r="R269" i="25"/>
  <c r="S269" i="25" s="1"/>
  <c r="Y269" i="25"/>
  <c r="Y277" i="25"/>
  <c r="R277" i="25"/>
  <c r="S277" i="25" s="1"/>
  <c r="R291" i="25"/>
  <c r="S291" i="25" s="1"/>
  <c r="Y291" i="25"/>
  <c r="X300" i="25"/>
  <c r="Q300" i="25"/>
  <c r="X309" i="25"/>
  <c r="Q309" i="25"/>
  <c r="R323" i="25"/>
  <c r="S323" i="25" s="1"/>
  <c r="Y323" i="25"/>
  <c r="X332" i="25"/>
  <c r="Q332" i="25"/>
  <c r="Q341" i="25"/>
  <c r="X341" i="25"/>
  <c r="X387" i="25"/>
  <c r="Q387" i="25"/>
  <c r="Q351" i="25"/>
  <c r="X351" i="25"/>
  <c r="X359" i="25"/>
  <c r="Q359" i="25"/>
  <c r="Q367" i="25"/>
  <c r="X367" i="25"/>
  <c r="Y375" i="25"/>
  <c r="R375" i="25"/>
  <c r="S375" i="25" s="1"/>
  <c r="Q384" i="25"/>
  <c r="X384" i="25"/>
  <c r="X393" i="25"/>
  <c r="Q393" i="25"/>
  <c r="X421" i="25"/>
  <c r="Q421" i="25"/>
  <c r="X368" i="25"/>
  <c r="Q368" i="25"/>
  <c r="Y379" i="25"/>
  <c r="R379" i="25"/>
  <c r="S379" i="25" s="1"/>
  <c r="Q388" i="25"/>
  <c r="X388" i="25"/>
  <c r="Q397" i="25"/>
  <c r="X397" i="25"/>
  <c r="R434" i="25"/>
  <c r="S434" i="25" s="1"/>
  <c r="Y434" i="25"/>
  <c r="Y286" i="25"/>
  <c r="R286" i="25"/>
  <c r="S286" i="25" s="1"/>
  <c r="R294" i="25"/>
  <c r="S294" i="25" s="1"/>
  <c r="Y294" i="25"/>
  <c r="Y302" i="25"/>
  <c r="R302" i="25"/>
  <c r="S302" i="25" s="1"/>
  <c r="Y310" i="25"/>
  <c r="R310" i="25"/>
  <c r="S310" i="25" s="1"/>
  <c r="Y318" i="25"/>
  <c r="R318" i="25"/>
  <c r="S318" i="25" s="1"/>
  <c r="Y326" i="25"/>
  <c r="R326" i="25"/>
  <c r="S326" i="25" s="1"/>
  <c r="R334" i="25"/>
  <c r="S334" i="25" s="1"/>
  <c r="Y334" i="25"/>
  <c r="R342" i="25"/>
  <c r="S342" i="25" s="1"/>
  <c r="Y342" i="25"/>
  <c r="R350" i="25"/>
  <c r="S350" i="25" s="1"/>
  <c r="Y350" i="25"/>
  <c r="R358" i="25"/>
  <c r="S358" i="25" s="1"/>
  <c r="Y358" i="25"/>
  <c r="R366" i="25"/>
  <c r="S366" i="25" s="1"/>
  <c r="Y366" i="25"/>
  <c r="Y374" i="25"/>
  <c r="R374" i="25"/>
  <c r="S374" i="25" s="1"/>
  <c r="X383" i="25"/>
  <c r="Q383" i="25"/>
  <c r="Y397" i="25"/>
  <c r="R397" i="25"/>
  <c r="S397" i="25" s="1"/>
  <c r="Y412" i="25"/>
  <c r="R412" i="25"/>
  <c r="S412" i="25" s="1"/>
  <c r="R376" i="25"/>
  <c r="S376" i="25" s="1"/>
  <c r="Y376" i="25"/>
  <c r="R384" i="25"/>
  <c r="S384" i="25" s="1"/>
  <c r="Y384" i="25"/>
  <c r="R392" i="25"/>
  <c r="S392" i="25" s="1"/>
  <c r="Y392" i="25"/>
  <c r="R402" i="25"/>
  <c r="S402" i="25" s="1"/>
  <c r="Y402" i="25"/>
  <c r="X411" i="25"/>
  <c r="Q411" i="25"/>
  <c r="X420" i="25"/>
  <c r="Q420" i="25"/>
  <c r="Y444" i="25"/>
  <c r="R444" i="25"/>
  <c r="S444" i="25" s="1"/>
  <c r="Y482" i="25"/>
  <c r="R482" i="25"/>
  <c r="S482" i="25" s="1"/>
  <c r="R414" i="25"/>
  <c r="S414" i="25" s="1"/>
  <c r="Y414" i="25"/>
  <c r="X423" i="25"/>
  <c r="Q423" i="25"/>
  <c r="Y440" i="25"/>
  <c r="R440" i="25"/>
  <c r="S440" i="25" s="1"/>
  <c r="Y466" i="25"/>
  <c r="R466" i="25"/>
  <c r="S466" i="25" s="1"/>
  <c r="Q516" i="25"/>
  <c r="X516" i="25"/>
  <c r="Y408" i="25"/>
  <c r="R408" i="25"/>
  <c r="S408" i="25" s="1"/>
  <c r="Q417" i="25"/>
  <c r="X417" i="25"/>
  <c r="X426" i="25"/>
  <c r="Q426" i="25"/>
  <c r="R446" i="25"/>
  <c r="S446" i="25" s="1"/>
  <c r="Y446" i="25"/>
  <c r="Y474" i="25"/>
  <c r="R474" i="25"/>
  <c r="S474" i="25" s="1"/>
  <c r="X430" i="25"/>
  <c r="Q430" i="25"/>
  <c r="X438" i="25"/>
  <c r="Q438" i="25"/>
  <c r="Q446" i="25"/>
  <c r="X446" i="25"/>
  <c r="Q454" i="25"/>
  <c r="X454" i="25"/>
  <c r="X462" i="25"/>
  <c r="Q462" i="25"/>
  <c r="Y472" i="25"/>
  <c r="R472" i="25"/>
  <c r="S472" i="25" s="1"/>
  <c r="X491" i="25"/>
  <c r="Q491" i="25"/>
  <c r="X429" i="25"/>
  <c r="Q429" i="25"/>
  <c r="Q437" i="25"/>
  <c r="X437" i="25"/>
  <c r="X445" i="25"/>
  <c r="Q445" i="25"/>
  <c r="Q453" i="25"/>
  <c r="X453" i="25"/>
  <c r="X461" i="25"/>
  <c r="Q461" i="25"/>
  <c r="Y468" i="25"/>
  <c r="R468" i="25"/>
  <c r="S468" i="25" s="1"/>
  <c r="Y481" i="25"/>
  <c r="R481" i="25"/>
  <c r="S481" i="25" s="1"/>
  <c r="X511" i="25"/>
  <c r="Q511" i="25"/>
  <c r="R405" i="25"/>
  <c r="S405" i="25" s="1"/>
  <c r="Y405" i="25"/>
  <c r="Y413" i="25"/>
  <c r="R413" i="25"/>
  <c r="S413" i="25" s="1"/>
  <c r="Y421" i="25"/>
  <c r="R421" i="25"/>
  <c r="S421" i="25" s="1"/>
  <c r="Y429" i="25"/>
  <c r="R429" i="25"/>
  <c r="S429" i="25" s="1"/>
  <c r="Y437" i="25"/>
  <c r="R437" i="25"/>
  <c r="S437" i="25" s="1"/>
  <c r="Y445" i="25"/>
  <c r="R445" i="25"/>
  <c r="S445" i="25" s="1"/>
  <c r="R453" i="25"/>
  <c r="S453" i="25" s="1"/>
  <c r="Y453" i="25"/>
  <c r="Y461" i="25"/>
  <c r="R461" i="25"/>
  <c r="S461" i="25" s="1"/>
  <c r="R470" i="25"/>
  <c r="S470" i="25" s="1"/>
  <c r="Y470" i="25"/>
  <c r="Y484" i="25"/>
  <c r="R484" i="25"/>
  <c r="S484" i="25" s="1"/>
  <c r="X509" i="25"/>
  <c r="Q509" i="25"/>
  <c r="Y490" i="25"/>
  <c r="R490" i="25"/>
  <c r="S490" i="25" s="1"/>
  <c r="Y498" i="25"/>
  <c r="R498" i="25"/>
  <c r="S498" i="25" s="1"/>
  <c r="R506" i="25"/>
  <c r="S506" i="25" s="1"/>
  <c r="Y506" i="25"/>
  <c r="Q514" i="25"/>
  <c r="X514" i="25"/>
  <c r="Y523" i="25"/>
  <c r="R523" i="25"/>
  <c r="S523" i="25" s="1"/>
  <c r="R483" i="25"/>
  <c r="S483" i="25" s="1"/>
  <c r="Y483" i="25"/>
  <c r="Y491" i="25"/>
  <c r="R491" i="25"/>
  <c r="S491" i="25" s="1"/>
  <c r="Y499" i="25"/>
  <c r="R499" i="25"/>
  <c r="S499" i="25" s="1"/>
  <c r="R507" i="25"/>
  <c r="S507" i="25" s="1"/>
  <c r="Y507" i="25"/>
  <c r="X518" i="25"/>
  <c r="Q518" i="25"/>
  <c r="Q466" i="25"/>
  <c r="X466" i="25"/>
  <c r="X474" i="25"/>
  <c r="Q474" i="25"/>
  <c r="Q482" i="25"/>
  <c r="X482" i="25"/>
  <c r="Q490" i="25"/>
  <c r="X490" i="25"/>
  <c r="Q498" i="25"/>
  <c r="X498" i="25"/>
  <c r="X506" i="25"/>
  <c r="Q506" i="25"/>
  <c r="R513" i="25"/>
  <c r="S513" i="25" s="1"/>
  <c r="Y513" i="25"/>
  <c r="Y527" i="25"/>
  <c r="R527" i="25"/>
  <c r="S527" i="25" s="1"/>
  <c r="X515" i="25"/>
  <c r="Q515" i="25"/>
  <c r="X523" i="25"/>
  <c r="Q523" i="25"/>
  <c r="Y533" i="25"/>
  <c r="R533" i="25"/>
  <c r="S533" i="25" s="1"/>
  <c r="Q547" i="25"/>
  <c r="X547" i="25"/>
  <c r="R529" i="25"/>
  <c r="S529" i="25" s="1"/>
  <c r="Y529" i="25"/>
  <c r="X543" i="25"/>
  <c r="Q543" i="25"/>
  <c r="R564" i="25"/>
  <c r="S564" i="25" s="1"/>
  <c r="Y564" i="25"/>
  <c r="R526" i="25"/>
  <c r="S526" i="25" s="1"/>
  <c r="Y526" i="25"/>
  <c r="Q541" i="25"/>
  <c r="X541" i="25"/>
  <c r="R544" i="25"/>
  <c r="S544" i="25" s="1"/>
  <c r="Y544" i="25"/>
  <c r="Y552" i="25"/>
  <c r="R552" i="25"/>
  <c r="S552" i="25" s="1"/>
  <c r="R562" i="25"/>
  <c r="S562" i="25" s="1"/>
  <c r="Y562" i="25"/>
  <c r="X574" i="25"/>
  <c r="Q574" i="25"/>
  <c r="R541" i="25"/>
  <c r="S541" i="25" s="1"/>
  <c r="Y541" i="25"/>
  <c r="Y549" i="25"/>
  <c r="R549" i="25"/>
  <c r="S549" i="25" s="1"/>
  <c r="R558" i="25"/>
  <c r="S558" i="25" s="1"/>
  <c r="Y558" i="25"/>
  <c r="Q526" i="25"/>
  <c r="X526" i="25"/>
  <c r="X534" i="25"/>
  <c r="Q534" i="25"/>
  <c r="X542" i="25"/>
  <c r="Q542" i="25"/>
  <c r="Q550" i="25"/>
  <c r="X550" i="25"/>
  <c r="Y560" i="25"/>
  <c r="R560" i="25"/>
  <c r="S560" i="25" s="1"/>
  <c r="Q576" i="25"/>
  <c r="X576" i="25"/>
  <c r="R571" i="25"/>
  <c r="S571" i="25" s="1"/>
  <c r="Y571" i="25"/>
  <c r="Y579" i="25"/>
  <c r="R579" i="25"/>
  <c r="S579" i="25" s="1"/>
  <c r="Y568" i="25"/>
  <c r="R568" i="25"/>
  <c r="S568" i="25" s="1"/>
  <c r="R576" i="25"/>
  <c r="S576" i="25" s="1"/>
  <c r="Y576" i="25"/>
  <c r="R585" i="25"/>
  <c r="S585" i="25" s="1"/>
  <c r="Y585" i="25"/>
  <c r="X561" i="25"/>
  <c r="Q561" i="25"/>
  <c r="Q569" i="25"/>
  <c r="X569" i="25"/>
  <c r="Y577" i="25"/>
  <c r="R577" i="25"/>
  <c r="S577" i="25" s="1"/>
  <c r="Q577" i="25"/>
  <c r="X577" i="25"/>
  <c r="X585" i="25"/>
  <c r="Q585" i="25"/>
  <c r="Y596" i="25"/>
  <c r="R596" i="25"/>
  <c r="S596" i="25" s="1"/>
  <c r="Q588" i="25"/>
  <c r="X588" i="25"/>
  <c r="Q594" i="25"/>
  <c r="X594" i="25"/>
  <c r="R588" i="25"/>
  <c r="S588" i="25" s="1"/>
  <c r="Y588" i="25"/>
  <c r="Q596" i="25"/>
  <c r="X596" i="25"/>
  <c r="R595" i="25"/>
  <c r="S595" i="25" s="1"/>
  <c r="Y595" i="25"/>
  <c r="Y603" i="25"/>
  <c r="R603" i="25"/>
  <c r="S603" i="25" s="1"/>
  <c r="Y598" i="25"/>
  <c r="R598" i="25"/>
  <c r="S598" i="25" s="1"/>
  <c r="R606" i="25"/>
  <c r="S606" i="25" s="1"/>
  <c r="Y606" i="25"/>
  <c r="X601" i="25"/>
  <c r="Q601" i="25"/>
  <c r="Q610" i="25"/>
  <c r="X610" i="25"/>
  <c r="Q613" i="25"/>
  <c r="X613" i="25"/>
  <c r="R609" i="25"/>
  <c r="S609" i="25" s="1"/>
  <c r="Y609" i="25"/>
  <c r="X21" i="25"/>
  <c r="Q21" i="25"/>
  <c r="X19" i="25"/>
  <c r="Q19" i="25"/>
  <c r="X189" i="25"/>
  <c r="Q189" i="25"/>
  <c r="X118" i="25"/>
  <c r="Q118" i="25"/>
  <c r="X121" i="25"/>
  <c r="Q121" i="25"/>
  <c r="X95" i="25"/>
  <c r="Q95" i="25"/>
  <c r="Y49" i="25"/>
  <c r="R49" i="25"/>
  <c r="S49" i="25" s="1"/>
  <c r="R35" i="25"/>
  <c r="S35" i="25" s="1"/>
  <c r="Y35" i="25"/>
  <c r="R67" i="25"/>
  <c r="S67" i="25" s="1"/>
  <c r="Y67" i="25"/>
  <c r="X108" i="25"/>
  <c r="Q108" i="25"/>
  <c r="Y167" i="25"/>
  <c r="R167" i="25"/>
  <c r="S167" i="25" s="1"/>
  <c r="Y215" i="25"/>
  <c r="R215" i="25"/>
  <c r="S215" i="25" s="1"/>
  <c r="Q49" i="25"/>
  <c r="X49" i="25"/>
  <c r="X81" i="25"/>
  <c r="Q81" i="25"/>
  <c r="X104" i="25"/>
  <c r="Q104" i="25"/>
  <c r="Y129" i="25"/>
  <c r="R129" i="25"/>
  <c r="S129" i="25" s="1"/>
  <c r="Y209" i="25"/>
  <c r="R209" i="25"/>
  <c r="S209" i="25" s="1"/>
  <c r="X59" i="25"/>
  <c r="Q59" i="25"/>
  <c r="Y105" i="25"/>
  <c r="R105" i="25"/>
  <c r="S105" i="25" s="1"/>
  <c r="X147" i="25"/>
  <c r="Q147" i="25"/>
  <c r="X195" i="25"/>
  <c r="Q195" i="25"/>
  <c r="X231" i="25"/>
  <c r="Q231" i="25"/>
  <c r="Y48" i="25"/>
  <c r="R48" i="25"/>
  <c r="S48" i="25" s="1"/>
  <c r="R72" i="25"/>
  <c r="S72" i="25" s="1"/>
  <c r="Y72" i="25"/>
  <c r="R104" i="25"/>
  <c r="S104" i="25" s="1"/>
  <c r="Y104" i="25"/>
  <c r="Y128" i="25"/>
  <c r="R128" i="25"/>
  <c r="S128" i="25" s="1"/>
  <c r="Y160" i="25"/>
  <c r="R160" i="25"/>
  <c r="S160" i="25" s="1"/>
  <c r="Y184" i="25"/>
  <c r="R184" i="25"/>
  <c r="S184" i="25" s="1"/>
  <c r="Y208" i="25"/>
  <c r="R208" i="25"/>
  <c r="S208" i="25" s="1"/>
  <c r="X245" i="25"/>
  <c r="Q245" i="25"/>
  <c r="X289" i="25"/>
  <c r="Q289" i="25"/>
  <c r="Y250" i="25"/>
  <c r="R250" i="25"/>
  <c r="S250" i="25" s="1"/>
  <c r="Q337" i="25"/>
  <c r="X337" i="25"/>
  <c r="Q142" i="25"/>
  <c r="X142" i="25"/>
  <c r="Q174" i="25"/>
  <c r="X174" i="25"/>
  <c r="Q206" i="25"/>
  <c r="X206" i="25"/>
  <c r="Y252" i="25"/>
  <c r="R252" i="25"/>
  <c r="S252" i="25" s="1"/>
  <c r="R343" i="25"/>
  <c r="S343" i="25" s="1"/>
  <c r="Y343" i="25"/>
  <c r="Q246" i="25"/>
  <c r="X246" i="25"/>
  <c r="X278" i="25"/>
  <c r="Q278" i="25"/>
  <c r="Q319" i="25"/>
  <c r="X319" i="25"/>
  <c r="Q348" i="25"/>
  <c r="X348" i="25"/>
  <c r="X267" i="25"/>
  <c r="Q267" i="25"/>
  <c r="Y297" i="25"/>
  <c r="R297" i="25"/>
  <c r="S297" i="25" s="1"/>
  <c r="Q315" i="25"/>
  <c r="X315" i="25"/>
  <c r="Y357" i="25"/>
  <c r="R357" i="25"/>
  <c r="S357" i="25" s="1"/>
  <c r="Y271" i="25"/>
  <c r="R271" i="25"/>
  <c r="S271" i="25" s="1"/>
  <c r="Y315" i="25"/>
  <c r="R315" i="25"/>
  <c r="S315" i="25" s="1"/>
  <c r="X345" i="25"/>
  <c r="Q345" i="25"/>
  <c r="X369" i="25"/>
  <c r="Q369" i="25"/>
  <c r="R399" i="25"/>
  <c r="S399" i="25" s="1"/>
  <c r="Y399" i="25"/>
  <c r="Q370" i="25"/>
  <c r="X370" i="25"/>
  <c r="Q389" i="25"/>
  <c r="X389" i="25"/>
  <c r="R296" i="25"/>
  <c r="S296" i="25" s="1"/>
  <c r="Y296" i="25"/>
  <c r="Y328" i="25"/>
  <c r="R328" i="25"/>
  <c r="S328" i="25" s="1"/>
  <c r="Y360" i="25"/>
  <c r="R360" i="25"/>
  <c r="S360" i="25" s="1"/>
  <c r="X375" i="25"/>
  <c r="Q375" i="25"/>
  <c r="R378" i="25"/>
  <c r="S378" i="25" s="1"/>
  <c r="Y378" i="25"/>
  <c r="X403" i="25"/>
  <c r="Q403" i="25"/>
  <c r="Y406" i="25"/>
  <c r="R406" i="25"/>
  <c r="S406" i="25" s="1"/>
  <c r="R471" i="25"/>
  <c r="S471" i="25" s="1"/>
  <c r="Y471" i="25"/>
  <c r="Y428" i="25"/>
  <c r="R428" i="25"/>
  <c r="S428" i="25" s="1"/>
  <c r="X432" i="25"/>
  <c r="Q432" i="25"/>
  <c r="X456" i="25"/>
  <c r="Q456" i="25"/>
  <c r="X499" i="25"/>
  <c r="Q499" i="25"/>
  <c r="X455" i="25"/>
  <c r="Q455" i="25"/>
  <c r="Q487" i="25"/>
  <c r="X487" i="25"/>
  <c r="R423" i="25"/>
  <c r="S423" i="25" s="1"/>
  <c r="Y423" i="25"/>
  <c r="Y463" i="25"/>
  <c r="R463" i="25"/>
  <c r="S463" i="25" s="1"/>
  <c r="Y538" i="25"/>
  <c r="R538" i="25"/>
  <c r="S538" i="25" s="1"/>
  <c r="R508" i="25"/>
  <c r="S508" i="25" s="1"/>
  <c r="Y508" i="25"/>
  <c r="Y501" i="25"/>
  <c r="R501" i="25"/>
  <c r="S501" i="25" s="1"/>
  <c r="Q468" i="25"/>
  <c r="X468" i="25"/>
  <c r="X492" i="25"/>
  <c r="Q492" i="25"/>
  <c r="Q517" i="25"/>
  <c r="X517" i="25"/>
  <c r="X531" i="25"/>
  <c r="Q531" i="25"/>
  <c r="X549" i="25"/>
  <c r="Q549" i="25"/>
  <c r="Q612" i="25"/>
  <c r="X612" i="25"/>
  <c r="Q622" i="25"/>
  <c r="D632" i="25" s="1"/>
  <c r="X622" i="25"/>
  <c r="X626" i="25"/>
  <c r="Q626" i="25"/>
  <c r="D636" i="25" s="1"/>
  <c r="X13" i="25"/>
  <c r="Q13" i="25"/>
  <c r="U13" i="25" s="1"/>
  <c r="R27" i="25"/>
  <c r="S27" i="25" s="1"/>
  <c r="Y27" i="25"/>
  <c r="X153" i="25"/>
  <c r="Q153" i="25"/>
  <c r="R15" i="25"/>
  <c r="S15" i="25" s="1"/>
  <c r="Y15" i="25"/>
  <c r="Q27" i="25"/>
  <c r="X27" i="25"/>
  <c r="Y39" i="25"/>
  <c r="R39" i="25"/>
  <c r="S39" i="25" s="1"/>
  <c r="Y101" i="25"/>
  <c r="R101" i="25"/>
  <c r="S101" i="25" s="1"/>
  <c r="X141" i="25"/>
  <c r="Q141" i="25"/>
  <c r="Q205" i="25"/>
  <c r="X205" i="25"/>
  <c r="X15" i="25"/>
  <c r="Q15" i="25"/>
  <c r="X25" i="25"/>
  <c r="Q25" i="25"/>
  <c r="Y53" i="25"/>
  <c r="R53" i="25"/>
  <c r="S53" i="25" s="1"/>
  <c r="Q86" i="25"/>
  <c r="X86" i="25"/>
  <c r="Q119" i="25"/>
  <c r="X119" i="25"/>
  <c r="X181" i="25"/>
  <c r="Q181" i="25"/>
  <c r="X247" i="25"/>
  <c r="Q247" i="25"/>
  <c r="X46" i="25"/>
  <c r="Q46" i="25"/>
  <c r="X137" i="25"/>
  <c r="Q137" i="25"/>
  <c r="X16" i="25"/>
  <c r="Q16" i="25"/>
  <c r="Y25" i="25"/>
  <c r="R25" i="25"/>
  <c r="S25" i="25" s="1"/>
  <c r="X63" i="25"/>
  <c r="Q63" i="25"/>
  <c r="Q129" i="25"/>
  <c r="X129" i="25"/>
  <c r="Q193" i="25"/>
  <c r="X193" i="25"/>
  <c r="X26" i="25"/>
  <c r="Q26" i="25"/>
  <c r="R41" i="25"/>
  <c r="S41" i="25" s="1"/>
  <c r="Y41" i="25"/>
  <c r="X51" i="25"/>
  <c r="Q51" i="25"/>
  <c r="Y18" i="25"/>
  <c r="R18" i="25"/>
  <c r="S18" i="25" s="1"/>
  <c r="R26" i="25"/>
  <c r="S26" i="25" s="1"/>
  <c r="Y26" i="25"/>
  <c r="X36" i="25"/>
  <c r="Q36" i="25"/>
  <c r="X45" i="25"/>
  <c r="Q45" i="25"/>
  <c r="Y59" i="25"/>
  <c r="R59" i="25"/>
  <c r="S59" i="25" s="1"/>
  <c r="Q68" i="25"/>
  <c r="X68" i="25"/>
  <c r="X77" i="25"/>
  <c r="Q77" i="25"/>
  <c r="Y91" i="25"/>
  <c r="R91" i="25"/>
  <c r="S91" i="25" s="1"/>
  <c r="X100" i="25"/>
  <c r="Q100" i="25"/>
  <c r="Q109" i="25"/>
  <c r="X109" i="25"/>
  <c r="Y123" i="25"/>
  <c r="R123" i="25"/>
  <c r="S123" i="25" s="1"/>
  <c r="Y139" i="25"/>
  <c r="R139" i="25"/>
  <c r="S139" i="25" s="1"/>
  <c r="Y155" i="25"/>
  <c r="R155" i="25"/>
  <c r="S155" i="25" s="1"/>
  <c r="Y171" i="25"/>
  <c r="R171" i="25"/>
  <c r="S171" i="25" s="1"/>
  <c r="Y187" i="25"/>
  <c r="R187" i="25"/>
  <c r="S187" i="25" s="1"/>
  <c r="Y203" i="25"/>
  <c r="R203" i="25"/>
  <c r="S203" i="25" s="1"/>
  <c r="Y219" i="25"/>
  <c r="R219" i="25"/>
  <c r="S219" i="25" s="1"/>
  <c r="Y270" i="25"/>
  <c r="R270" i="25"/>
  <c r="S270" i="25" s="1"/>
  <c r="Q41" i="25"/>
  <c r="X41" i="25"/>
  <c r="R55" i="25"/>
  <c r="S55" i="25" s="1"/>
  <c r="Y55" i="25"/>
  <c r="X64" i="25"/>
  <c r="Q64" i="25"/>
  <c r="Q73" i="25"/>
  <c r="X73" i="25"/>
  <c r="Y87" i="25"/>
  <c r="R87" i="25"/>
  <c r="S87" i="25" s="1"/>
  <c r="Q96" i="25"/>
  <c r="X96" i="25"/>
  <c r="Q105" i="25"/>
  <c r="X105" i="25"/>
  <c r="Y119" i="25"/>
  <c r="R119" i="25"/>
  <c r="S119" i="25" s="1"/>
  <c r="Y133" i="25"/>
  <c r="R133" i="25"/>
  <c r="S133" i="25" s="1"/>
  <c r="Y149" i="25"/>
  <c r="R149" i="25"/>
  <c r="S149" i="25" s="1"/>
  <c r="Y165" i="25"/>
  <c r="R165" i="25"/>
  <c r="S165" i="25" s="1"/>
  <c r="Y181" i="25"/>
  <c r="R181" i="25"/>
  <c r="S181" i="25" s="1"/>
  <c r="Y197" i="25"/>
  <c r="R197" i="25"/>
  <c r="S197" i="25" s="1"/>
  <c r="Y213" i="25"/>
  <c r="R213" i="25"/>
  <c r="S213" i="25" s="1"/>
  <c r="X255" i="25"/>
  <c r="Q255" i="25"/>
  <c r="X35" i="25"/>
  <c r="Q35" i="25"/>
  <c r="R65" i="25"/>
  <c r="S65" i="25" s="1"/>
  <c r="Y65" i="25"/>
  <c r="X74" i="25"/>
  <c r="Q74" i="25"/>
  <c r="X83" i="25"/>
  <c r="Q83" i="25"/>
  <c r="R97" i="25"/>
  <c r="S97" i="25" s="1"/>
  <c r="Y97" i="25"/>
  <c r="X106" i="25"/>
  <c r="Q106" i="25"/>
  <c r="Q115" i="25"/>
  <c r="X115" i="25"/>
  <c r="Q135" i="25"/>
  <c r="X135" i="25"/>
  <c r="Q151" i="25"/>
  <c r="X151" i="25"/>
  <c r="Q167" i="25"/>
  <c r="X167" i="25"/>
  <c r="Q183" i="25"/>
  <c r="X183" i="25"/>
  <c r="Q199" i="25"/>
  <c r="X199" i="25"/>
  <c r="Q215" i="25"/>
  <c r="X215" i="25"/>
  <c r="R232" i="25"/>
  <c r="S232" i="25" s="1"/>
  <c r="Y232" i="25"/>
  <c r="Q296" i="25"/>
  <c r="X296" i="25"/>
  <c r="R34" i="25"/>
  <c r="S34" i="25" s="1"/>
  <c r="Y34" i="25"/>
  <c r="R42" i="25"/>
  <c r="S42" i="25" s="1"/>
  <c r="Y42" i="25"/>
  <c r="R50" i="25"/>
  <c r="S50" i="25" s="1"/>
  <c r="Y50" i="25"/>
  <c r="R58" i="25"/>
  <c r="S58" i="25" s="1"/>
  <c r="Y58" i="25"/>
  <c r="R66" i="25"/>
  <c r="S66" i="25" s="1"/>
  <c r="Y66" i="25"/>
  <c r="Y74" i="25"/>
  <c r="R74" i="25"/>
  <c r="S74" i="25" s="1"/>
  <c r="Y82" i="25"/>
  <c r="R82" i="25"/>
  <c r="S82" i="25" s="1"/>
  <c r="Y90" i="25"/>
  <c r="R90" i="25"/>
  <c r="S90" i="25" s="1"/>
  <c r="R98" i="25"/>
  <c r="S98" i="25" s="1"/>
  <c r="Y98" i="25"/>
  <c r="R106" i="25"/>
  <c r="S106" i="25" s="1"/>
  <c r="Y106" i="25"/>
  <c r="R114" i="25"/>
  <c r="S114" i="25" s="1"/>
  <c r="Y114" i="25"/>
  <c r="R122" i="25"/>
  <c r="S122" i="25" s="1"/>
  <c r="Y122" i="25"/>
  <c r="Y130" i="25"/>
  <c r="R130" i="25"/>
  <c r="S130" i="25" s="1"/>
  <c r="Y138" i="25"/>
  <c r="R138" i="25"/>
  <c r="S138" i="25" s="1"/>
  <c r="Y146" i="25"/>
  <c r="R146" i="25"/>
  <c r="S146" i="25" s="1"/>
  <c r="R154" i="25"/>
  <c r="S154" i="25" s="1"/>
  <c r="Y154" i="25"/>
  <c r="R162" i="25"/>
  <c r="S162" i="25" s="1"/>
  <c r="Y162" i="25"/>
  <c r="Y170" i="25"/>
  <c r="R170" i="25"/>
  <c r="S170" i="25" s="1"/>
  <c r="Y178" i="25"/>
  <c r="R178" i="25"/>
  <c r="S178" i="25" s="1"/>
  <c r="R186" i="25"/>
  <c r="S186" i="25" s="1"/>
  <c r="Y186" i="25"/>
  <c r="Y194" i="25"/>
  <c r="R194" i="25"/>
  <c r="S194" i="25" s="1"/>
  <c r="Y202" i="25"/>
  <c r="R202" i="25"/>
  <c r="S202" i="25" s="1"/>
  <c r="Y210" i="25"/>
  <c r="R210" i="25"/>
  <c r="S210" i="25" s="1"/>
  <c r="R218" i="25"/>
  <c r="S218" i="25" s="1"/>
  <c r="Y218" i="25"/>
  <c r="R227" i="25"/>
  <c r="S227" i="25" s="1"/>
  <c r="Y227" i="25"/>
  <c r="Q237" i="25"/>
  <c r="X237" i="25"/>
  <c r="R246" i="25"/>
  <c r="S246" i="25" s="1"/>
  <c r="Y246" i="25"/>
  <c r="Y259" i="25"/>
  <c r="R259" i="25"/>
  <c r="S259" i="25" s="1"/>
  <c r="R272" i="25"/>
  <c r="S272" i="25" s="1"/>
  <c r="Y272" i="25"/>
  <c r="Y319" i="25"/>
  <c r="R319" i="25"/>
  <c r="S319" i="25" s="1"/>
  <c r="Y223" i="25"/>
  <c r="R223" i="25"/>
  <c r="S223" i="25" s="1"/>
  <c r="Q233" i="25"/>
  <c r="X233" i="25"/>
  <c r="Y242" i="25"/>
  <c r="R242" i="25"/>
  <c r="S242" i="25" s="1"/>
  <c r="Y255" i="25"/>
  <c r="R255" i="25"/>
  <c r="S255" i="25" s="1"/>
  <c r="R268" i="25"/>
  <c r="S268" i="25" s="1"/>
  <c r="Y268" i="25"/>
  <c r="X305" i="25"/>
  <c r="Q305" i="25"/>
  <c r="X120" i="25"/>
  <c r="Q120" i="25"/>
  <c r="Q128" i="25"/>
  <c r="X128" i="25"/>
  <c r="Q136" i="25"/>
  <c r="X136" i="25"/>
  <c r="X144" i="25"/>
  <c r="Q144" i="25"/>
  <c r="X152" i="25"/>
  <c r="Q152" i="25"/>
  <c r="X160" i="25"/>
  <c r="Q160" i="25"/>
  <c r="Q168" i="25"/>
  <c r="X168" i="25"/>
  <c r="Q176" i="25"/>
  <c r="X176" i="25"/>
  <c r="X184" i="25"/>
  <c r="Q184" i="25"/>
  <c r="X192" i="25"/>
  <c r="Q192" i="25"/>
  <c r="Q200" i="25"/>
  <c r="X200" i="25"/>
  <c r="X208" i="25"/>
  <c r="Q208" i="25"/>
  <c r="X216" i="25"/>
  <c r="Q216" i="25"/>
  <c r="X224" i="25"/>
  <c r="Q224" i="25"/>
  <c r="X235" i="25"/>
  <c r="Q235" i="25"/>
  <c r="Y244" i="25"/>
  <c r="R244" i="25"/>
  <c r="S244" i="25" s="1"/>
  <c r="Y257" i="25"/>
  <c r="R257" i="25"/>
  <c r="S257" i="25" s="1"/>
  <c r="Y274" i="25"/>
  <c r="R274" i="25"/>
  <c r="S274" i="25" s="1"/>
  <c r="R311" i="25"/>
  <c r="S311" i="25" s="1"/>
  <c r="Y311" i="25"/>
  <c r="Y367" i="25"/>
  <c r="R367" i="25"/>
  <c r="S367" i="25" s="1"/>
  <c r="Q232" i="25"/>
  <c r="X232" i="25"/>
  <c r="X240" i="25"/>
  <c r="Q240" i="25"/>
  <c r="X248" i="25"/>
  <c r="Q248" i="25"/>
  <c r="X256" i="25"/>
  <c r="Q256" i="25"/>
  <c r="Q264" i="25"/>
  <c r="X264" i="25"/>
  <c r="X272" i="25"/>
  <c r="Q272" i="25"/>
  <c r="X279" i="25"/>
  <c r="Q279" i="25"/>
  <c r="Y293" i="25"/>
  <c r="R293" i="25"/>
  <c r="S293" i="25" s="1"/>
  <c r="Q302" i="25"/>
  <c r="X302" i="25"/>
  <c r="Q311" i="25"/>
  <c r="X311" i="25"/>
  <c r="Y325" i="25"/>
  <c r="R325" i="25"/>
  <c r="S325" i="25" s="1"/>
  <c r="X334" i="25"/>
  <c r="Q334" i="25"/>
  <c r="X343" i="25"/>
  <c r="Q343" i="25"/>
  <c r="Y351" i="25"/>
  <c r="R351" i="25"/>
  <c r="S351" i="25" s="1"/>
  <c r="R359" i="25"/>
  <c r="S359" i="25" s="1"/>
  <c r="Y359" i="25"/>
  <c r="Y369" i="25"/>
  <c r="R369" i="25"/>
  <c r="S369" i="25" s="1"/>
  <c r="Y442" i="25"/>
  <c r="R442" i="25"/>
  <c r="S442" i="25" s="1"/>
  <c r="Q269" i="25"/>
  <c r="X269" i="25"/>
  <c r="X277" i="25"/>
  <c r="Q277" i="25"/>
  <c r="Y289" i="25"/>
  <c r="R289" i="25"/>
  <c r="S289" i="25" s="1"/>
  <c r="X298" i="25"/>
  <c r="Q298" i="25"/>
  <c r="X307" i="25"/>
  <c r="Q307" i="25"/>
  <c r="R321" i="25"/>
  <c r="S321" i="25" s="1"/>
  <c r="Y321" i="25"/>
  <c r="Q330" i="25"/>
  <c r="X330" i="25"/>
  <c r="Q339" i="25"/>
  <c r="X339" i="25"/>
  <c r="Q350" i="25"/>
  <c r="X350" i="25"/>
  <c r="X358" i="25"/>
  <c r="Q358" i="25"/>
  <c r="Y373" i="25"/>
  <c r="R373" i="25"/>
  <c r="S373" i="25" s="1"/>
  <c r="Y265" i="25"/>
  <c r="R265" i="25"/>
  <c r="S265" i="25" s="1"/>
  <c r="Y273" i="25"/>
  <c r="R273" i="25"/>
  <c r="S273" i="25" s="1"/>
  <c r="Q284" i="25"/>
  <c r="X284" i="25"/>
  <c r="X293" i="25"/>
  <c r="Q293" i="25"/>
  <c r="Y307" i="25"/>
  <c r="R307" i="25"/>
  <c r="S307" i="25" s="1"/>
  <c r="X316" i="25"/>
  <c r="Q316" i="25"/>
  <c r="Q325" i="25"/>
  <c r="X325" i="25"/>
  <c r="R339" i="25"/>
  <c r="S339" i="25" s="1"/>
  <c r="Y339" i="25"/>
  <c r="Y385" i="25"/>
  <c r="R385" i="25"/>
  <c r="S385" i="25" s="1"/>
  <c r="X347" i="25"/>
  <c r="Q347" i="25"/>
  <c r="Q355" i="25"/>
  <c r="X355" i="25"/>
  <c r="Q363" i="25"/>
  <c r="X363" i="25"/>
  <c r="X371" i="25"/>
  <c r="Q371" i="25"/>
  <c r="X377" i="25"/>
  <c r="Q377" i="25"/>
  <c r="Y391" i="25"/>
  <c r="R391" i="25"/>
  <c r="S391" i="25" s="1"/>
  <c r="Y400" i="25"/>
  <c r="R400" i="25"/>
  <c r="S400" i="25" s="1"/>
  <c r="Y450" i="25"/>
  <c r="R450" i="25"/>
  <c r="S450" i="25" s="1"/>
  <c r="X372" i="25"/>
  <c r="Q372" i="25"/>
  <c r="X381" i="25"/>
  <c r="Q381" i="25"/>
  <c r="Y395" i="25"/>
  <c r="R395" i="25"/>
  <c r="S395" i="25" s="1"/>
  <c r="X405" i="25"/>
  <c r="Q405" i="25"/>
  <c r="R282" i="25"/>
  <c r="S282" i="25" s="1"/>
  <c r="Y282" i="25"/>
  <c r="Y290" i="25"/>
  <c r="R290" i="25"/>
  <c r="S290" i="25" s="1"/>
  <c r="R298" i="25"/>
  <c r="S298" i="25" s="1"/>
  <c r="Y298" i="25"/>
  <c r="R306" i="25"/>
  <c r="S306" i="25" s="1"/>
  <c r="Y306" i="25"/>
  <c r="R314" i="25"/>
  <c r="S314" i="25" s="1"/>
  <c r="Y314" i="25"/>
  <c r="R322" i="25"/>
  <c r="S322" i="25" s="1"/>
  <c r="Y322" i="25"/>
  <c r="R330" i="25"/>
  <c r="S330" i="25" s="1"/>
  <c r="Y330" i="25"/>
  <c r="Y338" i="25"/>
  <c r="R338" i="25"/>
  <c r="S338" i="25" s="1"/>
  <c r="Y346" i="25"/>
  <c r="R346" i="25"/>
  <c r="S346" i="25" s="1"/>
  <c r="Y354" i="25"/>
  <c r="R354" i="25"/>
  <c r="S354" i="25" s="1"/>
  <c r="R362" i="25"/>
  <c r="S362" i="25" s="1"/>
  <c r="Y362" i="25"/>
  <c r="R370" i="25"/>
  <c r="S370" i="25" s="1"/>
  <c r="Y370" i="25"/>
  <c r="Y381" i="25"/>
  <c r="R381" i="25"/>
  <c r="S381" i="25" s="1"/>
  <c r="X390" i="25"/>
  <c r="Q390" i="25"/>
  <c r="Q399" i="25"/>
  <c r="X399" i="25"/>
  <c r="X414" i="25"/>
  <c r="Q414" i="25"/>
  <c r="Y380" i="25"/>
  <c r="R380" i="25"/>
  <c r="S380" i="25" s="1"/>
  <c r="Y388" i="25"/>
  <c r="R388" i="25"/>
  <c r="S388" i="25" s="1"/>
  <c r="Y396" i="25"/>
  <c r="R396" i="25"/>
  <c r="S396" i="25" s="1"/>
  <c r="X404" i="25"/>
  <c r="Q404" i="25"/>
  <c r="Y418" i="25"/>
  <c r="R418" i="25"/>
  <c r="S418" i="25" s="1"/>
  <c r="X427" i="25"/>
  <c r="Q427" i="25"/>
  <c r="Y460" i="25"/>
  <c r="R460" i="25"/>
  <c r="S460" i="25" s="1"/>
  <c r="Q407" i="25"/>
  <c r="X407" i="25"/>
  <c r="X416" i="25"/>
  <c r="Q416" i="25"/>
  <c r="X428" i="25"/>
  <c r="Q428" i="25"/>
  <c r="Y456" i="25"/>
  <c r="R456" i="25"/>
  <c r="S456" i="25" s="1"/>
  <c r="X483" i="25"/>
  <c r="Q483" i="25"/>
  <c r="X401" i="25"/>
  <c r="Q401" i="25"/>
  <c r="X410" i="25"/>
  <c r="Q410" i="25"/>
  <c r="R424" i="25"/>
  <c r="S424" i="25" s="1"/>
  <c r="Y424" i="25"/>
  <c r="R430" i="25"/>
  <c r="S430" i="25" s="1"/>
  <c r="Y430" i="25"/>
  <c r="R462" i="25"/>
  <c r="S462" i="25" s="1"/>
  <c r="Y462" i="25"/>
  <c r="X489" i="25"/>
  <c r="Q489" i="25"/>
  <c r="X434" i="25"/>
  <c r="Q434" i="25"/>
  <c r="Q442" i="25"/>
  <c r="X442" i="25"/>
  <c r="X450" i="25"/>
  <c r="Q450" i="25"/>
  <c r="Q458" i="25"/>
  <c r="X458" i="25"/>
  <c r="Y469" i="25"/>
  <c r="R469" i="25"/>
  <c r="S469" i="25" s="1"/>
  <c r="X479" i="25"/>
  <c r="Q479" i="25"/>
  <c r="Q507" i="25"/>
  <c r="X507" i="25"/>
  <c r="Q433" i="25"/>
  <c r="X433" i="25"/>
  <c r="X441" i="25"/>
  <c r="Q441" i="25"/>
  <c r="X449" i="25"/>
  <c r="Q449" i="25"/>
  <c r="Q457" i="25"/>
  <c r="X457" i="25"/>
  <c r="Y465" i="25"/>
  <c r="R465" i="25"/>
  <c r="S465" i="25" s="1"/>
  <c r="X475" i="25"/>
  <c r="Q475" i="25"/>
  <c r="X495" i="25"/>
  <c r="Q495" i="25"/>
  <c r="R401" i="25"/>
  <c r="S401" i="25" s="1"/>
  <c r="Y401" i="25"/>
  <c r="Y409" i="25"/>
  <c r="R409" i="25"/>
  <c r="S409" i="25" s="1"/>
  <c r="R417" i="25"/>
  <c r="S417" i="25" s="1"/>
  <c r="Y417" i="25"/>
  <c r="R425" i="25"/>
  <c r="S425" i="25" s="1"/>
  <c r="Y425" i="25"/>
  <c r="Y433" i="25"/>
  <c r="R433" i="25"/>
  <c r="S433" i="25" s="1"/>
  <c r="R441" i="25"/>
  <c r="S441" i="25" s="1"/>
  <c r="Y441" i="25"/>
  <c r="Y449" i="25"/>
  <c r="R449" i="25"/>
  <c r="S449" i="25" s="1"/>
  <c r="R457" i="25"/>
  <c r="S457" i="25" s="1"/>
  <c r="Y457" i="25"/>
  <c r="Y467" i="25"/>
  <c r="R467" i="25"/>
  <c r="S467" i="25" s="1"/>
  <c r="X477" i="25"/>
  <c r="Q477" i="25"/>
  <c r="Q493" i="25"/>
  <c r="X493" i="25"/>
  <c r="R486" i="25"/>
  <c r="S486" i="25" s="1"/>
  <c r="Y486" i="25"/>
  <c r="Y494" i="25"/>
  <c r="R494" i="25"/>
  <c r="S494" i="25" s="1"/>
  <c r="R502" i="25"/>
  <c r="S502" i="25" s="1"/>
  <c r="Y502" i="25"/>
  <c r="Y510" i="25"/>
  <c r="R510" i="25"/>
  <c r="S510" i="25" s="1"/>
  <c r="R520" i="25"/>
  <c r="S520" i="25" s="1"/>
  <c r="Y520" i="25"/>
  <c r="Y530" i="25"/>
  <c r="R530" i="25"/>
  <c r="S530" i="25" s="1"/>
  <c r="R487" i="25"/>
  <c r="S487" i="25" s="1"/>
  <c r="Y487" i="25"/>
  <c r="Y495" i="25"/>
  <c r="R495" i="25"/>
  <c r="S495" i="25" s="1"/>
  <c r="R503" i="25"/>
  <c r="S503" i="25" s="1"/>
  <c r="Y503" i="25"/>
  <c r="Y511" i="25"/>
  <c r="R511" i="25"/>
  <c r="S511" i="25" s="1"/>
  <c r="X553" i="25"/>
  <c r="Q553" i="25"/>
  <c r="Q470" i="25"/>
  <c r="X470" i="25"/>
  <c r="Q478" i="25"/>
  <c r="X478" i="25"/>
  <c r="X486" i="25"/>
  <c r="Q486" i="25"/>
  <c r="Q494" i="25"/>
  <c r="X494" i="25"/>
  <c r="Q502" i="25"/>
  <c r="X502" i="25"/>
  <c r="X510" i="25"/>
  <c r="Q510" i="25"/>
  <c r="X520" i="25"/>
  <c r="Q520" i="25"/>
  <c r="Y581" i="25"/>
  <c r="R581" i="25"/>
  <c r="S581" i="25" s="1"/>
  <c r="X519" i="25"/>
  <c r="Q519" i="25"/>
  <c r="X527" i="25"/>
  <c r="Q527" i="25"/>
  <c r="Y536" i="25"/>
  <c r="R536" i="25"/>
  <c r="S536" i="25" s="1"/>
  <c r="X580" i="25"/>
  <c r="Q580" i="25"/>
  <c r="Y532" i="25"/>
  <c r="R532" i="25"/>
  <c r="S532" i="25" s="1"/>
  <c r="Q558" i="25"/>
  <c r="X558" i="25"/>
  <c r="Y524" i="25"/>
  <c r="R524" i="25"/>
  <c r="S524" i="25" s="1"/>
  <c r="X533" i="25"/>
  <c r="Q533" i="25"/>
  <c r="Y540" i="25"/>
  <c r="R540" i="25"/>
  <c r="S540" i="25" s="1"/>
  <c r="Y548" i="25"/>
  <c r="R548" i="25"/>
  <c r="S548" i="25" s="1"/>
  <c r="R556" i="25"/>
  <c r="S556" i="25" s="1"/>
  <c r="Y556" i="25"/>
  <c r="R565" i="25"/>
  <c r="S565" i="25" s="1"/>
  <c r="Y565" i="25"/>
  <c r="Y587" i="25"/>
  <c r="R587" i="25"/>
  <c r="S587" i="25" s="1"/>
  <c r="Y545" i="25"/>
  <c r="R545" i="25"/>
  <c r="S545" i="25" s="1"/>
  <c r="R553" i="25"/>
  <c r="S553" i="25" s="1"/>
  <c r="Y553" i="25"/>
  <c r="R561" i="25"/>
  <c r="S561" i="25" s="1"/>
  <c r="Y561" i="25"/>
  <c r="Q530" i="25"/>
  <c r="X530" i="25"/>
  <c r="Q538" i="25"/>
  <c r="X538" i="25"/>
  <c r="Q546" i="25"/>
  <c r="X546" i="25"/>
  <c r="X554" i="25"/>
  <c r="Q554" i="25"/>
  <c r="Y563" i="25"/>
  <c r="R563" i="25"/>
  <c r="S563" i="25" s="1"/>
  <c r="Y567" i="25"/>
  <c r="R567" i="25"/>
  <c r="S567" i="25" s="1"/>
  <c r="Y575" i="25"/>
  <c r="R575" i="25"/>
  <c r="S575" i="25" s="1"/>
  <c r="Q592" i="25"/>
  <c r="X592" i="25"/>
  <c r="R572" i="25"/>
  <c r="S572" i="25" s="1"/>
  <c r="Y572" i="25"/>
  <c r="X582" i="25"/>
  <c r="Q582" i="25"/>
  <c r="Q557" i="25"/>
  <c r="X557" i="25"/>
  <c r="X565" i="25"/>
  <c r="Q565" i="25"/>
  <c r="X573" i="25"/>
  <c r="Q573" i="25"/>
  <c r="R591" i="25"/>
  <c r="S591" i="25" s="1"/>
  <c r="Y591" i="25"/>
  <c r="Q581" i="25"/>
  <c r="X581" i="25"/>
  <c r="Q589" i="25"/>
  <c r="X589" i="25"/>
  <c r="X584" i="25"/>
  <c r="Q584" i="25"/>
  <c r="R592" i="25"/>
  <c r="S592" i="25" s="1"/>
  <c r="Y592" i="25"/>
  <c r="X606" i="25"/>
  <c r="Q606" i="25"/>
  <c r="Y594" i="25"/>
  <c r="R594" i="25"/>
  <c r="S594" i="25" s="1"/>
  <c r="R607" i="25"/>
  <c r="S607" i="25" s="1"/>
  <c r="Y607" i="25"/>
  <c r="R599" i="25"/>
  <c r="S599" i="25" s="1"/>
  <c r="Y599" i="25"/>
  <c r="Q607" i="25"/>
  <c r="X607" i="25"/>
  <c r="R602" i="25"/>
  <c r="S602" i="25" s="1"/>
  <c r="Y602" i="25"/>
  <c r="X597" i="25"/>
  <c r="Q597" i="25"/>
  <c r="Q605" i="25"/>
  <c r="X605" i="25"/>
  <c r="X609" i="25"/>
  <c r="Q609" i="25"/>
  <c r="R611" i="25"/>
  <c r="S611" i="25" s="1"/>
  <c r="Y611" i="25"/>
  <c r="R626" i="25"/>
  <c r="S626" i="25" s="1"/>
  <c r="Y626" i="25"/>
  <c r="X14" i="25"/>
  <c r="Q14" i="25"/>
  <c r="Q71" i="25"/>
  <c r="X71" i="25"/>
  <c r="Q125" i="25"/>
  <c r="X125" i="25"/>
  <c r="X23" i="25"/>
  <c r="Q23" i="25"/>
  <c r="X38" i="25"/>
  <c r="Q38" i="25"/>
  <c r="X165" i="25"/>
  <c r="Q165" i="25"/>
  <c r="Q225" i="25"/>
  <c r="X225" i="25"/>
  <c r="R13" i="25"/>
  <c r="S13" i="25" s="1"/>
  <c r="Y13" i="25"/>
  <c r="Q24" i="25"/>
  <c r="X24" i="25"/>
  <c r="Q177" i="25"/>
  <c r="X177" i="25"/>
  <c r="X34" i="25"/>
  <c r="Q34" i="25"/>
  <c r="R16" i="25"/>
  <c r="S16" i="25" s="1"/>
  <c r="Y16" i="25"/>
  <c r="X44" i="25"/>
  <c r="Q44" i="25"/>
  <c r="Q76" i="25"/>
  <c r="X76" i="25"/>
  <c r="Q85" i="25"/>
  <c r="X85" i="25"/>
  <c r="Q117" i="25"/>
  <c r="X117" i="25"/>
  <c r="Y151" i="25"/>
  <c r="R151" i="25"/>
  <c r="S151" i="25" s="1"/>
  <c r="Y183" i="25"/>
  <c r="R183" i="25"/>
  <c r="S183" i="25" s="1"/>
  <c r="Y245" i="25"/>
  <c r="R245" i="25"/>
  <c r="S245" i="25" s="1"/>
  <c r="R63" i="25"/>
  <c r="S63" i="25" s="1"/>
  <c r="Y63" i="25"/>
  <c r="Y95" i="25"/>
  <c r="R95" i="25"/>
  <c r="S95" i="25" s="1"/>
  <c r="Y145" i="25"/>
  <c r="R145" i="25"/>
  <c r="S145" i="25" s="1"/>
  <c r="R177" i="25"/>
  <c r="S177" i="25" s="1"/>
  <c r="Y177" i="25"/>
  <c r="Y229" i="25"/>
  <c r="R229" i="25"/>
  <c r="S229" i="25" s="1"/>
  <c r="Y73" i="25"/>
  <c r="R73" i="25"/>
  <c r="S73" i="25" s="1"/>
  <c r="Q82" i="25"/>
  <c r="X82" i="25"/>
  <c r="Q114" i="25"/>
  <c r="X114" i="25"/>
  <c r="X131" i="25"/>
  <c r="Q131" i="25"/>
  <c r="X179" i="25"/>
  <c r="Q179" i="25"/>
  <c r="X211" i="25"/>
  <c r="Q211" i="25"/>
  <c r="R278" i="25"/>
  <c r="S278" i="25" s="1"/>
  <c r="Y278" i="25"/>
  <c r="R40" i="25"/>
  <c r="S40" i="25" s="1"/>
  <c r="Y40" i="25"/>
  <c r="R64" i="25"/>
  <c r="S64" i="25" s="1"/>
  <c r="Y64" i="25"/>
  <c r="R88" i="25"/>
  <c r="S88" i="25" s="1"/>
  <c r="Y88" i="25"/>
  <c r="Y96" i="25"/>
  <c r="R96" i="25"/>
  <c r="S96" i="25" s="1"/>
  <c r="Y120" i="25"/>
  <c r="R120" i="25"/>
  <c r="S120" i="25" s="1"/>
  <c r="R144" i="25"/>
  <c r="S144" i="25" s="1"/>
  <c r="Y144" i="25"/>
  <c r="R152" i="25"/>
  <c r="S152" i="25" s="1"/>
  <c r="Y152" i="25"/>
  <c r="Y176" i="25"/>
  <c r="R176" i="25"/>
  <c r="S176" i="25" s="1"/>
  <c r="R192" i="25"/>
  <c r="S192" i="25" s="1"/>
  <c r="Y192" i="25"/>
  <c r="Y216" i="25"/>
  <c r="R216" i="25"/>
  <c r="S216" i="25" s="1"/>
  <c r="R235" i="25"/>
  <c r="S235" i="25" s="1"/>
  <c r="Y235" i="25"/>
  <c r="R254" i="25"/>
  <c r="S254" i="25" s="1"/>
  <c r="Y254" i="25"/>
  <c r="R221" i="25"/>
  <c r="S221" i="25" s="1"/>
  <c r="Y221" i="25"/>
  <c r="Y231" i="25"/>
  <c r="R231" i="25"/>
  <c r="S231" i="25" s="1"/>
  <c r="R263" i="25"/>
  <c r="S263" i="25" s="1"/>
  <c r="Y263" i="25"/>
  <c r="X304" i="25"/>
  <c r="Q304" i="25"/>
  <c r="X134" i="25"/>
  <c r="Q134" i="25"/>
  <c r="X158" i="25"/>
  <c r="Q158" i="25"/>
  <c r="Q166" i="25"/>
  <c r="X166" i="25"/>
  <c r="X190" i="25"/>
  <c r="Q190" i="25"/>
  <c r="Q198" i="25"/>
  <c r="X198" i="25"/>
  <c r="X222" i="25"/>
  <c r="Q222" i="25"/>
  <c r="Q243" i="25"/>
  <c r="X243" i="25"/>
  <c r="Y266" i="25"/>
  <c r="R266" i="25"/>
  <c r="S266" i="25" s="1"/>
  <c r="Q230" i="25"/>
  <c r="X230" i="25"/>
  <c r="Q254" i="25"/>
  <c r="X254" i="25"/>
  <c r="Q270" i="25"/>
  <c r="X270" i="25"/>
  <c r="X287" i="25"/>
  <c r="Q287" i="25"/>
  <c r="Q310" i="25"/>
  <c r="X310" i="25"/>
  <c r="X342" i="25"/>
  <c r="Q342" i="25"/>
  <c r="X356" i="25"/>
  <c r="Q356" i="25"/>
  <c r="X395" i="25"/>
  <c r="Q395" i="25"/>
  <c r="Q283" i="25"/>
  <c r="X283" i="25"/>
  <c r="Y329" i="25"/>
  <c r="R329" i="25"/>
  <c r="S329" i="25" s="1"/>
  <c r="R349" i="25"/>
  <c r="S349" i="25" s="1"/>
  <c r="Y349" i="25"/>
  <c r="R365" i="25"/>
  <c r="S365" i="25" s="1"/>
  <c r="Y365" i="25"/>
  <c r="R283" i="25"/>
  <c r="S283" i="25" s="1"/>
  <c r="Y283" i="25"/>
  <c r="X301" i="25"/>
  <c r="Q301" i="25"/>
  <c r="X324" i="25"/>
  <c r="Q324" i="25"/>
  <c r="Y371" i="25"/>
  <c r="R371" i="25"/>
  <c r="S371" i="25" s="1"/>
  <c r="X353" i="25"/>
  <c r="Q353" i="25"/>
  <c r="Q376" i="25"/>
  <c r="X376" i="25"/>
  <c r="Q422" i="25"/>
  <c r="X422" i="25"/>
  <c r="Y280" i="25"/>
  <c r="R280" i="25"/>
  <c r="S280" i="25" s="1"/>
  <c r="R288" i="25"/>
  <c r="S288" i="25" s="1"/>
  <c r="Y288" i="25"/>
  <c r="Y312" i="25"/>
  <c r="R312" i="25"/>
  <c r="S312" i="25" s="1"/>
  <c r="Y336" i="25"/>
  <c r="R336" i="25"/>
  <c r="S336" i="25" s="1"/>
  <c r="Y344" i="25"/>
  <c r="R344" i="25"/>
  <c r="S344" i="25" s="1"/>
  <c r="R368" i="25"/>
  <c r="S368" i="25" s="1"/>
  <c r="Y368" i="25"/>
  <c r="Q398" i="25"/>
  <c r="X398" i="25"/>
  <c r="Q413" i="25"/>
  <c r="X413" i="25"/>
  <c r="Y394" i="25"/>
  <c r="R394" i="25"/>
  <c r="S394" i="25" s="1"/>
  <c r="Y426" i="25"/>
  <c r="R426" i="25"/>
  <c r="S426" i="25" s="1"/>
  <c r="R452" i="25"/>
  <c r="S452" i="25" s="1"/>
  <c r="Y452" i="25"/>
  <c r="X424" i="25"/>
  <c r="Q424" i="25"/>
  <c r="R522" i="25"/>
  <c r="S522" i="25" s="1"/>
  <c r="Y522" i="25"/>
  <c r="X409" i="25"/>
  <c r="Q409" i="25"/>
  <c r="Y454" i="25"/>
  <c r="R454" i="25"/>
  <c r="S454" i="25" s="1"/>
  <c r="Q440" i="25"/>
  <c r="X440" i="25"/>
  <c r="X448" i="25"/>
  <c r="Q448" i="25"/>
  <c r="Y477" i="25"/>
  <c r="R477" i="25"/>
  <c r="S477" i="25" s="1"/>
  <c r="X431" i="25"/>
  <c r="Q431" i="25"/>
  <c r="X447" i="25"/>
  <c r="Q447" i="25"/>
  <c r="Y473" i="25"/>
  <c r="R473" i="25"/>
  <c r="S473" i="25" s="1"/>
  <c r="X537" i="25"/>
  <c r="Q537" i="25"/>
  <c r="R415" i="25"/>
  <c r="S415" i="25" s="1"/>
  <c r="Y415" i="25"/>
  <c r="R439" i="25"/>
  <c r="S439" i="25" s="1"/>
  <c r="Y439" i="25"/>
  <c r="Y447" i="25"/>
  <c r="R447" i="25"/>
  <c r="S447" i="25" s="1"/>
  <c r="Y475" i="25"/>
  <c r="R475" i="25"/>
  <c r="S475" i="25" s="1"/>
  <c r="Y492" i="25"/>
  <c r="R492" i="25"/>
  <c r="S492" i="25" s="1"/>
  <c r="R500" i="25"/>
  <c r="S500" i="25" s="1"/>
  <c r="Y500" i="25"/>
  <c r="Q529" i="25"/>
  <c r="X529" i="25"/>
  <c r="Y485" i="25"/>
  <c r="R485" i="25"/>
  <c r="S485" i="25" s="1"/>
  <c r="R509" i="25"/>
  <c r="S509" i="25" s="1"/>
  <c r="Y509" i="25"/>
  <c r="R519" i="25"/>
  <c r="S519" i="25" s="1"/>
  <c r="Y519" i="25"/>
  <c r="X484" i="25"/>
  <c r="Q484" i="25"/>
  <c r="X508" i="25"/>
  <c r="Q508" i="25"/>
  <c r="Y518" i="25"/>
  <c r="R518" i="25"/>
  <c r="S518" i="25" s="1"/>
  <c r="R525" i="25"/>
  <c r="S525" i="25" s="1"/>
  <c r="Y525" i="25"/>
  <c r="X555" i="25"/>
  <c r="Q555" i="25"/>
  <c r="Q551" i="25"/>
  <c r="X551" i="25"/>
  <c r="X572" i="25"/>
  <c r="Q572" i="25"/>
  <c r="Y531" i="25"/>
  <c r="R531" i="25"/>
  <c r="S531" i="25" s="1"/>
  <c r="R554" i="25"/>
  <c r="S554" i="25" s="1"/>
  <c r="Y554" i="25"/>
  <c r="X564" i="25"/>
  <c r="Q564" i="25"/>
  <c r="Y578" i="25"/>
  <c r="R578" i="25"/>
  <c r="S578" i="25" s="1"/>
  <c r="Y543" i="25"/>
  <c r="R543" i="25"/>
  <c r="S543" i="25" s="1"/>
  <c r="R551" i="25"/>
  <c r="S551" i="25" s="1"/>
  <c r="Y551" i="25"/>
  <c r="Q560" i="25"/>
  <c r="X560" i="25"/>
  <c r="Q528" i="25"/>
  <c r="X528" i="25"/>
  <c r="X536" i="25"/>
  <c r="Q536" i="25"/>
  <c r="X544" i="25"/>
  <c r="Q544" i="25"/>
  <c r="Q552" i="25"/>
  <c r="X552" i="25"/>
  <c r="X562" i="25"/>
  <c r="Q562" i="25"/>
  <c r="Y584" i="25"/>
  <c r="R584" i="25"/>
  <c r="S584" i="25" s="1"/>
  <c r="Y573" i="25"/>
  <c r="R573" i="25"/>
  <c r="S573" i="25" s="1"/>
  <c r="Y589" i="25"/>
  <c r="R589" i="25"/>
  <c r="S589" i="25" s="1"/>
  <c r="R570" i="25"/>
  <c r="S570" i="25" s="1"/>
  <c r="Y570" i="25"/>
  <c r="Y580" i="25"/>
  <c r="R580" i="25"/>
  <c r="S580" i="25" s="1"/>
  <c r="X600" i="25"/>
  <c r="Q600" i="25"/>
  <c r="Q563" i="25"/>
  <c r="X563" i="25"/>
  <c r="X571" i="25"/>
  <c r="Q571" i="25"/>
  <c r="R582" i="25"/>
  <c r="S582" i="25" s="1"/>
  <c r="Y582" i="25"/>
  <c r="X579" i="25"/>
  <c r="Q579" i="25"/>
  <c r="X587" i="25"/>
  <c r="Q587" i="25"/>
  <c r="X602" i="25"/>
  <c r="Q602" i="25"/>
  <c r="X590" i="25"/>
  <c r="Q590" i="25"/>
  <c r="Q598" i="25"/>
  <c r="X598" i="25"/>
  <c r="Y590" i="25"/>
  <c r="R590" i="25"/>
  <c r="S590" i="25" s="1"/>
  <c r="X604" i="25"/>
  <c r="Q604" i="25"/>
  <c r="Y597" i="25"/>
  <c r="R597" i="25"/>
  <c r="S597" i="25" s="1"/>
  <c r="R605" i="25"/>
  <c r="S605" i="25" s="1"/>
  <c r="Y605" i="25"/>
  <c r="Y600" i="25"/>
  <c r="R600" i="25"/>
  <c r="S600" i="25" s="1"/>
  <c r="X603" i="25"/>
  <c r="Q603" i="25"/>
  <c r="R627" i="25"/>
  <c r="S627" i="25" s="1"/>
  <c r="AB627" i="25"/>
  <c r="Y622" i="25"/>
  <c r="R622" i="25"/>
  <c r="S622" i="25" s="1"/>
  <c r="Y19" i="25"/>
  <c r="R19" i="25"/>
  <c r="S19" i="25" s="1"/>
  <c r="Q47" i="25"/>
  <c r="X47" i="25"/>
  <c r="X185" i="25"/>
  <c r="Q185" i="25"/>
  <c r="R17" i="25"/>
  <c r="S17" i="25" s="1"/>
  <c r="Y17" i="25"/>
  <c r="R29" i="25"/>
  <c r="S29" i="25" s="1"/>
  <c r="Y29" i="25"/>
  <c r="Y69" i="25"/>
  <c r="R69" i="25"/>
  <c r="S69" i="25" s="1"/>
  <c r="Q102" i="25"/>
  <c r="X102" i="25"/>
  <c r="X157" i="25"/>
  <c r="Q157" i="25"/>
  <c r="Q32" i="25"/>
  <c r="X32" i="25"/>
  <c r="Y21" i="25"/>
  <c r="R21" i="25"/>
  <c r="S21" i="25" s="1"/>
  <c r="Y31" i="25"/>
  <c r="R31" i="25"/>
  <c r="S31" i="25" s="1"/>
  <c r="Q54" i="25"/>
  <c r="X54" i="25"/>
  <c r="X87" i="25"/>
  <c r="Q87" i="25"/>
  <c r="X133" i="25"/>
  <c r="Q133" i="25"/>
  <c r="Q197" i="25"/>
  <c r="X197" i="25"/>
  <c r="Y253" i="25"/>
  <c r="R253" i="25"/>
  <c r="S253" i="25" s="1"/>
  <c r="R77" i="25"/>
  <c r="S77" i="25" s="1"/>
  <c r="Y77" i="25"/>
  <c r="X169" i="25"/>
  <c r="Q169" i="25"/>
  <c r="X17" i="25"/>
  <c r="Q17" i="25"/>
  <c r="X39" i="25"/>
  <c r="Q39" i="25"/>
  <c r="R93" i="25"/>
  <c r="S93" i="25" s="1"/>
  <c r="Y93" i="25"/>
  <c r="Q145" i="25"/>
  <c r="X145" i="25"/>
  <c r="Q209" i="25"/>
  <c r="X209" i="25"/>
  <c r="Q28" i="25"/>
  <c r="X28" i="25"/>
  <c r="X42" i="25"/>
  <c r="Q42" i="25"/>
  <c r="Y57" i="25"/>
  <c r="R57" i="25"/>
  <c r="S57" i="25" s="1"/>
  <c r="R20" i="25"/>
  <c r="S20" i="25" s="1"/>
  <c r="Y20" i="25"/>
  <c r="Y28" i="25"/>
  <c r="R28" i="25"/>
  <c r="S28" i="25" s="1"/>
  <c r="X37" i="25"/>
  <c r="Q37" i="25"/>
  <c r="R51" i="25"/>
  <c r="S51" i="25" s="1"/>
  <c r="Y51" i="25"/>
  <c r="X60" i="25"/>
  <c r="Q60" i="25"/>
  <c r="X69" i="25"/>
  <c r="Q69" i="25"/>
  <c r="R83" i="25"/>
  <c r="S83" i="25" s="1"/>
  <c r="Y83" i="25"/>
  <c r="X92" i="25"/>
  <c r="Q92" i="25"/>
  <c r="Q101" i="25"/>
  <c r="X101" i="25"/>
  <c r="R115" i="25"/>
  <c r="S115" i="25" s="1"/>
  <c r="Y115" i="25"/>
  <c r="Y127" i="25"/>
  <c r="R127" i="25"/>
  <c r="S127" i="25" s="1"/>
  <c r="R143" i="25"/>
  <c r="S143" i="25" s="1"/>
  <c r="Y143" i="25"/>
  <c r="Y159" i="25"/>
  <c r="R159" i="25"/>
  <c r="S159" i="25" s="1"/>
  <c r="Y175" i="25"/>
  <c r="R175" i="25"/>
  <c r="S175" i="25" s="1"/>
  <c r="R191" i="25"/>
  <c r="S191" i="25" s="1"/>
  <c r="Y191" i="25"/>
  <c r="Y207" i="25"/>
  <c r="R207" i="25"/>
  <c r="S207" i="25" s="1"/>
  <c r="X239" i="25"/>
  <c r="Q239" i="25"/>
  <c r="X297" i="25"/>
  <c r="Q297" i="25"/>
  <c r="Y47" i="25"/>
  <c r="R47" i="25"/>
  <c r="S47" i="25" s="1"/>
  <c r="X56" i="25"/>
  <c r="Q56" i="25"/>
  <c r="X65" i="25"/>
  <c r="Q65" i="25"/>
  <c r="R79" i="25"/>
  <c r="S79" i="25" s="1"/>
  <c r="Y79" i="25"/>
  <c r="Q88" i="25"/>
  <c r="X88" i="25"/>
  <c r="X97" i="25"/>
  <c r="Q97" i="25"/>
  <c r="Y111" i="25"/>
  <c r="R111" i="25"/>
  <c r="S111" i="25" s="1"/>
  <c r="R121" i="25"/>
  <c r="S121" i="25" s="1"/>
  <c r="Y121" i="25"/>
  <c r="Y137" i="25"/>
  <c r="R137" i="25"/>
  <c r="S137" i="25" s="1"/>
  <c r="R153" i="25"/>
  <c r="S153" i="25" s="1"/>
  <c r="Y153" i="25"/>
  <c r="Y169" i="25"/>
  <c r="R169" i="25"/>
  <c r="S169" i="25" s="1"/>
  <c r="Y185" i="25"/>
  <c r="R185" i="25"/>
  <c r="S185" i="25" s="1"/>
  <c r="R201" i="25"/>
  <c r="S201" i="25" s="1"/>
  <c r="Y201" i="25"/>
  <c r="Y217" i="25"/>
  <c r="R217" i="25"/>
  <c r="S217" i="25" s="1"/>
  <c r="Y256" i="25"/>
  <c r="R256" i="25"/>
  <c r="S256" i="25" s="1"/>
  <c r="Q50" i="25"/>
  <c r="X50" i="25"/>
  <c r="X66" i="25"/>
  <c r="Q66" i="25"/>
  <c r="X75" i="25"/>
  <c r="Q75" i="25"/>
  <c r="Y89" i="25"/>
  <c r="R89" i="25"/>
  <c r="S89" i="25" s="1"/>
  <c r="X98" i="25"/>
  <c r="Q98" i="25"/>
  <c r="X107" i="25"/>
  <c r="Q107" i="25"/>
  <c r="X123" i="25"/>
  <c r="Q123" i="25"/>
  <c r="X139" i="25"/>
  <c r="Q139" i="25"/>
  <c r="X155" i="25"/>
  <c r="Q155" i="25"/>
  <c r="Q171" i="25"/>
  <c r="X171" i="25"/>
  <c r="Q187" i="25"/>
  <c r="X187" i="25"/>
  <c r="X203" i="25"/>
  <c r="Q203" i="25"/>
  <c r="Q219" i="25"/>
  <c r="X219" i="25"/>
  <c r="Y237" i="25"/>
  <c r="R237" i="25"/>
  <c r="S237" i="25" s="1"/>
  <c r="R327" i="25"/>
  <c r="S327" i="25" s="1"/>
  <c r="Y327" i="25"/>
  <c r="R36" i="25"/>
  <c r="S36" i="25" s="1"/>
  <c r="Y36" i="25"/>
  <c r="R44" i="25"/>
  <c r="S44" i="25" s="1"/>
  <c r="Y44" i="25"/>
  <c r="Y52" i="25"/>
  <c r="R52" i="25"/>
  <c r="S52" i="25" s="1"/>
  <c r="R60" i="25"/>
  <c r="S60" i="25" s="1"/>
  <c r="Y60" i="25"/>
  <c r="R68" i="25"/>
  <c r="S68" i="25" s="1"/>
  <c r="Y68" i="25"/>
  <c r="Y76" i="25"/>
  <c r="R76" i="25"/>
  <c r="S76" i="25" s="1"/>
  <c r="Y84" i="25"/>
  <c r="R84" i="25"/>
  <c r="S84" i="25" s="1"/>
  <c r="Y92" i="25"/>
  <c r="R92" i="25"/>
  <c r="S92" i="25" s="1"/>
  <c r="Y100" i="25"/>
  <c r="R100" i="25"/>
  <c r="S100" i="25" s="1"/>
  <c r="R108" i="25"/>
  <c r="S108" i="25" s="1"/>
  <c r="Y108" i="25"/>
  <c r="Y116" i="25"/>
  <c r="R116" i="25"/>
  <c r="S116" i="25" s="1"/>
  <c r="Y124" i="25"/>
  <c r="R124" i="25"/>
  <c r="S124" i="25" s="1"/>
  <c r="Y132" i="25"/>
  <c r="R132" i="25"/>
  <c r="S132" i="25" s="1"/>
  <c r="R140" i="25"/>
  <c r="S140" i="25" s="1"/>
  <c r="Y140" i="25"/>
  <c r="Y148" i="25"/>
  <c r="R148" i="25"/>
  <c r="S148" i="25" s="1"/>
  <c r="R156" i="25"/>
  <c r="S156" i="25" s="1"/>
  <c r="Y156" i="25"/>
  <c r="R164" i="25"/>
  <c r="S164" i="25" s="1"/>
  <c r="Y164" i="25"/>
  <c r="R172" i="25"/>
  <c r="S172" i="25" s="1"/>
  <c r="Y172" i="25"/>
  <c r="Y180" i="25"/>
  <c r="R180" i="25"/>
  <c r="S180" i="25" s="1"/>
  <c r="Y188" i="25"/>
  <c r="R188" i="25"/>
  <c r="S188" i="25" s="1"/>
  <c r="Y196" i="25"/>
  <c r="R196" i="25"/>
  <c r="S196" i="25" s="1"/>
  <c r="R204" i="25"/>
  <c r="S204" i="25" s="1"/>
  <c r="Y204" i="25"/>
  <c r="R212" i="25"/>
  <c r="S212" i="25" s="1"/>
  <c r="Y212" i="25"/>
  <c r="Y220" i="25"/>
  <c r="R220" i="25"/>
  <c r="S220" i="25" s="1"/>
  <c r="X229" i="25"/>
  <c r="Q229" i="25"/>
  <c r="Y238" i="25"/>
  <c r="R238" i="25"/>
  <c r="S238" i="25" s="1"/>
  <c r="Y251" i="25"/>
  <c r="R251" i="25"/>
  <c r="S251" i="25" s="1"/>
  <c r="X261" i="25"/>
  <c r="Q261" i="25"/>
  <c r="Y287" i="25"/>
  <c r="R287" i="25"/>
  <c r="S287" i="25" s="1"/>
  <c r="X320" i="25"/>
  <c r="Q320" i="25"/>
  <c r="Y225" i="25"/>
  <c r="R225" i="25"/>
  <c r="S225" i="25" s="1"/>
  <c r="Y234" i="25"/>
  <c r="R234" i="25"/>
  <c r="S234" i="25" s="1"/>
  <c r="Y247" i="25"/>
  <c r="R247" i="25"/>
  <c r="S247" i="25" s="1"/>
  <c r="Q257" i="25"/>
  <c r="X257" i="25"/>
  <c r="Y276" i="25"/>
  <c r="R276" i="25"/>
  <c r="S276" i="25" s="1"/>
  <c r="Y335" i="25"/>
  <c r="R335" i="25"/>
  <c r="S335" i="25" s="1"/>
  <c r="Q122" i="25"/>
  <c r="X122" i="25"/>
  <c r="X130" i="25"/>
  <c r="Q130" i="25"/>
  <c r="X138" i="25"/>
  <c r="Q138" i="25"/>
  <c r="X146" i="25"/>
  <c r="Q146" i="25"/>
  <c r="Q154" i="25"/>
  <c r="X154" i="25"/>
  <c r="X162" i="25"/>
  <c r="Q162" i="25"/>
  <c r="X170" i="25"/>
  <c r="Q170" i="25"/>
  <c r="X178" i="25"/>
  <c r="Q178" i="25"/>
  <c r="Q186" i="25"/>
  <c r="X186" i="25"/>
  <c r="X194" i="25"/>
  <c r="Q194" i="25"/>
  <c r="X202" i="25"/>
  <c r="Q202" i="25"/>
  <c r="X210" i="25"/>
  <c r="Q210" i="25"/>
  <c r="Q218" i="25"/>
  <c r="X218" i="25"/>
  <c r="Q227" i="25"/>
  <c r="X227" i="25"/>
  <c r="Y236" i="25"/>
  <c r="R236" i="25"/>
  <c r="S236" i="25" s="1"/>
  <c r="Y249" i="25"/>
  <c r="R249" i="25"/>
  <c r="S249" i="25" s="1"/>
  <c r="Q259" i="25"/>
  <c r="X259" i="25"/>
  <c r="R279" i="25"/>
  <c r="S279" i="25" s="1"/>
  <c r="Y279" i="25"/>
  <c r="X312" i="25"/>
  <c r="Q312" i="25"/>
  <c r="Q226" i="25"/>
  <c r="X226" i="25"/>
  <c r="Q234" i="25"/>
  <c r="X234" i="25"/>
  <c r="Q242" i="25"/>
  <c r="X242" i="25"/>
  <c r="X250" i="25"/>
  <c r="Q250" i="25"/>
  <c r="X258" i="25"/>
  <c r="Q258" i="25"/>
  <c r="X266" i="25"/>
  <c r="Q266" i="25"/>
  <c r="X274" i="25"/>
  <c r="Q274" i="25"/>
  <c r="R285" i="25"/>
  <c r="S285" i="25" s="1"/>
  <c r="Y285" i="25"/>
  <c r="X294" i="25"/>
  <c r="Q294" i="25"/>
  <c r="X303" i="25"/>
  <c r="Q303" i="25"/>
  <c r="R317" i="25"/>
  <c r="S317" i="25" s="1"/>
  <c r="Y317" i="25"/>
  <c r="X326" i="25"/>
  <c r="Q326" i="25"/>
  <c r="X335" i="25"/>
  <c r="Q335" i="25"/>
  <c r="X344" i="25"/>
  <c r="Q344" i="25"/>
  <c r="Q352" i="25"/>
  <c r="X352" i="25"/>
  <c r="X360" i="25"/>
  <c r="Q360" i="25"/>
  <c r="Y393" i="25"/>
  <c r="R393" i="25"/>
  <c r="S393" i="25" s="1"/>
  <c r="X505" i="25"/>
  <c r="Q505" i="25"/>
  <c r="X271" i="25"/>
  <c r="Q271" i="25"/>
  <c r="Y281" i="25"/>
  <c r="R281" i="25"/>
  <c r="S281" i="25" s="1"/>
  <c r="X290" i="25"/>
  <c r="Q290" i="25"/>
  <c r="X299" i="25"/>
  <c r="Q299" i="25"/>
  <c r="Y313" i="25"/>
  <c r="R313" i="25"/>
  <c r="S313" i="25" s="1"/>
  <c r="Q322" i="25"/>
  <c r="X322" i="25"/>
  <c r="X331" i="25"/>
  <c r="Q331" i="25"/>
  <c r="R345" i="25"/>
  <c r="S345" i="25" s="1"/>
  <c r="Y345" i="25"/>
  <c r="Y353" i="25"/>
  <c r="R353" i="25"/>
  <c r="S353" i="25" s="1"/>
  <c r="Y361" i="25"/>
  <c r="R361" i="25"/>
  <c r="S361" i="25" s="1"/>
  <c r="Y377" i="25"/>
  <c r="R377" i="25"/>
  <c r="S377" i="25" s="1"/>
  <c r="Y267" i="25"/>
  <c r="R267" i="25"/>
  <c r="S267" i="25" s="1"/>
  <c r="R275" i="25"/>
  <c r="S275" i="25" s="1"/>
  <c r="Y275" i="25"/>
  <c r="Q285" i="25"/>
  <c r="X285" i="25"/>
  <c r="Y299" i="25"/>
  <c r="R299" i="25"/>
  <c r="S299" i="25" s="1"/>
  <c r="X308" i="25"/>
  <c r="Q308" i="25"/>
  <c r="Q317" i="25"/>
  <c r="X317" i="25"/>
  <c r="Y331" i="25"/>
  <c r="R331" i="25"/>
  <c r="S331" i="25" s="1"/>
  <c r="X340" i="25"/>
  <c r="Q340" i="25"/>
  <c r="X386" i="25"/>
  <c r="Q386" i="25"/>
  <c r="Q349" i="25"/>
  <c r="X349" i="25"/>
  <c r="Q357" i="25"/>
  <c r="X357" i="25"/>
  <c r="X365" i="25"/>
  <c r="Q365" i="25"/>
  <c r="Q373" i="25"/>
  <c r="X373" i="25"/>
  <c r="R383" i="25"/>
  <c r="S383" i="25" s="1"/>
  <c r="Y383" i="25"/>
  <c r="X392" i="25"/>
  <c r="Q392" i="25"/>
  <c r="R420" i="25"/>
  <c r="S420" i="25" s="1"/>
  <c r="Y420" i="25"/>
  <c r="X366" i="25"/>
  <c r="Q366" i="25"/>
  <c r="Q374" i="25"/>
  <c r="X374" i="25"/>
  <c r="R387" i="25"/>
  <c r="S387" i="25" s="1"/>
  <c r="Y387" i="25"/>
  <c r="X396" i="25"/>
  <c r="Q396" i="25"/>
  <c r="Q406" i="25"/>
  <c r="X406" i="25"/>
  <c r="R284" i="25"/>
  <c r="S284" i="25" s="1"/>
  <c r="Y284" i="25"/>
  <c r="R292" i="25"/>
  <c r="S292" i="25" s="1"/>
  <c r="Y292" i="25"/>
  <c r="R300" i="25"/>
  <c r="S300" i="25" s="1"/>
  <c r="Y300" i="25"/>
  <c r="Y308" i="25"/>
  <c r="R308" i="25"/>
  <c r="S308" i="25" s="1"/>
  <c r="Y316" i="25"/>
  <c r="R316" i="25"/>
  <c r="S316" i="25" s="1"/>
  <c r="Y324" i="25"/>
  <c r="R324" i="25"/>
  <c r="S324" i="25" s="1"/>
  <c r="R332" i="25"/>
  <c r="S332" i="25" s="1"/>
  <c r="Y332" i="25"/>
  <c r="Y340" i="25"/>
  <c r="R340" i="25"/>
  <c r="S340" i="25" s="1"/>
  <c r="Y348" i="25"/>
  <c r="R348" i="25"/>
  <c r="S348" i="25" s="1"/>
  <c r="R356" i="25"/>
  <c r="S356" i="25" s="1"/>
  <c r="Y356" i="25"/>
  <c r="Y364" i="25"/>
  <c r="R364" i="25"/>
  <c r="S364" i="25" s="1"/>
  <c r="Y372" i="25"/>
  <c r="R372" i="25"/>
  <c r="S372" i="25" s="1"/>
  <c r="Q382" i="25"/>
  <c r="X382" i="25"/>
  <c r="Q391" i="25"/>
  <c r="X391" i="25"/>
  <c r="Q400" i="25"/>
  <c r="X400" i="25"/>
  <c r="Y458" i="25"/>
  <c r="R458" i="25"/>
  <c r="S458" i="25" s="1"/>
  <c r="Y382" i="25"/>
  <c r="R382" i="25"/>
  <c r="S382" i="25" s="1"/>
  <c r="Y390" i="25"/>
  <c r="R390" i="25"/>
  <c r="S390" i="25" s="1"/>
  <c r="Y398" i="25"/>
  <c r="R398" i="25"/>
  <c r="S398" i="25" s="1"/>
  <c r="R410" i="25"/>
  <c r="S410" i="25" s="1"/>
  <c r="Y410" i="25"/>
  <c r="X419" i="25"/>
  <c r="Q419" i="25"/>
  <c r="R436" i="25"/>
  <c r="S436" i="25" s="1"/>
  <c r="Y436" i="25"/>
  <c r="Q481" i="25"/>
  <c r="X481" i="25"/>
  <c r="Q408" i="25"/>
  <c r="X408" i="25"/>
  <c r="Y422" i="25"/>
  <c r="R422" i="25"/>
  <c r="S422" i="25" s="1"/>
  <c r="R432" i="25"/>
  <c r="S432" i="25" s="1"/>
  <c r="Y432" i="25"/>
  <c r="Q465" i="25"/>
  <c r="X465" i="25"/>
  <c r="Q497" i="25"/>
  <c r="X497" i="25"/>
  <c r="Q402" i="25"/>
  <c r="X402" i="25"/>
  <c r="Y416" i="25"/>
  <c r="R416" i="25"/>
  <c r="S416" i="25" s="1"/>
  <c r="X425" i="25"/>
  <c r="Q425" i="25"/>
  <c r="Y438" i="25"/>
  <c r="R438" i="25"/>
  <c r="S438" i="25" s="1"/>
  <c r="X473" i="25"/>
  <c r="Q473" i="25"/>
  <c r="Y517" i="25"/>
  <c r="R517" i="25"/>
  <c r="S517" i="25" s="1"/>
  <c r="Q436" i="25"/>
  <c r="X436" i="25"/>
  <c r="X444" i="25"/>
  <c r="Q444" i="25"/>
  <c r="Q452" i="25"/>
  <c r="X452" i="25"/>
  <c r="X460" i="25"/>
  <c r="Q460" i="25"/>
  <c r="Q471" i="25"/>
  <c r="X471" i="25"/>
  <c r="Y480" i="25"/>
  <c r="R480" i="25"/>
  <c r="S480" i="25" s="1"/>
  <c r="R514" i="25"/>
  <c r="S514" i="25" s="1"/>
  <c r="Y514" i="25"/>
  <c r="X435" i="25"/>
  <c r="Q435" i="25"/>
  <c r="Q443" i="25"/>
  <c r="X443" i="25"/>
  <c r="X451" i="25"/>
  <c r="Q451" i="25"/>
  <c r="Q459" i="25"/>
  <c r="X459" i="25"/>
  <c r="X467" i="25"/>
  <c r="Q467" i="25"/>
  <c r="Y476" i="25"/>
  <c r="R476" i="25"/>
  <c r="S476" i="25" s="1"/>
  <c r="Q503" i="25"/>
  <c r="X503" i="25"/>
  <c r="R403" i="25"/>
  <c r="S403" i="25" s="1"/>
  <c r="Y403" i="25"/>
  <c r="R411" i="25"/>
  <c r="S411" i="25" s="1"/>
  <c r="Y411" i="25"/>
  <c r="R419" i="25"/>
  <c r="S419" i="25" s="1"/>
  <c r="Y419" i="25"/>
  <c r="Y427" i="25"/>
  <c r="R427" i="25"/>
  <c r="S427" i="25" s="1"/>
  <c r="R435" i="25"/>
  <c r="S435" i="25" s="1"/>
  <c r="Y435" i="25"/>
  <c r="Y443" i="25"/>
  <c r="R443" i="25"/>
  <c r="S443" i="25" s="1"/>
  <c r="R451" i="25"/>
  <c r="S451" i="25" s="1"/>
  <c r="Y451" i="25"/>
  <c r="Y459" i="25"/>
  <c r="R459" i="25"/>
  <c r="S459" i="25" s="1"/>
  <c r="X469" i="25"/>
  <c r="Q469" i="25"/>
  <c r="R478" i="25"/>
  <c r="S478" i="25" s="1"/>
  <c r="Y478" i="25"/>
  <c r="X501" i="25"/>
  <c r="Q501" i="25"/>
  <c r="Y488" i="25"/>
  <c r="R488" i="25"/>
  <c r="S488" i="25" s="1"/>
  <c r="R496" i="25"/>
  <c r="S496" i="25" s="1"/>
  <c r="Y496" i="25"/>
  <c r="Y504" i="25"/>
  <c r="R504" i="25"/>
  <c r="S504" i="25" s="1"/>
  <c r="R512" i="25"/>
  <c r="S512" i="25" s="1"/>
  <c r="Y512" i="25"/>
  <c r="Q522" i="25"/>
  <c r="X522" i="25"/>
  <c r="Y535" i="25"/>
  <c r="R535" i="25"/>
  <c r="S535" i="25" s="1"/>
  <c r="Y489" i="25"/>
  <c r="R489" i="25"/>
  <c r="S489" i="25" s="1"/>
  <c r="R497" i="25"/>
  <c r="S497" i="25" s="1"/>
  <c r="Y497" i="25"/>
  <c r="R505" i="25"/>
  <c r="S505" i="25" s="1"/>
  <c r="Y505" i="25"/>
  <c r="Y516" i="25"/>
  <c r="R516" i="25"/>
  <c r="S516" i="25" s="1"/>
  <c r="Q464" i="25"/>
  <c r="X464" i="25"/>
  <c r="X472" i="25"/>
  <c r="Q472" i="25"/>
  <c r="X480" i="25"/>
  <c r="Q480" i="25"/>
  <c r="X488" i="25"/>
  <c r="Q488" i="25"/>
  <c r="X496" i="25"/>
  <c r="Q496" i="25"/>
  <c r="Q504" i="25"/>
  <c r="X504" i="25"/>
  <c r="X512" i="25"/>
  <c r="Q512" i="25"/>
  <c r="Y521" i="25"/>
  <c r="R521" i="25"/>
  <c r="S521" i="25" s="1"/>
  <c r="X513" i="25"/>
  <c r="Q513" i="25"/>
  <c r="Q521" i="25"/>
  <c r="X521" i="25"/>
  <c r="Y528" i="25"/>
  <c r="R528" i="25"/>
  <c r="S528" i="25" s="1"/>
  <c r="X539" i="25"/>
  <c r="Q539" i="25"/>
  <c r="X524" i="25"/>
  <c r="Q524" i="25"/>
  <c r="R537" i="25"/>
  <c r="S537" i="25" s="1"/>
  <c r="Y537" i="25"/>
  <c r="Y559" i="25"/>
  <c r="R559" i="25"/>
  <c r="S559" i="25" s="1"/>
  <c r="X525" i="25"/>
  <c r="Q525" i="25"/>
  <c r="Y534" i="25"/>
  <c r="R534" i="25"/>
  <c r="S534" i="25" s="1"/>
  <c r="Y542" i="25"/>
  <c r="R542" i="25"/>
  <c r="S542" i="25" s="1"/>
  <c r="Y550" i="25"/>
  <c r="R550" i="25"/>
  <c r="S550" i="25" s="1"/>
  <c r="Y557" i="25"/>
  <c r="R557" i="25"/>
  <c r="S557" i="25" s="1"/>
  <c r="X566" i="25"/>
  <c r="Q566" i="25"/>
  <c r="Y539" i="25"/>
  <c r="R539" i="25"/>
  <c r="S539" i="25" s="1"/>
  <c r="Y547" i="25"/>
  <c r="R547" i="25"/>
  <c r="S547" i="25" s="1"/>
  <c r="R555" i="25"/>
  <c r="S555" i="25" s="1"/>
  <c r="Y555" i="25"/>
  <c r="Q570" i="25"/>
  <c r="X570" i="25"/>
  <c r="X532" i="25"/>
  <c r="Q532" i="25"/>
  <c r="X540" i="25"/>
  <c r="Q540" i="25"/>
  <c r="X548" i="25"/>
  <c r="Q548" i="25"/>
  <c r="X556" i="25"/>
  <c r="Q556" i="25"/>
  <c r="X568" i="25"/>
  <c r="Q568" i="25"/>
  <c r="Y569" i="25"/>
  <c r="R569" i="25"/>
  <c r="S569" i="25" s="1"/>
  <c r="Q578" i="25"/>
  <c r="X578" i="25"/>
  <c r="R566" i="25"/>
  <c r="S566" i="25" s="1"/>
  <c r="Y566" i="25"/>
  <c r="Y574" i="25"/>
  <c r="R574" i="25"/>
  <c r="S574" i="25" s="1"/>
  <c r="Y583" i="25"/>
  <c r="R583" i="25"/>
  <c r="S583" i="25" s="1"/>
  <c r="X559" i="25"/>
  <c r="Q559" i="25"/>
  <c r="Q567" i="25"/>
  <c r="X567" i="25"/>
  <c r="X575" i="25"/>
  <c r="Q575" i="25"/>
  <c r="Y612" i="25"/>
  <c r="R612" i="25"/>
  <c r="S612" i="25" s="1"/>
  <c r="Q583" i="25"/>
  <c r="X583" i="25"/>
  <c r="X591" i="25"/>
  <c r="Q591" i="25"/>
  <c r="X586" i="25"/>
  <c r="Q586" i="25"/>
  <c r="Q593" i="25"/>
  <c r="X593" i="25"/>
  <c r="Y586" i="25"/>
  <c r="R586" i="25"/>
  <c r="S586" i="25" s="1"/>
  <c r="X595" i="25"/>
  <c r="Q595" i="25"/>
  <c r="R593" i="25"/>
  <c r="S593" i="25" s="1"/>
  <c r="Y593" i="25"/>
  <c r="Y601" i="25"/>
  <c r="R601" i="25"/>
  <c r="S601" i="25" s="1"/>
  <c r="Y608" i="25"/>
  <c r="R608" i="25"/>
  <c r="S608" i="25" s="1"/>
  <c r="Y604" i="25"/>
  <c r="R604" i="25"/>
  <c r="S604" i="25" s="1"/>
  <c r="X599" i="25"/>
  <c r="Q599" i="25"/>
  <c r="X608" i="25"/>
  <c r="Q608" i="25"/>
  <c r="X611" i="25"/>
  <c r="Q611" i="25"/>
  <c r="R613" i="25"/>
  <c r="S613" i="25" s="1"/>
  <c r="Y613" i="25"/>
  <c r="Y592" i="17"/>
  <c r="Y516" i="17"/>
  <c r="R524" i="17"/>
  <c r="S524" i="17" s="1"/>
  <c r="Q129" i="17"/>
  <c r="U129" i="17" s="1"/>
  <c r="Q297" i="17"/>
  <c r="U297" i="17" s="1"/>
  <c r="Y138" i="17"/>
  <c r="X36" i="17"/>
  <c r="Q345" i="17"/>
  <c r="U345" i="17" s="1"/>
  <c r="X110" i="17"/>
  <c r="Q263" i="17"/>
  <c r="U263" i="17" s="1"/>
  <c r="Y467" i="17"/>
  <c r="Y45" i="17"/>
  <c r="Y40" i="17"/>
  <c r="X221" i="17"/>
  <c r="Q200" i="17"/>
  <c r="U200" i="17" s="1"/>
  <c r="X151" i="17"/>
  <c r="X209" i="17"/>
  <c r="Q270" i="17"/>
  <c r="U270" i="17" s="1"/>
  <c r="Y217" i="17"/>
  <c r="X435" i="17"/>
  <c r="X350" i="17"/>
  <c r="Y429" i="17"/>
  <c r="X402" i="17"/>
  <c r="Q52" i="17"/>
  <c r="U52" i="17" s="1"/>
  <c r="Q538" i="17"/>
  <c r="U538" i="17" s="1"/>
  <c r="X147" i="17"/>
  <c r="Y482" i="17"/>
  <c r="Y355" i="17"/>
  <c r="Y393" i="17"/>
  <c r="X128" i="17"/>
  <c r="X196" i="17"/>
  <c r="Y306" i="17"/>
  <c r="Q335" i="17"/>
  <c r="U335" i="17" s="1"/>
  <c r="R384" i="17"/>
  <c r="S384" i="17" s="1"/>
  <c r="X138" i="17"/>
  <c r="X217" i="17"/>
  <c r="X572" i="17"/>
  <c r="X43" i="17"/>
  <c r="Y423" i="17"/>
  <c r="X560" i="17"/>
  <c r="Y283" i="17"/>
  <c r="Y19" i="17"/>
  <c r="Q534" i="17"/>
  <c r="U534" i="17" s="1"/>
  <c r="Y362" i="17"/>
  <c r="Y233" i="17"/>
  <c r="X79" i="17"/>
  <c r="X477" i="17"/>
  <c r="X505" i="17"/>
  <c r="X401" i="17"/>
  <c r="Y455" i="17"/>
  <c r="X321" i="17"/>
  <c r="Y224" i="17"/>
  <c r="X423" i="17"/>
  <c r="X364" i="17"/>
  <c r="Y342" i="17"/>
  <c r="X172" i="17"/>
  <c r="Y84" i="17"/>
  <c r="X225" i="17"/>
  <c r="Y434" i="17"/>
  <c r="Y549" i="17"/>
  <c r="X407" i="17"/>
  <c r="X417" i="17"/>
  <c r="Y483" i="17"/>
  <c r="X208" i="17"/>
  <c r="R366" i="17"/>
  <c r="S366" i="17" s="1"/>
  <c r="R602" i="17"/>
  <c r="S602" i="17" s="1"/>
  <c r="R101" i="17"/>
  <c r="S101" i="17" s="1"/>
  <c r="Q597" i="17"/>
  <c r="U597" i="17" s="1"/>
  <c r="R24" i="17"/>
  <c r="S24" i="17" s="1"/>
  <c r="Q58" i="17"/>
  <c r="U58" i="17" s="1"/>
  <c r="R537" i="17"/>
  <c r="S537" i="17" s="1"/>
  <c r="R294" i="17"/>
  <c r="S294" i="17" s="1"/>
  <c r="X323" i="17"/>
  <c r="Y479" i="17"/>
  <c r="Y98" i="17"/>
  <c r="X391" i="17"/>
  <c r="X135" i="17"/>
  <c r="X478" i="17"/>
  <c r="Y433" i="17"/>
  <c r="Y507" i="17"/>
  <c r="X584" i="17"/>
  <c r="X70" i="17"/>
  <c r="Y331" i="17"/>
  <c r="X465" i="17"/>
  <c r="X539" i="17"/>
  <c r="Y200" i="17"/>
  <c r="Y275" i="17"/>
  <c r="X235" i="17"/>
  <c r="X552" i="17"/>
  <c r="X304" i="17"/>
  <c r="X74" i="17"/>
  <c r="X161" i="17"/>
  <c r="Y49" i="17"/>
  <c r="X312" i="17"/>
  <c r="X499" i="17"/>
  <c r="X277" i="17"/>
  <c r="Y565" i="17"/>
  <c r="X56" i="17"/>
  <c r="R115" i="17"/>
  <c r="S115" i="17" s="1"/>
  <c r="R255" i="17"/>
  <c r="S255" i="17" s="1"/>
  <c r="R527" i="17"/>
  <c r="S527" i="17" s="1"/>
  <c r="Q576" i="17"/>
  <c r="U576" i="17" s="1"/>
  <c r="Q93" i="17"/>
  <c r="U93" i="17" s="1"/>
  <c r="Y62" i="17"/>
  <c r="Y488" i="17"/>
  <c r="Y104" i="17"/>
  <c r="X579" i="17"/>
  <c r="X311" i="17"/>
  <c r="Y504" i="17"/>
  <c r="X40" i="17"/>
  <c r="Y518" i="17"/>
  <c r="X140" i="17"/>
  <c r="Y99" i="17"/>
  <c r="X120" i="17"/>
  <c r="Y252" i="17"/>
  <c r="X122" i="17"/>
  <c r="Y25" i="17"/>
  <c r="X371" i="17"/>
  <c r="Y230" i="17"/>
  <c r="X237" i="17"/>
  <c r="X116" i="17"/>
  <c r="Y103" i="17"/>
  <c r="X356" i="17"/>
  <c r="X306" i="17"/>
  <c r="Y178" i="17"/>
  <c r="Y376" i="17"/>
  <c r="Y81" i="17"/>
  <c r="X555" i="17"/>
  <c r="Q219" i="17"/>
  <c r="U219" i="17" s="1"/>
  <c r="R162" i="17"/>
  <c r="S162" i="17" s="1"/>
  <c r="Q485" i="17"/>
  <c r="U485" i="17" s="1"/>
  <c r="R253" i="17"/>
  <c r="S253" i="17" s="1"/>
  <c r="Y295" i="17"/>
  <c r="X283" i="17"/>
  <c r="Y130" i="17"/>
  <c r="Y167" i="17"/>
  <c r="R443" i="17"/>
  <c r="S443" i="17" s="1"/>
  <c r="Y37" i="17"/>
  <c r="X95" i="17"/>
  <c r="X73" i="17"/>
  <c r="X422" i="17"/>
  <c r="Y354" i="17"/>
  <c r="Y431" i="17"/>
  <c r="Q211" i="17"/>
  <c r="U211" i="17" s="1"/>
  <c r="Q458" i="17"/>
  <c r="U458" i="17" s="1"/>
  <c r="R227" i="17"/>
  <c r="S227" i="17" s="1"/>
  <c r="X152" i="17"/>
  <c r="Y156" i="17"/>
  <c r="Y144" i="17"/>
  <c r="X344" i="17"/>
  <c r="X191" i="17"/>
  <c r="Y513" i="17"/>
  <c r="X124" i="17"/>
  <c r="Y561" i="17"/>
  <c r="X438" i="17"/>
  <c r="X68" i="17"/>
  <c r="Y302" i="17"/>
  <c r="R35" i="17"/>
  <c r="S35" i="17" s="1"/>
  <c r="R508" i="17"/>
  <c r="S508" i="17" s="1"/>
  <c r="Q484" i="17"/>
  <c r="U484" i="17" s="1"/>
  <c r="X454" i="17"/>
  <c r="X244" i="17"/>
  <c r="X179" i="17"/>
  <c r="Y460" i="17"/>
  <c r="Y169" i="17"/>
  <c r="Y127" i="17"/>
  <c r="X487" i="17"/>
  <c r="Y184" i="17"/>
  <c r="R608" i="17"/>
  <c r="S608" i="17" s="1"/>
  <c r="Q326" i="17"/>
  <c r="U326" i="17" s="1"/>
  <c r="Y57" i="17"/>
  <c r="R57" i="17"/>
  <c r="S57" i="17" s="1"/>
  <c r="Y445" i="17"/>
  <c r="R445" i="17"/>
  <c r="S445" i="17" s="1"/>
  <c r="Q242" i="17"/>
  <c r="U242" i="17" s="1"/>
  <c r="X242" i="17"/>
  <c r="Y80" i="17"/>
  <c r="R80" i="17"/>
  <c r="S80" i="17" s="1"/>
  <c r="R51" i="17"/>
  <c r="S51" i="17" s="1"/>
  <c r="Y51" i="17"/>
  <c r="R237" i="17"/>
  <c r="S237" i="17" s="1"/>
  <c r="Y237" i="17"/>
  <c r="Q567" i="17"/>
  <c r="U567" i="17" s="1"/>
  <c r="X567" i="17"/>
  <c r="Q213" i="17"/>
  <c r="U213" i="17" s="1"/>
  <c r="X213" i="17"/>
  <c r="Y526" i="17"/>
  <c r="R526" i="17"/>
  <c r="S526" i="17" s="1"/>
  <c r="X355" i="17"/>
  <c r="Q355" i="17"/>
  <c r="U355" i="17" s="1"/>
  <c r="X497" i="17"/>
  <c r="Q497" i="17"/>
  <c r="U497" i="17" s="1"/>
  <c r="R315" i="17"/>
  <c r="S315" i="17" s="1"/>
  <c r="Y315" i="17"/>
  <c r="Q500" i="17"/>
  <c r="U500" i="17" s="1"/>
  <c r="X500" i="17"/>
  <c r="Q569" i="17"/>
  <c r="U569" i="17" s="1"/>
  <c r="X569" i="17"/>
  <c r="R236" i="17"/>
  <c r="S236" i="17" s="1"/>
  <c r="Y236" i="17"/>
  <c r="R441" i="17"/>
  <c r="S441" i="17" s="1"/>
  <c r="Y441" i="17"/>
  <c r="X610" i="17"/>
  <c r="Q610" i="17"/>
  <c r="U610" i="17" s="1"/>
  <c r="Q398" i="17"/>
  <c r="U398" i="17" s="1"/>
  <c r="X398" i="17"/>
  <c r="R44" i="17"/>
  <c r="S44" i="17" s="1"/>
  <c r="Y44" i="17"/>
  <c r="R472" i="17"/>
  <c r="S472" i="17" s="1"/>
  <c r="Y472" i="17"/>
  <c r="Y401" i="17"/>
  <c r="R401" i="17"/>
  <c r="S401" i="17" s="1"/>
  <c r="R196" i="17"/>
  <c r="S196" i="17" s="1"/>
  <c r="Y196" i="17"/>
  <c r="R463" i="17"/>
  <c r="S463" i="17" s="1"/>
  <c r="Y463" i="17"/>
  <c r="Q289" i="17"/>
  <c r="U289" i="17" s="1"/>
  <c r="X289" i="17"/>
  <c r="R484" i="17"/>
  <c r="S484" i="17" s="1"/>
  <c r="Y484" i="17"/>
  <c r="Q393" i="17"/>
  <c r="U393" i="17" s="1"/>
  <c r="X393" i="17"/>
  <c r="X503" i="17"/>
  <c r="Q503" i="17"/>
  <c r="U503" i="17" s="1"/>
  <c r="Q86" i="17"/>
  <c r="AD86" i="17" s="1"/>
  <c r="AE86" i="17" s="1"/>
  <c r="X86" i="17"/>
  <c r="X440" i="17"/>
  <c r="Q440" i="17"/>
  <c r="U440" i="17" s="1"/>
  <c r="R466" i="17"/>
  <c r="S466" i="17" s="1"/>
  <c r="Y466" i="17"/>
  <c r="Q348" i="17"/>
  <c r="U348" i="17" s="1"/>
  <c r="X348" i="17"/>
  <c r="R74" i="17"/>
  <c r="S74" i="17" s="1"/>
  <c r="Y74" i="17"/>
  <c r="Q541" i="17"/>
  <c r="U541" i="17" s="1"/>
  <c r="X541" i="17"/>
  <c r="Y235" i="17"/>
  <c r="R235" i="17"/>
  <c r="S235" i="17" s="1"/>
  <c r="X300" i="17"/>
  <c r="Q300" i="17"/>
  <c r="U300" i="17" s="1"/>
  <c r="Q123" i="17"/>
  <c r="U123" i="17" s="1"/>
  <c r="X123" i="17"/>
  <c r="Q314" i="17"/>
  <c r="U314" i="17" s="1"/>
  <c r="X314" i="17"/>
  <c r="X212" i="17"/>
  <c r="Q212" i="17"/>
  <c r="U212" i="17" s="1"/>
  <c r="Q612" i="17"/>
  <c r="U612" i="17" s="1"/>
  <c r="X612" i="17"/>
  <c r="Q381" i="17"/>
  <c r="U381" i="17" s="1"/>
  <c r="X381" i="17"/>
  <c r="X320" i="17"/>
  <c r="Q320" i="17"/>
  <c r="U320" i="17" s="1"/>
  <c r="R269" i="17"/>
  <c r="S269" i="17" s="1"/>
  <c r="Y269" i="17"/>
  <c r="Q494" i="17"/>
  <c r="U494" i="17" s="1"/>
  <c r="X494" i="17"/>
  <c r="Y263" i="17"/>
  <c r="X385" i="17"/>
  <c r="X333" i="17"/>
  <c r="Y298" i="17"/>
  <c r="X535" i="17"/>
  <c r="Y500" i="17"/>
  <c r="R394" i="17"/>
  <c r="S394" i="17" s="1"/>
  <c r="R400" i="17"/>
  <c r="S400" i="17" s="1"/>
  <c r="Q310" i="17"/>
  <c r="U310" i="17" s="1"/>
  <c r="X394" i="17"/>
  <c r="R195" i="17"/>
  <c r="S195" i="17" s="1"/>
  <c r="R328" i="17"/>
  <c r="S328" i="17" s="1"/>
  <c r="X580" i="17"/>
  <c r="X252" i="17"/>
  <c r="Y422" i="17"/>
  <c r="X182" i="17"/>
  <c r="R206" i="17"/>
  <c r="S206" i="17" s="1"/>
  <c r="Y459" i="17"/>
  <c r="Y495" i="17"/>
  <c r="Y164" i="17"/>
  <c r="Y214" i="17"/>
  <c r="Y22" i="17"/>
  <c r="Y21" i="17"/>
  <c r="Y361" i="17"/>
  <c r="X199" i="17"/>
  <c r="X240" i="17"/>
  <c r="X295" i="17"/>
  <c r="X166" i="17"/>
  <c r="X561" i="17"/>
  <c r="Q24" i="17"/>
  <c r="U24" i="17" s="1"/>
  <c r="R572" i="17"/>
  <c r="S572" i="17" s="1"/>
  <c r="R222" i="17"/>
  <c r="S222" i="17" s="1"/>
  <c r="R552" i="17"/>
  <c r="S552" i="17" s="1"/>
  <c r="X315" i="17"/>
  <c r="Q315" i="17"/>
  <c r="U315" i="17" s="1"/>
  <c r="R323" i="17"/>
  <c r="S323" i="17" s="1"/>
  <c r="Y323" i="17"/>
  <c r="Q316" i="17"/>
  <c r="U316" i="17" s="1"/>
  <c r="X316" i="17"/>
  <c r="Q265" i="17"/>
  <c r="U265" i="17" s="1"/>
  <c r="X265" i="17"/>
  <c r="R32" i="17"/>
  <c r="S32" i="17" s="1"/>
  <c r="Y32" i="17"/>
  <c r="Y31" i="17"/>
  <c r="R31" i="17"/>
  <c r="S31" i="17" s="1"/>
  <c r="R135" i="17"/>
  <c r="S135" i="17" s="1"/>
  <c r="Y135" i="17"/>
  <c r="Q443" i="17"/>
  <c r="U443" i="17" s="1"/>
  <c r="X443" i="17"/>
  <c r="R146" i="17"/>
  <c r="S146" i="17" s="1"/>
  <c r="Y146" i="17"/>
  <c r="R314" i="17"/>
  <c r="S314" i="17" s="1"/>
  <c r="Y314" i="17"/>
  <c r="Q268" i="17"/>
  <c r="U268" i="17" s="1"/>
  <c r="X268" i="17"/>
  <c r="X502" i="17"/>
  <c r="Q502" i="17"/>
  <c r="U502" i="17" s="1"/>
  <c r="R93" i="17"/>
  <c r="S93" i="17" s="1"/>
  <c r="Y93" i="17"/>
  <c r="Y281" i="17"/>
  <c r="R281" i="17"/>
  <c r="S281" i="17" s="1"/>
  <c r="Q274" i="17"/>
  <c r="U274" i="17" s="1"/>
  <c r="X274" i="17"/>
  <c r="X573" i="17"/>
  <c r="Q573" i="17"/>
  <c r="U573" i="17" s="1"/>
  <c r="X132" i="17"/>
  <c r="Q132" i="17"/>
  <c r="U132" i="17" s="1"/>
  <c r="R559" i="17"/>
  <c r="S559" i="17" s="1"/>
  <c r="Y559" i="17"/>
  <c r="Q433" i="17"/>
  <c r="U433" i="17" s="1"/>
  <c r="X433" i="17"/>
  <c r="R54" i="17"/>
  <c r="S54" i="17" s="1"/>
  <c r="Y54" i="17"/>
  <c r="Q14" i="17"/>
  <c r="U14" i="17" s="1"/>
  <c r="X14" i="17"/>
  <c r="R345" i="17"/>
  <c r="S345" i="17" s="1"/>
  <c r="Y345" i="17"/>
  <c r="R114" i="17"/>
  <c r="S114" i="17" s="1"/>
  <c r="Y114" i="17"/>
  <c r="R411" i="17"/>
  <c r="S411" i="17" s="1"/>
  <c r="Y411" i="17"/>
  <c r="Y346" i="17"/>
  <c r="R346" i="17"/>
  <c r="S346" i="17" s="1"/>
  <c r="R494" i="17"/>
  <c r="S494" i="17" s="1"/>
  <c r="Y494" i="17"/>
  <c r="X236" i="17"/>
  <c r="Q236" i="17"/>
  <c r="U236" i="17" s="1"/>
  <c r="Y570" i="17"/>
  <c r="R570" i="17"/>
  <c r="S570" i="17" s="1"/>
  <c r="Q174" i="17"/>
  <c r="U174" i="17" s="1"/>
  <c r="X174" i="17"/>
  <c r="R359" i="17"/>
  <c r="S359" i="17" s="1"/>
  <c r="Y359" i="17"/>
  <c r="R102" i="17"/>
  <c r="S102" i="17" s="1"/>
  <c r="Y102" i="17"/>
  <c r="Q15" i="17"/>
  <c r="U15" i="17" s="1"/>
  <c r="X15" i="17"/>
  <c r="R63" i="17"/>
  <c r="S63" i="17" s="1"/>
  <c r="Y63" i="17"/>
  <c r="R250" i="17"/>
  <c r="S250" i="17" s="1"/>
  <c r="Y250" i="17"/>
  <c r="R347" i="17"/>
  <c r="S347" i="17" s="1"/>
  <c r="Y347" i="17"/>
  <c r="R597" i="17"/>
  <c r="S597" i="17" s="1"/>
  <c r="Y597" i="17"/>
  <c r="Q338" i="17"/>
  <c r="U338" i="17" s="1"/>
  <c r="X338" i="17"/>
  <c r="Q204" i="17"/>
  <c r="U204" i="17" s="1"/>
  <c r="X204" i="17"/>
  <c r="R372" i="17"/>
  <c r="S372" i="17" s="1"/>
  <c r="Y372" i="17"/>
  <c r="R512" i="17"/>
  <c r="S512" i="17" s="1"/>
  <c r="Y512" i="17"/>
  <c r="Y490" i="17"/>
  <c r="R490" i="17"/>
  <c r="S490" i="17" s="1"/>
  <c r="R560" i="17"/>
  <c r="S560" i="17" s="1"/>
  <c r="Y560" i="17"/>
  <c r="Q49" i="17"/>
  <c r="U49" i="17" s="1"/>
  <c r="X49" i="17"/>
  <c r="Y453" i="17"/>
  <c r="R453" i="17"/>
  <c r="S453" i="17" s="1"/>
  <c r="R97" i="17"/>
  <c r="S97" i="17" s="1"/>
  <c r="Y97" i="17"/>
  <c r="R344" i="17"/>
  <c r="S344" i="17" s="1"/>
  <c r="Y344" i="17"/>
  <c r="Q234" i="17"/>
  <c r="U234" i="17" s="1"/>
  <c r="X234" i="17"/>
  <c r="R581" i="17"/>
  <c r="S581" i="17" s="1"/>
  <c r="Y581" i="17"/>
  <c r="R189" i="17"/>
  <c r="S189" i="17" s="1"/>
  <c r="Y189" i="17"/>
  <c r="R266" i="17"/>
  <c r="S266" i="17" s="1"/>
  <c r="Y266" i="17"/>
  <c r="Q521" i="17"/>
  <c r="U521" i="17" s="1"/>
  <c r="X521" i="17"/>
  <c r="R497" i="17"/>
  <c r="S497" i="17" s="1"/>
  <c r="Y497" i="17"/>
  <c r="R292" i="17"/>
  <c r="S292" i="17" s="1"/>
  <c r="Y292" i="17"/>
  <c r="Q115" i="17"/>
  <c r="U115" i="17" s="1"/>
  <c r="X115" i="17"/>
  <c r="R75" i="17"/>
  <c r="S75" i="17" s="1"/>
  <c r="Y75" i="17"/>
  <c r="Q167" i="17"/>
  <c r="U167" i="17" s="1"/>
  <c r="X167" i="17"/>
  <c r="Q82" i="17"/>
  <c r="U82" i="17" s="1"/>
  <c r="X82" i="17"/>
  <c r="R335" i="17"/>
  <c r="S335" i="17" s="1"/>
  <c r="Y335" i="17"/>
  <c r="R503" i="17"/>
  <c r="S503" i="17" s="1"/>
  <c r="Y503" i="17"/>
  <c r="Q278" i="17"/>
  <c r="U278" i="17" s="1"/>
  <c r="X278" i="17"/>
  <c r="X352" i="17"/>
  <c r="Q352" i="17"/>
  <c r="U352" i="17" s="1"/>
  <c r="R535" i="17"/>
  <c r="S535" i="17" s="1"/>
  <c r="Y535" i="17"/>
  <c r="Q593" i="17"/>
  <c r="U593" i="17" s="1"/>
  <c r="X593" i="17"/>
  <c r="Q330" i="17"/>
  <c r="U330" i="17" s="1"/>
  <c r="X330" i="17"/>
  <c r="R529" i="17"/>
  <c r="S529" i="17" s="1"/>
  <c r="Y529" i="17"/>
  <c r="Q354" i="17"/>
  <c r="U354" i="17" s="1"/>
  <c r="X354" i="17"/>
  <c r="Y605" i="17"/>
  <c r="R605" i="17"/>
  <c r="S605" i="17" s="1"/>
  <c r="Q290" i="17"/>
  <c r="U290" i="17" s="1"/>
  <c r="X290" i="17"/>
  <c r="R131" i="17"/>
  <c r="S131" i="17" s="1"/>
  <c r="Y131" i="17"/>
  <c r="R26" i="17"/>
  <c r="S26" i="17" s="1"/>
  <c r="Y26" i="17"/>
  <c r="Q35" i="17"/>
  <c r="U35" i="17" s="1"/>
  <c r="X35" i="17"/>
  <c r="Q623" i="17"/>
  <c r="D633" i="17" s="1"/>
  <c r="X623" i="17"/>
  <c r="Q102" i="17"/>
  <c r="U102" i="17" s="1"/>
  <c r="X102" i="17"/>
  <c r="Y415" i="17"/>
  <c r="R415" i="17"/>
  <c r="S415" i="17" s="1"/>
  <c r="Q590" i="17"/>
  <c r="U590" i="17" s="1"/>
  <c r="X590" i="17"/>
  <c r="Q267" i="17"/>
  <c r="U267" i="17" s="1"/>
  <c r="X267" i="17"/>
  <c r="Q190" i="17"/>
  <c r="U190" i="17" s="1"/>
  <c r="X190" i="17"/>
  <c r="R318" i="17"/>
  <c r="S318" i="17" s="1"/>
  <c r="Y318" i="17"/>
  <c r="Q472" i="17"/>
  <c r="U472" i="17" s="1"/>
  <c r="X472" i="17"/>
  <c r="R498" i="17"/>
  <c r="S498" i="17" s="1"/>
  <c r="Y498" i="17"/>
  <c r="Q281" i="17"/>
  <c r="U281" i="17" s="1"/>
  <c r="X281" i="17"/>
  <c r="Q256" i="17"/>
  <c r="U256" i="17" s="1"/>
  <c r="X256" i="17"/>
  <c r="Q410" i="17"/>
  <c r="U410" i="17" s="1"/>
  <c r="X410" i="17"/>
  <c r="R444" i="17"/>
  <c r="S444" i="17" s="1"/>
  <c r="Y444" i="17"/>
  <c r="Q144" i="17"/>
  <c r="U144" i="17" s="1"/>
  <c r="X144" i="17"/>
  <c r="Q130" i="17"/>
  <c r="AD129" i="17" s="1"/>
  <c r="AE129" i="17" s="1"/>
  <c r="X130" i="17"/>
  <c r="R305" i="17"/>
  <c r="S305" i="17" s="1"/>
  <c r="Y305" i="17"/>
  <c r="R137" i="17"/>
  <c r="S137" i="17" s="1"/>
  <c r="Y137" i="17"/>
  <c r="R397" i="17"/>
  <c r="S397" i="17" s="1"/>
  <c r="Y397" i="17"/>
  <c r="Y163" i="17"/>
  <c r="R163" i="17"/>
  <c r="S163" i="17" s="1"/>
  <c r="Y34" i="17"/>
  <c r="R34" i="17"/>
  <c r="S34" i="17" s="1"/>
  <c r="R299" i="17"/>
  <c r="S299" i="17" s="1"/>
  <c r="Y299" i="17"/>
  <c r="Q137" i="17"/>
  <c r="U137" i="17" s="1"/>
  <c r="X137" i="17"/>
  <c r="R68" i="17"/>
  <c r="S68" i="17" s="1"/>
  <c r="Y68" i="17"/>
  <c r="Q114" i="17"/>
  <c r="U114" i="17" s="1"/>
  <c r="X114" i="17"/>
  <c r="Q121" i="17"/>
  <c r="U121" i="17" s="1"/>
  <c r="X121" i="17"/>
  <c r="Q455" i="17"/>
  <c r="U455" i="17" s="1"/>
  <c r="X455" i="17"/>
  <c r="R147" i="17"/>
  <c r="S147" i="17" s="1"/>
  <c r="Y147" i="17"/>
  <c r="Q173" i="17"/>
  <c r="U173" i="17" s="1"/>
  <c r="X173" i="17"/>
  <c r="Q159" i="17"/>
  <c r="U159" i="17" s="1"/>
  <c r="X159" i="17"/>
  <c r="Y50" i="17"/>
  <c r="R50" i="17"/>
  <c r="S50" i="17" s="1"/>
  <c r="R517" i="17"/>
  <c r="S517" i="17" s="1"/>
  <c r="Y517" i="17"/>
  <c r="R312" i="17"/>
  <c r="S312" i="17" s="1"/>
  <c r="Y312" i="17"/>
  <c r="R90" i="17"/>
  <c r="S90" i="17" s="1"/>
  <c r="Y90" i="17"/>
  <c r="R219" i="17"/>
  <c r="S219" i="17" s="1"/>
  <c r="Y219" i="17"/>
  <c r="Y264" i="17"/>
  <c r="R264" i="17"/>
  <c r="S264" i="17" s="1"/>
  <c r="R208" i="17"/>
  <c r="S208" i="17" s="1"/>
  <c r="Y208" i="17"/>
  <c r="R334" i="17"/>
  <c r="S334" i="17" s="1"/>
  <c r="Y334" i="17"/>
  <c r="Q90" i="17"/>
  <c r="U90" i="17" s="1"/>
  <c r="X90" i="17"/>
  <c r="Q475" i="17"/>
  <c r="U475" i="17" s="1"/>
  <c r="X475" i="17"/>
  <c r="R546" i="17"/>
  <c r="S546" i="17" s="1"/>
  <c r="Y546" i="17"/>
  <c r="X366" i="17"/>
  <c r="Q366" i="17"/>
  <c r="U366" i="17" s="1"/>
  <c r="R449" i="17"/>
  <c r="S449" i="17" s="1"/>
  <c r="Y449" i="17"/>
  <c r="R244" i="17"/>
  <c r="S244" i="17" s="1"/>
  <c r="Y244" i="17"/>
  <c r="Q517" i="17"/>
  <c r="U517" i="17" s="1"/>
  <c r="X517" i="17"/>
  <c r="R108" i="17"/>
  <c r="S108" i="17" s="1"/>
  <c r="Y108" i="17"/>
  <c r="R116" i="17"/>
  <c r="S116" i="17" s="1"/>
  <c r="Y116" i="17"/>
  <c r="R489" i="17"/>
  <c r="S489" i="17" s="1"/>
  <c r="Y489" i="17"/>
  <c r="R229" i="17"/>
  <c r="S229" i="17" s="1"/>
  <c r="Y229" i="17"/>
  <c r="R380" i="17"/>
  <c r="S380" i="17" s="1"/>
  <c r="Y380" i="17"/>
  <c r="Y276" i="17"/>
  <c r="Y446" i="17"/>
  <c r="Y547" i="17"/>
  <c r="Y418" i="17"/>
  <c r="Y297" i="17"/>
  <c r="X599" i="17"/>
  <c r="Y257" i="17"/>
  <c r="Y577" i="17"/>
  <c r="X585" i="17"/>
  <c r="Y438" i="17"/>
  <c r="X380" i="17"/>
  <c r="R20" i="17"/>
  <c r="S20" i="17" s="1"/>
  <c r="R339" i="17"/>
  <c r="S339" i="17" s="1"/>
  <c r="X45" i="17"/>
  <c r="X387" i="17"/>
  <c r="Y308" i="17"/>
  <c r="Y369" i="17"/>
  <c r="Y607" i="17"/>
  <c r="Y201" i="17"/>
  <c r="Y172" i="17"/>
  <c r="Y419" i="17"/>
  <c r="X233" i="17"/>
  <c r="X389" i="17"/>
  <c r="X38" i="17"/>
  <c r="Y404" i="17"/>
  <c r="X414" i="17"/>
  <c r="Y96" i="17"/>
  <c r="X169" i="17"/>
  <c r="X171" i="17"/>
  <c r="X526" i="17"/>
  <c r="X145" i="17"/>
  <c r="Y485" i="17"/>
  <c r="R480" i="17"/>
  <c r="S480" i="17" s="1"/>
  <c r="R213" i="17"/>
  <c r="S213" i="17" s="1"/>
  <c r="Q488" i="17"/>
  <c r="U488" i="17" s="1"/>
  <c r="Q586" i="17"/>
  <c r="U586" i="17" s="1"/>
  <c r="X586" i="17"/>
  <c r="X301" i="17"/>
  <c r="Q301" i="17"/>
  <c r="U301" i="17" s="1"/>
  <c r="R14" i="17"/>
  <c r="S14" i="17" s="1"/>
  <c r="Y14" i="17"/>
  <c r="Q568" i="17"/>
  <c r="U568" i="17" s="1"/>
  <c r="X568" i="17"/>
  <c r="Q195" i="17"/>
  <c r="U195" i="17" s="1"/>
  <c r="X195" i="17"/>
  <c r="Q528" i="17"/>
  <c r="U528" i="17" s="1"/>
  <c r="X528" i="17"/>
  <c r="Q470" i="17"/>
  <c r="U470" i="17" s="1"/>
  <c r="X470" i="17"/>
  <c r="Q67" i="17"/>
  <c r="U67" i="17" s="1"/>
  <c r="X67" i="17"/>
  <c r="Q463" i="17"/>
  <c r="U463" i="17" s="1"/>
  <c r="X463" i="17"/>
  <c r="Q27" i="17"/>
  <c r="U27" i="17" s="1"/>
  <c r="X27" i="17"/>
  <c r="R209" i="17"/>
  <c r="S209" i="17" s="1"/>
  <c r="Y209" i="17"/>
  <c r="Q224" i="17"/>
  <c r="U224" i="17" s="1"/>
  <c r="X224" i="17"/>
  <c r="R574" i="17"/>
  <c r="S574" i="17" s="1"/>
  <c r="Y574" i="17"/>
  <c r="Q481" i="17"/>
  <c r="U481" i="17" s="1"/>
  <c r="X481" i="17"/>
  <c r="X34" i="17"/>
  <c r="Q34" i="17"/>
  <c r="U34" i="17" s="1"/>
  <c r="Q197" i="17"/>
  <c r="U197" i="17" s="1"/>
  <c r="X197" i="17"/>
  <c r="R239" i="17"/>
  <c r="S239" i="17" s="1"/>
  <c r="Y239" i="17"/>
  <c r="Q415" i="17"/>
  <c r="U415" i="17" s="1"/>
  <c r="X415" i="17"/>
  <c r="X546" i="17"/>
  <c r="Q546" i="17"/>
  <c r="U546" i="17" s="1"/>
  <c r="Q530" i="17"/>
  <c r="U530" i="17" s="1"/>
  <c r="X530" i="17"/>
  <c r="R430" i="17"/>
  <c r="S430" i="17" s="1"/>
  <c r="Y430" i="17"/>
  <c r="R358" i="17"/>
  <c r="S358" i="17" s="1"/>
  <c r="Y358" i="17"/>
  <c r="Q168" i="17"/>
  <c r="U168" i="17" s="1"/>
  <c r="X168" i="17"/>
  <c r="R583" i="17"/>
  <c r="S583" i="17" s="1"/>
  <c r="Y583" i="17"/>
  <c r="Q146" i="17"/>
  <c r="U146" i="17" s="1"/>
  <c r="X146" i="17"/>
  <c r="Q431" i="17"/>
  <c r="U431" i="17" s="1"/>
  <c r="X431" i="17"/>
  <c r="Q588" i="17"/>
  <c r="U588" i="17" s="1"/>
  <c r="X588" i="17"/>
  <c r="R440" i="17"/>
  <c r="S440" i="17" s="1"/>
  <c r="Y440" i="17"/>
  <c r="R388" i="17"/>
  <c r="S388" i="17" s="1"/>
  <c r="Y388" i="17"/>
  <c r="R610" i="17"/>
  <c r="S610" i="17" s="1"/>
  <c r="Y610" i="17"/>
  <c r="R540" i="17"/>
  <c r="S540" i="17" s="1"/>
  <c r="Y540" i="17"/>
  <c r="R215" i="17"/>
  <c r="S215" i="17" s="1"/>
  <c r="Y215" i="17"/>
  <c r="Q37" i="17"/>
  <c r="U37" i="17" s="1"/>
  <c r="X37" i="17"/>
  <c r="X523" i="17"/>
  <c r="Q523" i="17"/>
  <c r="U523" i="17" s="1"/>
  <c r="R85" i="17"/>
  <c r="S85" i="17" s="1"/>
  <c r="Y85" i="17"/>
  <c r="Q72" i="17"/>
  <c r="U72" i="17" s="1"/>
  <c r="X72" i="17"/>
  <c r="R248" i="17"/>
  <c r="S248" i="17" s="1"/>
  <c r="Y248" i="17"/>
  <c r="Q108" i="17"/>
  <c r="U108" i="17" s="1"/>
  <c r="X108" i="17"/>
  <c r="Q29" i="17"/>
  <c r="U29" i="17" s="1"/>
  <c r="X29" i="17"/>
  <c r="Q441" i="17"/>
  <c r="U441" i="17" s="1"/>
  <c r="X441" i="17"/>
  <c r="R550" i="17"/>
  <c r="S550" i="17" s="1"/>
  <c r="Y550" i="17"/>
  <c r="R515" i="17"/>
  <c r="S515" i="17" s="1"/>
  <c r="Y515" i="17"/>
  <c r="Q571" i="17"/>
  <c r="U571" i="17" s="1"/>
  <c r="X571" i="17"/>
  <c r="R126" i="17"/>
  <c r="S126" i="17" s="1"/>
  <c r="Y126" i="17"/>
  <c r="R187" i="17"/>
  <c r="S187" i="17" s="1"/>
  <c r="Y187" i="17"/>
  <c r="Q493" i="17"/>
  <c r="U493" i="17" s="1"/>
  <c r="X493" i="17"/>
  <c r="R121" i="17"/>
  <c r="S121" i="17" s="1"/>
  <c r="Y121" i="17"/>
  <c r="Q403" i="17"/>
  <c r="U403" i="17" s="1"/>
  <c r="X403" i="17"/>
  <c r="R109" i="17"/>
  <c r="S109" i="17" s="1"/>
  <c r="Y109" i="17"/>
  <c r="R52" i="17"/>
  <c r="S52" i="17" s="1"/>
  <c r="Y52" i="17"/>
  <c r="Q232" i="17"/>
  <c r="U232" i="17" s="1"/>
  <c r="X232" i="17"/>
  <c r="R204" i="17"/>
  <c r="S204" i="17" s="1"/>
  <c r="Y204" i="17"/>
  <c r="R309" i="17"/>
  <c r="S309" i="17" s="1"/>
  <c r="Y309" i="17"/>
  <c r="Q482" i="17"/>
  <c r="U482" i="17" s="1"/>
  <c r="X482" i="17"/>
  <c r="Q218" i="17"/>
  <c r="U218" i="17" s="1"/>
  <c r="X218" i="17"/>
  <c r="R586" i="17"/>
  <c r="S586" i="17" s="1"/>
  <c r="Y586" i="17"/>
  <c r="Y72" i="17"/>
  <c r="X279" i="17"/>
  <c r="X343" i="17"/>
  <c r="X604" i="17"/>
  <c r="Y78" i="17"/>
  <c r="X59" i="17"/>
  <c r="Y481" i="17"/>
  <c r="Y88" i="17"/>
  <c r="Y576" i="17"/>
  <c r="X601" i="17"/>
  <c r="Y611" i="17"/>
  <c r="X239" i="17"/>
  <c r="X373" i="17"/>
  <c r="X388" i="17"/>
  <c r="X334" i="17"/>
  <c r="Y492" i="17"/>
  <c r="Y509" i="17"/>
  <c r="X92" i="17"/>
  <c r="X75" i="17"/>
  <c r="X400" i="17"/>
  <c r="X317" i="17"/>
  <c r="X260" i="17"/>
  <c r="R386" i="17"/>
  <c r="S386" i="17" s="1"/>
  <c r="Q162" i="17"/>
  <c r="U162" i="17" s="1"/>
  <c r="Q395" i="17"/>
  <c r="U395" i="17" s="1"/>
  <c r="X395" i="17"/>
  <c r="X529" i="17"/>
  <c r="Q529" i="17"/>
  <c r="U529" i="17" s="1"/>
  <c r="Y226" i="17"/>
  <c r="R226" i="17"/>
  <c r="S226" i="17" s="1"/>
  <c r="R197" i="17"/>
  <c r="S197" i="17" s="1"/>
  <c r="Y197" i="17"/>
  <c r="Q180" i="17"/>
  <c r="U180" i="17" s="1"/>
  <c r="X180" i="17"/>
  <c r="Y348" i="17"/>
  <c r="R348" i="17"/>
  <c r="S348" i="17" s="1"/>
  <c r="Q508" i="17"/>
  <c r="U508" i="17" s="1"/>
  <c r="X508" i="17"/>
  <c r="Q322" i="17"/>
  <c r="U322" i="17" s="1"/>
  <c r="X322" i="17"/>
  <c r="X294" i="17"/>
  <c r="Q294" i="17"/>
  <c r="U294" i="17" s="1"/>
  <c r="X359" i="17"/>
  <c r="Q359" i="17"/>
  <c r="U359" i="17" s="1"/>
  <c r="Y165" i="17"/>
  <c r="R165" i="17"/>
  <c r="S165" i="17" s="1"/>
  <c r="X420" i="17"/>
  <c r="Q420" i="17"/>
  <c r="U420" i="17" s="1"/>
  <c r="Q248" i="17"/>
  <c r="U248" i="17" s="1"/>
  <c r="X248" i="17"/>
  <c r="Q390" i="17"/>
  <c r="U390" i="17" s="1"/>
  <c r="X390" i="17"/>
  <c r="Y176" i="17"/>
  <c r="R176" i="17"/>
  <c r="S176" i="17" s="1"/>
  <c r="Y159" i="17"/>
  <c r="R159" i="17"/>
  <c r="S159" i="17" s="1"/>
  <c r="R133" i="17"/>
  <c r="S133" i="17" s="1"/>
  <c r="Y133" i="17"/>
  <c r="X136" i="17"/>
  <c r="Q136" i="17"/>
  <c r="U136" i="17" s="1"/>
  <c r="X284" i="17"/>
  <c r="Q284" i="17"/>
  <c r="U284" i="17" s="1"/>
  <c r="X358" i="17"/>
  <c r="Q358" i="17"/>
  <c r="U358" i="17" s="1"/>
  <c r="Y541" i="17"/>
  <c r="R541" i="17"/>
  <c r="S541" i="17" s="1"/>
  <c r="X512" i="17"/>
  <c r="Q512" i="17"/>
  <c r="U512" i="17" s="1"/>
  <c r="Y416" i="17"/>
  <c r="R416" i="17"/>
  <c r="S416" i="17" s="1"/>
  <c r="Y313" i="17"/>
  <c r="R313" i="17"/>
  <c r="S313" i="17" s="1"/>
  <c r="Y179" i="17"/>
  <c r="R179" i="17"/>
  <c r="S179" i="17" s="1"/>
  <c r="X100" i="17"/>
  <c r="Q100" i="17"/>
  <c r="U100" i="17" s="1"/>
  <c r="Y105" i="17"/>
  <c r="R105" i="17"/>
  <c r="S105" i="17" s="1"/>
  <c r="R324" i="17"/>
  <c r="S324" i="17" s="1"/>
  <c r="Y324" i="17"/>
  <c r="X498" i="17"/>
  <c r="Q498" i="17"/>
  <c r="U498" i="17" s="1"/>
  <c r="X516" i="17"/>
  <c r="Q516" i="17"/>
  <c r="U516" i="17" s="1"/>
  <c r="Y125" i="17"/>
  <c r="R125" i="17"/>
  <c r="S125" i="17" s="1"/>
  <c r="Y202" i="17"/>
  <c r="R202" i="17"/>
  <c r="S202" i="17" s="1"/>
  <c r="X459" i="17"/>
  <c r="Q459" i="17"/>
  <c r="U459" i="17" s="1"/>
  <c r="Q349" i="17"/>
  <c r="U349" i="17" s="1"/>
  <c r="X349" i="17"/>
  <c r="Q489" i="17"/>
  <c r="U489" i="17" s="1"/>
  <c r="X489" i="17"/>
  <c r="Y604" i="17"/>
  <c r="R604" i="17"/>
  <c r="S604" i="17" s="1"/>
  <c r="Q198" i="17"/>
  <c r="U198" i="17" s="1"/>
  <c r="X198" i="17"/>
  <c r="Q432" i="17"/>
  <c r="U432" i="17" s="1"/>
  <c r="X432" i="17"/>
  <c r="Y506" i="17"/>
  <c r="R506" i="17"/>
  <c r="S506" i="17" s="1"/>
  <c r="Q598" i="17"/>
  <c r="U598" i="17" s="1"/>
  <c r="X598" i="17"/>
  <c r="Q241" i="17"/>
  <c r="U241" i="17" s="1"/>
  <c r="X241" i="17"/>
  <c r="Q506" i="17"/>
  <c r="U506" i="17" s="1"/>
  <c r="X506" i="17"/>
  <c r="X303" i="17"/>
  <c r="Q303" i="17"/>
  <c r="U303" i="17" s="1"/>
  <c r="Y387" i="17"/>
  <c r="R387" i="17"/>
  <c r="S387" i="17" s="1"/>
  <c r="Y185" i="17"/>
  <c r="R185" i="17"/>
  <c r="S185" i="17" s="1"/>
  <c r="Y128" i="17"/>
  <c r="R128" i="17"/>
  <c r="S128" i="17" s="1"/>
  <c r="R351" i="17"/>
  <c r="S351" i="17" s="1"/>
  <c r="Y351" i="17"/>
  <c r="Q575" i="17"/>
  <c r="U575" i="17" s="1"/>
  <c r="X575" i="17"/>
  <c r="Q126" i="17"/>
  <c r="U126" i="17" s="1"/>
  <c r="X126" i="17"/>
  <c r="Q254" i="17"/>
  <c r="U254" i="17" s="1"/>
  <c r="X254" i="17"/>
  <c r="Y392" i="17"/>
  <c r="R392" i="17"/>
  <c r="S392" i="17" s="1"/>
  <c r="X412" i="17"/>
  <c r="Q412" i="17"/>
  <c r="U412" i="17" s="1"/>
  <c r="X258" i="17"/>
  <c r="Q258" i="17"/>
  <c r="U258" i="17" s="1"/>
  <c r="R113" i="17"/>
  <c r="S113" i="17" s="1"/>
  <c r="Y113" i="17"/>
  <c r="Q447" i="17"/>
  <c r="U447" i="17" s="1"/>
  <c r="X447" i="17"/>
  <c r="Q251" i="17"/>
  <c r="U251" i="17" s="1"/>
  <c r="X251" i="17"/>
  <c r="Q551" i="17"/>
  <c r="U551" i="17" s="1"/>
  <c r="X551" i="17"/>
  <c r="Y193" i="17"/>
  <c r="R193" i="17"/>
  <c r="S193" i="17" s="1"/>
  <c r="Y198" i="17"/>
  <c r="R198" i="17"/>
  <c r="S198" i="17" s="1"/>
  <c r="X532" i="17"/>
  <c r="Q532" i="17"/>
  <c r="U532" i="17" s="1"/>
  <c r="X64" i="17"/>
  <c r="Q64" i="17"/>
  <c r="U64" i="17" s="1"/>
  <c r="X97" i="17"/>
  <c r="Q97" i="17"/>
  <c r="U97" i="17" s="1"/>
  <c r="Q155" i="17"/>
  <c r="U155" i="17" s="1"/>
  <c r="X155" i="17"/>
  <c r="X20" i="17"/>
  <c r="Q20" i="17"/>
  <c r="U20" i="17" s="1"/>
  <c r="Y73" i="17"/>
  <c r="R73" i="17"/>
  <c r="S73" i="17" s="1"/>
  <c r="R544" i="17"/>
  <c r="S544" i="17" s="1"/>
  <c r="Y544" i="17"/>
  <c r="Y571" i="17"/>
  <c r="R571" i="17"/>
  <c r="S571" i="17" s="1"/>
  <c r="X246" i="17"/>
  <c r="Q246" i="17"/>
  <c r="U246" i="17" s="1"/>
  <c r="X125" i="17"/>
  <c r="Q125" i="17"/>
  <c r="U125" i="17" s="1"/>
  <c r="R218" i="17"/>
  <c r="S218" i="17" s="1"/>
  <c r="Y218" i="17"/>
  <c r="X515" i="17"/>
  <c r="Q515" i="17"/>
  <c r="U515" i="17" s="1"/>
  <c r="Q540" i="17"/>
  <c r="U540" i="17" s="1"/>
  <c r="X540" i="17"/>
  <c r="R391" i="17"/>
  <c r="S391" i="17" s="1"/>
  <c r="Y391" i="17"/>
  <c r="R71" i="17"/>
  <c r="S71" i="17" s="1"/>
  <c r="Y71" i="17"/>
  <c r="X149" i="17"/>
  <c r="Q149" i="17"/>
  <c r="U149" i="17" s="1"/>
  <c r="R223" i="17"/>
  <c r="S223" i="17" s="1"/>
  <c r="Y223" i="17"/>
  <c r="X187" i="17"/>
  <c r="Q187" i="17"/>
  <c r="U187" i="17" s="1"/>
  <c r="Q549" i="17"/>
  <c r="U549" i="17" s="1"/>
  <c r="X549" i="17"/>
  <c r="R216" i="17"/>
  <c r="S216" i="17" s="1"/>
  <c r="Y216" i="17"/>
  <c r="R194" i="17"/>
  <c r="S194" i="17" s="1"/>
  <c r="Y194" i="17"/>
  <c r="X337" i="17"/>
  <c r="Q337" i="17"/>
  <c r="U337" i="17" s="1"/>
  <c r="Y456" i="17"/>
  <c r="R456" i="17"/>
  <c r="S456" i="17" s="1"/>
  <c r="X341" i="17"/>
  <c r="Q341" i="17"/>
  <c r="U341" i="17" s="1"/>
  <c r="Y539" i="17"/>
  <c r="R539" i="17"/>
  <c r="S539" i="17" s="1"/>
  <c r="Y556" i="17"/>
  <c r="Y424" i="17"/>
  <c r="Y153" i="17"/>
  <c r="X536" i="17"/>
  <c r="Y594" i="17"/>
  <c r="Y307" i="17"/>
  <c r="Y188" i="17"/>
  <c r="Y220" i="17"/>
  <c r="X570" i="17"/>
  <c r="Y585" i="17"/>
  <c r="X396" i="17"/>
  <c r="X386" i="17"/>
  <c r="X272" i="17"/>
  <c r="Y548" i="17"/>
  <c r="Y280" i="17"/>
  <c r="X603" i="17"/>
  <c r="Y191" i="17"/>
  <c r="X495" i="17"/>
  <c r="Q50" i="17"/>
  <c r="U50" i="17" s="1"/>
  <c r="Q186" i="17"/>
  <c r="U186" i="17" s="1"/>
  <c r="R69" i="17"/>
  <c r="S69" i="17" s="1"/>
  <c r="Q94" i="17"/>
  <c r="U94" i="17" s="1"/>
  <c r="R301" i="17"/>
  <c r="S301" i="17" s="1"/>
  <c r="Q542" i="17"/>
  <c r="U542" i="17" s="1"/>
  <c r="Y186" i="17"/>
  <c r="R186" i="17"/>
  <c r="S186" i="17" s="1"/>
  <c r="R154" i="17"/>
  <c r="S154" i="17" s="1"/>
  <c r="Y154" i="17"/>
  <c r="Q464" i="17"/>
  <c r="U464" i="17" s="1"/>
  <c r="X464" i="17"/>
  <c r="Y468" i="17"/>
  <c r="R468" i="17"/>
  <c r="S468" i="17" s="1"/>
  <c r="Y145" i="17"/>
  <c r="R145" i="17"/>
  <c r="S145" i="17" s="1"/>
  <c r="R291" i="17"/>
  <c r="S291" i="17" s="1"/>
  <c r="Y291" i="17"/>
  <c r="Q331" i="17"/>
  <c r="U331" i="17" s="1"/>
  <c r="X331" i="17"/>
  <c r="Q324" i="17"/>
  <c r="U324" i="17" s="1"/>
  <c r="X324" i="17"/>
  <c r="Y341" i="17"/>
  <c r="X429" i="17"/>
  <c r="Y338" i="17"/>
  <c r="X379" i="17"/>
  <c r="X98" i="17"/>
  <c r="Q63" i="17"/>
  <c r="U63" i="17" s="1"/>
  <c r="Q23" i="17"/>
  <c r="U23" i="17" s="1"/>
  <c r="R180" i="17"/>
  <c r="S180" i="17" s="1"/>
  <c r="Q563" i="17"/>
  <c r="U563" i="17" s="1"/>
  <c r="R60" i="17"/>
  <c r="S60" i="17" s="1"/>
  <c r="Q600" i="17"/>
  <c r="U600" i="17" s="1"/>
  <c r="X51" i="17"/>
  <c r="Q51" i="17"/>
  <c r="U51" i="17" s="1"/>
  <c r="R452" i="17"/>
  <c r="S452" i="17" s="1"/>
  <c r="Y452" i="17"/>
  <c r="Y520" i="17"/>
  <c r="R520" i="17"/>
  <c r="S520" i="17" s="1"/>
  <c r="R303" i="17"/>
  <c r="S303" i="17" s="1"/>
  <c r="Y303" i="17"/>
  <c r="R377" i="17"/>
  <c r="S377" i="17" s="1"/>
  <c r="Y377" i="17"/>
  <c r="R475" i="17"/>
  <c r="S475" i="17" s="1"/>
  <c r="Y475" i="17"/>
  <c r="R410" i="17"/>
  <c r="S410" i="17" s="1"/>
  <c r="Y410" i="17"/>
  <c r="X293" i="17"/>
  <c r="Q293" i="17"/>
  <c r="AD292" i="17" s="1"/>
  <c r="AE292" i="17" s="1"/>
  <c r="R525" i="17"/>
  <c r="S525" i="17" s="1"/>
  <c r="Y525" i="17"/>
  <c r="R251" i="17"/>
  <c r="S251" i="17" s="1"/>
  <c r="Y251" i="17"/>
  <c r="R461" i="17"/>
  <c r="S461" i="17" s="1"/>
  <c r="Y461" i="17"/>
  <c r="Q360" i="17"/>
  <c r="U360" i="17" s="1"/>
  <c r="X360" i="17"/>
  <c r="Q118" i="17"/>
  <c r="U118" i="17" s="1"/>
  <c r="X118" i="17"/>
  <c r="Q413" i="17"/>
  <c r="U413" i="17" s="1"/>
  <c r="X413" i="17"/>
  <c r="R47" i="17"/>
  <c r="S47" i="17" s="1"/>
  <c r="Y47" i="17"/>
  <c r="R140" i="17"/>
  <c r="S140" i="17" s="1"/>
  <c r="Y140" i="17"/>
  <c r="R271" i="17"/>
  <c r="S271" i="17" s="1"/>
  <c r="Y271" i="17"/>
  <c r="R282" i="17"/>
  <c r="S282" i="17" s="1"/>
  <c r="Y282" i="17"/>
  <c r="R245" i="17"/>
  <c r="S245" i="17" s="1"/>
  <c r="Y245" i="17"/>
  <c r="Y442" i="17"/>
  <c r="R442" i="17"/>
  <c r="S442" i="17" s="1"/>
  <c r="Q105" i="17"/>
  <c r="U105" i="17" s="1"/>
  <c r="X105" i="17"/>
  <c r="X608" i="17"/>
  <c r="Q608" i="17"/>
  <c r="U608" i="17" s="1"/>
  <c r="R190" i="17"/>
  <c r="S190" i="17" s="1"/>
  <c r="Y190" i="17"/>
  <c r="X205" i="17"/>
  <c r="Q205" i="17"/>
  <c r="U205" i="17" s="1"/>
  <c r="Y428" i="17"/>
  <c r="R428" i="17"/>
  <c r="S428" i="17" s="1"/>
  <c r="X565" i="17"/>
  <c r="Q565" i="17"/>
  <c r="U565" i="17" s="1"/>
  <c r="X89" i="17"/>
  <c r="Q89" i="17"/>
  <c r="U89" i="17" s="1"/>
  <c r="X185" i="17"/>
  <c r="Q185" i="17"/>
  <c r="U185" i="17" s="1"/>
  <c r="Q474" i="17"/>
  <c r="U474" i="17" s="1"/>
  <c r="X474" i="17"/>
  <c r="X554" i="17"/>
  <c r="Q554" i="17"/>
  <c r="U554" i="17" s="1"/>
  <c r="X33" i="17"/>
  <c r="Q33" i="17"/>
  <c r="U33" i="17" s="1"/>
  <c r="X626" i="17"/>
  <c r="Q626" i="17"/>
  <c r="D636" i="17" s="1"/>
  <c r="Q559" i="17"/>
  <c r="U559" i="17" s="1"/>
  <c r="X559" i="17"/>
  <c r="R622" i="17"/>
  <c r="S622" i="17" s="1"/>
  <c r="Y622" i="17"/>
  <c r="Y432" i="17"/>
  <c r="R432" i="17"/>
  <c r="S432" i="17" s="1"/>
  <c r="Q259" i="17"/>
  <c r="U259" i="17" s="1"/>
  <c r="X259" i="17"/>
  <c r="Q30" i="17"/>
  <c r="U30" i="17" s="1"/>
  <c r="X30" i="17"/>
  <c r="R363" i="17"/>
  <c r="S363" i="17" s="1"/>
  <c r="Y363" i="17"/>
  <c r="Y349" i="17"/>
  <c r="Y265" i="17"/>
  <c r="Y427" i="17"/>
  <c r="Y234" i="17"/>
  <c r="X607" i="17"/>
  <c r="Y296" i="17"/>
  <c r="Y17" i="17"/>
  <c r="X383" i="17"/>
  <c r="Y203" i="17"/>
  <c r="Q76" i="17"/>
  <c r="U76" i="17" s="1"/>
  <c r="R398" i="17"/>
  <c r="S398" i="17" s="1"/>
  <c r="Q139" i="17"/>
  <c r="U139" i="17" s="1"/>
  <c r="R284" i="17"/>
  <c r="S284" i="17" s="1"/>
  <c r="R390" i="17"/>
  <c r="S390" i="17" s="1"/>
  <c r="X308" i="17"/>
  <c r="Q308" i="17"/>
  <c r="U308" i="17" s="1"/>
  <c r="Q223" i="17"/>
  <c r="U223" i="17" s="1"/>
  <c r="X223" i="17"/>
  <c r="X564" i="17"/>
  <c r="Q564" i="17"/>
  <c r="U564" i="17" s="1"/>
  <c r="Q409" i="17"/>
  <c r="U409" i="17" s="1"/>
  <c r="X409" i="17"/>
  <c r="Y132" i="17"/>
  <c r="R132" i="17"/>
  <c r="S132" i="17" s="1"/>
  <c r="R319" i="17"/>
  <c r="S319" i="17" s="1"/>
  <c r="Y319" i="17"/>
  <c r="R557" i="17"/>
  <c r="S557" i="17" s="1"/>
  <c r="Y557" i="17"/>
  <c r="R246" i="17"/>
  <c r="S246" i="17" s="1"/>
  <c r="Y246" i="17"/>
  <c r="Y61" i="17"/>
  <c r="R61" i="17"/>
  <c r="S61" i="17" s="1"/>
  <c r="Y158" i="17"/>
  <c r="R158" i="17"/>
  <c r="S158" i="17" s="1"/>
  <c r="X39" i="17"/>
  <c r="X442" i="17"/>
  <c r="Y493" i="17"/>
  <c r="X437" i="17"/>
  <c r="Y595" i="17"/>
  <c r="X468" i="17"/>
  <c r="Y613" i="17"/>
  <c r="X299" i="17"/>
  <c r="X483" i="17"/>
  <c r="X578" i="17"/>
  <c r="Y117" i="17"/>
  <c r="Y399" i="17"/>
  <c r="Q25" i="17"/>
  <c r="U25" i="17" s="1"/>
  <c r="R270" i="17"/>
  <c r="S270" i="17" s="1"/>
  <c r="R110" i="17"/>
  <c r="S110" i="17" s="1"/>
  <c r="R277" i="17"/>
  <c r="S277" i="17" s="1"/>
  <c r="Q405" i="17"/>
  <c r="U405" i="17" s="1"/>
  <c r="R536" i="17"/>
  <c r="S536" i="17" s="1"/>
  <c r="R350" i="17"/>
  <c r="S350" i="17" s="1"/>
  <c r="Y599" i="17"/>
  <c r="X229" i="17"/>
  <c r="Y542" i="17"/>
  <c r="X282" i="17"/>
  <c r="X466" i="17"/>
  <c r="Y437" i="17"/>
  <c r="X424" i="17"/>
  <c r="X613" i="17"/>
  <c r="Y590" i="17"/>
  <c r="X203" i="17"/>
  <c r="X416" i="17"/>
  <c r="R333" i="17"/>
  <c r="S333" i="17" s="1"/>
  <c r="X490" i="17"/>
  <c r="X57" i="17"/>
  <c r="Q57" i="17"/>
  <c r="U57" i="17" s="1"/>
  <c r="Y579" i="17"/>
  <c r="R579" i="17"/>
  <c r="S579" i="17" s="1"/>
  <c r="X148" i="17"/>
  <c r="Q148" i="17"/>
  <c r="U148" i="17" s="1"/>
  <c r="R274" i="17"/>
  <c r="S274" i="17" s="1"/>
  <c r="Y274" i="17"/>
  <c r="R531" i="17"/>
  <c r="S531" i="17" s="1"/>
  <c r="Y531" i="17"/>
  <c r="X46" i="17"/>
  <c r="Q46" i="17"/>
  <c r="U46" i="17" s="1"/>
  <c r="Q522" i="17"/>
  <c r="U522" i="17" s="1"/>
  <c r="X522" i="17"/>
  <c r="R210" i="17"/>
  <c r="S210" i="17" s="1"/>
  <c r="Y210" i="17"/>
  <c r="R591" i="17"/>
  <c r="S591" i="17" s="1"/>
  <c r="Y591" i="17"/>
  <c r="Y413" i="17"/>
  <c r="R413" i="17"/>
  <c r="S413" i="17" s="1"/>
  <c r="Y42" i="17"/>
  <c r="R42" i="17"/>
  <c r="S42" i="17" s="1"/>
  <c r="R221" i="17"/>
  <c r="S221" i="17" s="1"/>
  <c r="Y221" i="17"/>
  <c r="Q480" i="17"/>
  <c r="U480" i="17" s="1"/>
  <c r="X480" i="17"/>
  <c r="X545" i="17"/>
  <c r="Q545" i="17"/>
  <c r="U545" i="17" s="1"/>
  <c r="X553" i="17"/>
  <c r="Q553" i="17"/>
  <c r="U553" i="17" s="1"/>
  <c r="X264" i="17"/>
  <c r="Q264" i="17"/>
  <c r="U264" i="17" s="1"/>
  <c r="Y243" i="17"/>
  <c r="R243" i="17"/>
  <c r="S243" i="17" s="1"/>
  <c r="Q80" i="17"/>
  <c r="U80" i="17" s="1"/>
  <c r="X80" i="17"/>
  <c r="R357" i="17"/>
  <c r="S357" i="17" s="1"/>
  <c r="Y357" i="17"/>
  <c r="Y403" i="17"/>
  <c r="R403" i="17"/>
  <c r="S403" i="17" s="1"/>
  <c r="R365" i="17"/>
  <c r="S365" i="17" s="1"/>
  <c r="Y365" i="17"/>
  <c r="Q84" i="17"/>
  <c r="U84" i="17" s="1"/>
  <c r="X84" i="17"/>
  <c r="R469" i="17"/>
  <c r="S469" i="17" s="1"/>
  <c r="Y469" i="17"/>
  <c r="Y474" i="17"/>
  <c r="R474" i="17"/>
  <c r="S474" i="17" s="1"/>
  <c r="R486" i="17"/>
  <c r="S486" i="17" s="1"/>
  <c r="Y486" i="17"/>
  <c r="R207" i="17"/>
  <c r="S207" i="17" s="1"/>
  <c r="Y207" i="17"/>
  <c r="R79" i="17"/>
  <c r="S79" i="17" s="1"/>
  <c r="Y79" i="17"/>
  <c r="Q479" i="17"/>
  <c r="U479" i="17" s="1"/>
  <c r="X479" i="17"/>
  <c r="Q178" i="17"/>
  <c r="U178" i="17" s="1"/>
  <c r="X178" i="17"/>
  <c r="Y566" i="17"/>
  <c r="R566" i="17"/>
  <c r="S566" i="17" s="1"/>
  <c r="X13" i="17"/>
  <c r="X71" i="17"/>
  <c r="Y92" i="17"/>
  <c r="X507" i="17"/>
  <c r="X87" i="17"/>
  <c r="Y247" i="17"/>
  <c r="X231" i="17"/>
  <c r="Y408" i="17"/>
  <c r="X446" i="17"/>
  <c r="X206" i="17"/>
  <c r="Y450" i="17"/>
  <c r="Y278" i="17"/>
  <c r="Y268" i="17"/>
  <c r="Y83" i="17"/>
  <c r="X421" i="17"/>
  <c r="X280" i="17"/>
  <c r="Y211" i="17"/>
  <c r="Y373" i="17"/>
  <c r="Y18" i="17"/>
  <c r="X156" i="17"/>
  <c r="X220" i="17"/>
  <c r="X62" i="17"/>
  <c r="Y340" i="17"/>
  <c r="Y232" i="17"/>
  <c r="Y267" i="17"/>
  <c r="X107" i="17"/>
  <c r="Y543" i="17"/>
  <c r="X457" i="17"/>
  <c r="X384" i="17"/>
  <c r="Y606" i="17"/>
  <c r="X557" i="17"/>
  <c r="Q347" i="17"/>
  <c r="U347" i="17" s="1"/>
  <c r="R58" i="17"/>
  <c r="S58" i="17" s="1"/>
  <c r="R327" i="17"/>
  <c r="S327" i="17" s="1"/>
  <c r="Q543" i="17"/>
  <c r="U543" i="17" s="1"/>
  <c r="Q31" i="17"/>
  <c r="U31" i="17" s="1"/>
  <c r="R136" i="17"/>
  <c r="S136" i="17" s="1"/>
  <c r="Q287" i="17"/>
  <c r="U287" i="17" s="1"/>
  <c r="Q262" i="17"/>
  <c r="U262" i="17" s="1"/>
  <c r="Q372" i="17"/>
  <c r="U372" i="17" s="1"/>
  <c r="Q430" i="17"/>
  <c r="U430" i="17" s="1"/>
  <c r="R502" i="17"/>
  <c r="S502" i="17" s="1"/>
  <c r="Q249" i="17"/>
  <c r="U249" i="17" s="1"/>
  <c r="R82" i="17"/>
  <c r="S82" i="17" s="1"/>
  <c r="Q399" i="17"/>
  <c r="U399" i="17" s="1"/>
  <c r="R521" i="17"/>
  <c r="S521" i="17" s="1"/>
  <c r="Q157" i="17"/>
  <c r="U157" i="17" s="1"/>
  <c r="Q160" i="17"/>
  <c r="U160" i="17" s="1"/>
  <c r="R567" i="17"/>
  <c r="S567" i="17" s="1"/>
  <c r="Y70" i="17"/>
  <c r="R70" i="17"/>
  <c r="S70" i="17" s="1"/>
  <c r="R505" i="17"/>
  <c r="S505" i="17" s="1"/>
  <c r="Y505" i="17"/>
  <c r="X606" i="17"/>
  <c r="Q606" i="17"/>
  <c r="U606" i="17" s="1"/>
  <c r="Y205" i="17"/>
  <c r="R205" i="17"/>
  <c r="S205" i="17" s="1"/>
  <c r="Q582" i="17"/>
  <c r="U582" i="17" s="1"/>
  <c r="X582" i="17"/>
  <c r="Q596" i="17"/>
  <c r="U596" i="17" s="1"/>
  <c r="X596" i="17"/>
  <c r="Q496" i="17"/>
  <c r="U496" i="17" s="1"/>
  <c r="X496" i="17"/>
  <c r="X558" i="17"/>
  <c r="Q558" i="17"/>
  <c r="U558" i="17" s="1"/>
  <c r="Q66" i="17"/>
  <c r="U66" i="17" s="1"/>
  <c r="X66" i="17"/>
  <c r="Y573" i="17"/>
  <c r="R573" i="17"/>
  <c r="S573" i="17" s="1"/>
  <c r="Q226" i="17"/>
  <c r="U226" i="17" s="1"/>
  <c r="X226" i="17"/>
  <c r="Y249" i="17"/>
  <c r="R249" i="17"/>
  <c r="S249" i="17" s="1"/>
  <c r="R256" i="17"/>
  <c r="S256" i="17" s="1"/>
  <c r="Y256" i="17"/>
  <c r="X524" i="17"/>
  <c r="Q524" i="17"/>
  <c r="U524" i="17" s="1"/>
  <c r="X375" i="17"/>
  <c r="Q375" i="17"/>
  <c r="U375" i="17" s="1"/>
  <c r="Y119" i="17"/>
  <c r="R119" i="17"/>
  <c r="S119" i="17" s="1"/>
  <c r="Q275" i="17"/>
  <c r="U275" i="17" s="1"/>
  <c r="X275" i="17"/>
  <c r="Q143" i="17"/>
  <c r="U143" i="17" s="1"/>
  <c r="X143" i="17"/>
  <c r="Y94" i="17"/>
  <c r="R94" i="17"/>
  <c r="S94" i="17" s="1"/>
  <c r="X192" i="17"/>
  <c r="Q192" i="17"/>
  <c r="U192" i="17" s="1"/>
  <c r="R112" i="17"/>
  <c r="S112" i="17" s="1"/>
  <c r="Y112" i="17"/>
  <c r="Y28" i="17"/>
  <c r="X238" i="17"/>
  <c r="Y300" i="17"/>
  <c r="X357" i="17"/>
  <c r="X452" i="17"/>
  <c r="Y364" i="17"/>
  <c r="X77" i="17"/>
  <c r="Y473" i="17"/>
  <c r="Y409" i="17"/>
  <c r="Y29" i="17"/>
  <c r="X514" i="17"/>
  <c r="Y368" i="17"/>
  <c r="Y343" i="17"/>
  <c r="Y170" i="17"/>
  <c r="Y141" i="17"/>
  <c r="Y589" i="17"/>
  <c r="Y286" i="17"/>
  <c r="X397" i="17"/>
  <c r="Y258" i="17"/>
  <c r="X16" i="17"/>
  <c r="Y568" i="17"/>
  <c r="Y383" i="17"/>
  <c r="X589" i="17"/>
  <c r="X583" i="17"/>
  <c r="Q48" i="17"/>
  <c r="U48" i="17" s="1"/>
  <c r="Q202" i="17"/>
  <c r="U202" i="17" s="1"/>
  <c r="Q428" i="17"/>
  <c r="U428" i="17" s="1"/>
  <c r="Q243" i="17"/>
  <c r="U243" i="17" s="1"/>
  <c r="R464" i="17"/>
  <c r="S464" i="17" s="1"/>
  <c r="R321" i="17"/>
  <c r="S321" i="17" s="1"/>
  <c r="Q544" i="17"/>
  <c r="U544" i="17" s="1"/>
  <c r="R379" i="17"/>
  <c r="S379" i="17" s="1"/>
  <c r="R470" i="17"/>
  <c r="S470" i="17" s="1"/>
  <c r="R477" i="17"/>
  <c r="S477" i="17" s="1"/>
  <c r="R181" i="17"/>
  <c r="S181" i="17" s="1"/>
  <c r="R496" i="17"/>
  <c r="S496" i="17" s="1"/>
  <c r="R538" i="17"/>
  <c r="S538" i="17" s="1"/>
  <c r="Y330" i="17"/>
  <c r="R330" i="17"/>
  <c r="S330" i="17" s="1"/>
  <c r="Y462" i="17"/>
  <c r="R462" i="17"/>
  <c r="S462" i="17" s="1"/>
  <c r="R396" i="17"/>
  <c r="S396" i="17" s="1"/>
  <c r="Y396" i="17"/>
  <c r="X462" i="17"/>
  <c r="Q462" i="17"/>
  <c r="U462" i="17" s="1"/>
  <c r="Q448" i="17"/>
  <c r="U448" i="17" s="1"/>
  <c r="X448" i="17"/>
  <c r="Y231" i="17"/>
  <c r="R231" i="17"/>
  <c r="S231" i="17" s="1"/>
  <c r="Q581" i="17"/>
  <c r="U581" i="17" s="1"/>
  <c r="X581" i="17"/>
  <c r="Y41" i="17"/>
  <c r="R41" i="17"/>
  <c r="S41" i="17" s="1"/>
  <c r="X450" i="17"/>
  <c r="Q450" i="17"/>
  <c r="U450" i="17" s="1"/>
  <c r="Q227" i="17"/>
  <c r="U227" i="17" s="1"/>
  <c r="X227" i="17"/>
  <c r="R173" i="17"/>
  <c r="S173" i="17" s="1"/>
  <c r="Y173" i="17"/>
  <c r="Q353" i="17"/>
  <c r="U353" i="17" s="1"/>
  <c r="X353" i="17"/>
  <c r="X436" i="17"/>
  <c r="Q436" i="17"/>
  <c r="U436" i="17" s="1"/>
  <c r="X142" i="17"/>
  <c r="Q142" i="17"/>
  <c r="U142" i="17" s="1"/>
  <c r="Q622" i="17"/>
  <c r="D632" i="17" s="1"/>
  <c r="X622" i="17"/>
  <c r="Y36" i="17"/>
  <c r="R36" i="17"/>
  <c r="S36" i="17" s="1"/>
  <c r="X370" i="17"/>
  <c r="Q370" i="17"/>
  <c r="U370" i="17" s="1"/>
  <c r="Y86" i="17"/>
  <c r="R86" i="17"/>
  <c r="S86" i="17" s="1"/>
  <c r="X527" i="17"/>
  <c r="Q527" i="17"/>
  <c r="U527" i="17" s="1"/>
  <c r="Y352" i="17"/>
  <c r="R352" i="17"/>
  <c r="S352" i="17" s="1"/>
  <c r="R254" i="17"/>
  <c r="S254" i="17" s="1"/>
  <c r="Y254" i="17"/>
  <c r="Y511" i="17"/>
  <c r="R511" i="17"/>
  <c r="S511" i="17" s="1"/>
  <c r="X346" i="17"/>
  <c r="Q346" i="17"/>
  <c r="U346" i="17" s="1"/>
  <c r="Q509" i="17"/>
  <c r="U509" i="17" s="1"/>
  <c r="X509" i="17"/>
  <c r="Y238" i="17"/>
  <c r="R238" i="17"/>
  <c r="S238" i="17" s="1"/>
  <c r="Y33" i="17"/>
  <c r="R33" i="17"/>
  <c r="S33" i="17" s="1"/>
  <c r="Y405" i="17"/>
  <c r="R405" i="17"/>
  <c r="S405" i="17" s="1"/>
  <c r="Y289" i="17"/>
  <c r="R289" i="17"/>
  <c r="S289" i="17" s="1"/>
  <c r="Y160" i="17"/>
  <c r="R160" i="17"/>
  <c r="S160" i="17" s="1"/>
  <c r="X96" i="17"/>
  <c r="Q96" i="17"/>
  <c r="U96" i="17" s="1"/>
  <c r="R65" i="17"/>
  <c r="S65" i="17" s="1"/>
  <c r="Y65" i="17"/>
  <c r="Y15" i="17"/>
  <c r="R15" i="17"/>
  <c r="S15" i="17" s="1"/>
  <c r="X594" i="17"/>
  <c r="X266" i="17"/>
  <c r="X434" i="17"/>
  <c r="X183" i="17"/>
  <c r="Y118" i="17"/>
  <c r="Y199" i="17"/>
  <c r="X562" i="17"/>
  <c r="X298" i="17"/>
  <c r="Y555" i="17"/>
  <c r="Y575" i="17"/>
  <c r="X361" i="17"/>
  <c r="X53" i="17"/>
  <c r="Y48" i="17"/>
  <c r="Y414" i="17"/>
  <c r="X22" i="17"/>
  <c r="Y59" i="17"/>
  <c r="X99" i="17"/>
  <c r="Y134" i="17"/>
  <c r="X501" i="17"/>
  <c r="Y407" i="17"/>
  <c r="Y55" i="17"/>
  <c r="X367" i="17"/>
  <c r="X177" i="17"/>
  <c r="X188" i="17"/>
  <c r="X406" i="17"/>
  <c r="Y564" i="17"/>
  <c r="X318" i="17"/>
  <c r="X69" i="17"/>
  <c r="X158" i="17"/>
  <c r="X518" i="17"/>
  <c r="X253" i="17"/>
  <c r="X288" i="17"/>
  <c r="X207" i="17"/>
  <c r="X113" i="17"/>
  <c r="X134" i="17"/>
  <c r="X520" i="17"/>
  <c r="Y177" i="17"/>
  <c r="X194" i="17"/>
  <c r="R161" i="17"/>
  <c r="S161" i="17" s="1"/>
  <c r="R273" i="17"/>
  <c r="S273" i="17" s="1"/>
  <c r="Q165" i="17"/>
  <c r="U165" i="17" s="1"/>
  <c r="R242" i="17"/>
  <c r="S242" i="17" s="1"/>
  <c r="R123" i="17"/>
  <c r="S123" i="17" s="1"/>
  <c r="Q445" i="17"/>
  <c r="U445" i="17" s="1"/>
  <c r="Q609" i="17"/>
  <c r="U609" i="17" s="1"/>
  <c r="Q193" i="17"/>
  <c r="U193" i="17" s="1"/>
  <c r="Q456" i="17"/>
  <c r="U456" i="17" s="1"/>
  <c r="Q587" i="17"/>
  <c r="U587" i="17" s="1"/>
  <c r="Q88" i="17"/>
  <c r="U88" i="17" s="1"/>
  <c r="R124" i="17"/>
  <c r="S124" i="17" s="1"/>
  <c r="R425" i="17"/>
  <c r="S425" i="17" s="1"/>
  <c r="R580" i="17"/>
  <c r="S580" i="17" s="1"/>
  <c r="R325" i="17"/>
  <c r="S325" i="17" s="1"/>
  <c r="Q28" i="17"/>
  <c r="U28" i="17" s="1"/>
  <c r="X28" i="17"/>
  <c r="Q104" i="17"/>
  <c r="U104" i="17" s="1"/>
  <c r="X104" i="17"/>
  <c r="Y304" i="17"/>
  <c r="R304" i="17"/>
  <c r="S304" i="17" s="1"/>
  <c r="Y360" i="17"/>
  <c r="R360" i="17"/>
  <c r="S360" i="17" s="1"/>
  <c r="Q378" i="17"/>
  <c r="U378" i="17" s="1"/>
  <c r="X378" i="17"/>
  <c r="Q103" i="17"/>
  <c r="U103" i="17" s="1"/>
  <c r="X103" i="17"/>
  <c r="R95" i="17"/>
  <c r="S95" i="17" s="1"/>
  <c r="Y95" i="17"/>
  <c r="X131" i="17"/>
  <c r="Q131" i="17"/>
  <c r="U131" i="17" s="1"/>
  <c r="R175" i="17"/>
  <c r="S175" i="17" s="1"/>
  <c r="Y175" i="17"/>
  <c r="X453" i="17"/>
  <c r="Q453" i="17"/>
  <c r="U453" i="17" s="1"/>
  <c r="Q404" i="17"/>
  <c r="U404" i="17" s="1"/>
  <c r="X404" i="17"/>
  <c r="R448" i="17"/>
  <c r="S448" i="17" s="1"/>
  <c r="Y448" i="17"/>
  <c r="R553" i="17"/>
  <c r="S553" i="17" s="1"/>
  <c r="Y553" i="17"/>
  <c r="R371" i="17"/>
  <c r="S371" i="17" s="1"/>
  <c r="Y371" i="17"/>
  <c r="X332" i="17"/>
  <c r="Q332" i="17"/>
  <c r="U332" i="17" s="1"/>
  <c r="R420" i="17"/>
  <c r="S420" i="17" s="1"/>
  <c r="Y420" i="17"/>
  <c r="Y514" i="17"/>
  <c r="R514" i="17"/>
  <c r="S514" i="17" s="1"/>
  <c r="R23" i="17"/>
  <c r="S23" i="17" s="1"/>
  <c r="Y23" i="17"/>
  <c r="Y143" i="17"/>
  <c r="R143" i="17"/>
  <c r="S143" i="17" s="1"/>
  <c r="R385" i="17"/>
  <c r="S385" i="17" s="1"/>
  <c r="Y385" i="17"/>
  <c r="Q451" i="17"/>
  <c r="U451" i="17" s="1"/>
  <c r="X451" i="17"/>
  <c r="Q276" i="17"/>
  <c r="U276" i="17" s="1"/>
  <c r="X276" i="17"/>
  <c r="Q342" i="17"/>
  <c r="U342" i="17" s="1"/>
  <c r="X342" i="17"/>
  <c r="Y533" i="17"/>
  <c r="R533" i="17"/>
  <c r="S533" i="17" s="1"/>
  <c r="R530" i="17"/>
  <c r="S530" i="17" s="1"/>
  <c r="Y530" i="17"/>
  <c r="Q305" i="17"/>
  <c r="U305" i="17" s="1"/>
  <c r="X305" i="17"/>
  <c r="Q328" i="17"/>
  <c r="U328" i="17" s="1"/>
  <c r="X328" i="17"/>
  <c r="Y64" i="17"/>
  <c r="R64" i="17"/>
  <c r="S64" i="17" s="1"/>
  <c r="R148" i="17"/>
  <c r="S148" i="17" s="1"/>
  <c r="Y148" i="17"/>
  <c r="R510" i="17"/>
  <c r="S510" i="17" s="1"/>
  <c r="Y510" i="17"/>
  <c r="X245" i="17"/>
  <c r="Q245" i="17"/>
  <c r="U245" i="17" s="1"/>
  <c r="X486" i="17"/>
  <c r="Q486" i="17"/>
  <c r="U486" i="17" s="1"/>
  <c r="Q556" i="17"/>
  <c r="U556" i="17" s="1"/>
  <c r="X556" i="17"/>
  <c r="Q519" i="17"/>
  <c r="U519" i="17" s="1"/>
  <c r="X519" i="17"/>
  <c r="X273" i="17"/>
  <c r="Q273" i="17"/>
  <c r="U273" i="17" s="1"/>
  <c r="Y336" i="17"/>
  <c r="R336" i="17"/>
  <c r="S336" i="17" s="1"/>
  <c r="R476" i="17"/>
  <c r="S476" i="17" s="1"/>
  <c r="Y476" i="17"/>
  <c r="Y626" i="17"/>
  <c r="R626" i="17"/>
  <c r="S626" i="17" s="1"/>
  <c r="R588" i="17"/>
  <c r="S588" i="17" s="1"/>
  <c r="Y588" i="17"/>
  <c r="R534" i="17"/>
  <c r="S534" i="17" s="1"/>
  <c r="Y534" i="17"/>
  <c r="Q510" i="17"/>
  <c r="U510" i="17" s="1"/>
  <c r="X510" i="17"/>
  <c r="Q382" i="17"/>
  <c r="U382" i="17" s="1"/>
  <c r="X382" i="17"/>
  <c r="R356" i="17"/>
  <c r="S356" i="17" s="1"/>
  <c r="Y356" i="17"/>
  <c r="Q228" i="17"/>
  <c r="U228" i="17" s="1"/>
  <c r="X228" i="17"/>
  <c r="Y478" i="17"/>
  <c r="R478" i="17"/>
  <c r="S478" i="17" s="1"/>
  <c r="Q170" i="17"/>
  <c r="U170" i="17" s="1"/>
  <c r="X170" i="17"/>
  <c r="R395" i="17"/>
  <c r="S395" i="17" s="1"/>
  <c r="Y395" i="17"/>
  <c r="Q547" i="17"/>
  <c r="U547" i="17" s="1"/>
  <c r="X547" i="17"/>
  <c r="R465" i="17"/>
  <c r="S465" i="17" s="1"/>
  <c r="Y465" i="17"/>
  <c r="Q106" i="17"/>
  <c r="U106" i="17" s="1"/>
  <c r="X106" i="17"/>
  <c r="Y593" i="17"/>
  <c r="R593" i="17"/>
  <c r="S593" i="17" s="1"/>
  <c r="R326" i="17"/>
  <c r="S326" i="17" s="1"/>
  <c r="Y326" i="17"/>
  <c r="Q176" i="17"/>
  <c r="U176" i="17" s="1"/>
  <c r="X176" i="17"/>
  <c r="R584" i="17"/>
  <c r="S584" i="17" s="1"/>
  <c r="Y584" i="17"/>
  <c r="Q296" i="17"/>
  <c r="U296" i="17" s="1"/>
  <c r="X296" i="17"/>
  <c r="X444" i="17"/>
  <c r="Q444" i="17"/>
  <c r="U444" i="17" s="1"/>
  <c r="X511" i="17"/>
  <c r="Q511" i="17"/>
  <c r="U511" i="17" s="1"/>
  <c r="R600" i="17"/>
  <c r="S600" i="17" s="1"/>
  <c r="Y600" i="17"/>
  <c r="R106" i="17"/>
  <c r="S106" i="17" s="1"/>
  <c r="Y106" i="17"/>
  <c r="Q54" i="17"/>
  <c r="U54" i="17" s="1"/>
  <c r="X54" i="17"/>
  <c r="Q61" i="17"/>
  <c r="U61" i="17" s="1"/>
  <c r="X61" i="17"/>
  <c r="Y447" i="17"/>
  <c r="R447" i="17"/>
  <c r="S447" i="17" s="1"/>
  <c r="X376" i="17"/>
  <c r="Q376" i="17"/>
  <c r="U376" i="17" s="1"/>
  <c r="X504" i="17"/>
  <c r="Q504" i="17"/>
  <c r="U504" i="17" s="1"/>
  <c r="R528" i="17"/>
  <c r="S528" i="17" s="1"/>
  <c r="Y528" i="17"/>
  <c r="Y582" i="17"/>
  <c r="R582" i="17"/>
  <c r="S582" i="17" s="1"/>
  <c r="X285" i="17"/>
  <c r="Q285" i="17"/>
  <c r="U285" i="17" s="1"/>
  <c r="X476" i="17"/>
  <c r="Q476" i="17"/>
  <c r="U476" i="17" s="1"/>
  <c r="Y435" i="17"/>
  <c r="R435" i="17"/>
  <c r="S435" i="17" s="1"/>
  <c r="Q117" i="17"/>
  <c r="AD116" i="17" s="1"/>
  <c r="AE116" i="17" s="1"/>
  <c r="X117" i="17"/>
  <c r="Y569" i="17"/>
  <c r="R569" i="17"/>
  <c r="S569" i="17" s="1"/>
  <c r="Y139" i="17"/>
  <c r="R139" i="17"/>
  <c r="S139" i="17" s="1"/>
  <c r="X60" i="17"/>
  <c r="Q60" i="17"/>
  <c r="U60" i="17" s="1"/>
  <c r="Q85" i="17"/>
  <c r="U85" i="17" s="1"/>
  <c r="X85" i="17"/>
  <c r="R76" i="17"/>
  <c r="S76" i="17" s="1"/>
  <c r="Y76" i="17"/>
  <c r="X17" i="17"/>
  <c r="Q17" i="17"/>
  <c r="U17" i="17" s="1"/>
  <c r="Y100" i="17"/>
  <c r="R100" i="17"/>
  <c r="S100" i="17" s="1"/>
  <c r="Y491" i="17"/>
  <c r="Y30" i="17"/>
  <c r="Y337" i="17"/>
  <c r="Y53" i="17"/>
  <c r="X201" i="17"/>
  <c r="X473" i="17"/>
  <c r="X133" i="17"/>
  <c r="Y27" i="17"/>
  <c r="X111" i="17"/>
  <c r="X309" i="17"/>
  <c r="X184" i="17"/>
  <c r="X83" i="17"/>
  <c r="X32" i="17"/>
  <c r="Y225" i="17"/>
  <c r="Y609" i="17"/>
  <c r="X150" i="17"/>
  <c r="X154" i="17"/>
  <c r="X340" i="17"/>
  <c r="Y412" i="17"/>
  <c r="Y285" i="17"/>
  <c r="Y89" i="17"/>
  <c r="Y598" i="17"/>
  <c r="Y120" i="17"/>
  <c r="Y374" i="17"/>
  <c r="X592" i="17"/>
  <c r="X112" i="17"/>
  <c r="Y320" i="17"/>
  <c r="X319" i="17"/>
  <c r="Y458" i="17"/>
  <c r="X255" i="17"/>
  <c r="Y150" i="17"/>
  <c r="Y241" i="17"/>
  <c r="Y532" i="17"/>
  <c r="Y381" i="17"/>
  <c r="Y322" i="17"/>
  <c r="R402" i="17"/>
  <c r="S402" i="17" s="1"/>
  <c r="R212" i="17"/>
  <c r="S212" i="17" s="1"/>
  <c r="Q210" i="17"/>
  <c r="U210" i="17" s="1"/>
  <c r="Q461" i="17"/>
  <c r="U461" i="17" s="1"/>
  <c r="R375" i="17"/>
  <c r="S375" i="17" s="1"/>
  <c r="R353" i="17"/>
  <c r="S353" i="17" s="1"/>
  <c r="Q216" i="17"/>
  <c r="U216" i="17" s="1"/>
  <c r="Q419" i="17"/>
  <c r="U419" i="17" s="1"/>
  <c r="R91" i="17"/>
  <c r="S91" i="17" s="1"/>
  <c r="Q119" i="17"/>
  <c r="U119" i="17" s="1"/>
  <c r="R290" i="17"/>
  <c r="S290" i="17" s="1"/>
  <c r="R168" i="17"/>
  <c r="S168" i="17" s="1"/>
  <c r="Q247" i="17"/>
  <c r="U247" i="17" s="1"/>
  <c r="R38" i="17"/>
  <c r="S38" i="17" s="1"/>
  <c r="R311" i="17"/>
  <c r="S311" i="17" s="1"/>
  <c r="R562" i="17"/>
  <c r="S562" i="17" s="1"/>
  <c r="R487" i="17"/>
  <c r="S487" i="17" s="1"/>
  <c r="R262" i="17"/>
  <c r="S262" i="17" s="1"/>
  <c r="Q141" i="17"/>
  <c r="U141" i="17" s="1"/>
  <c r="Q449" i="17"/>
  <c r="U449" i="17" s="1"/>
  <c r="X439" i="17"/>
  <c r="Y417" i="17"/>
  <c r="Y522" i="17"/>
  <c r="X302" i="17"/>
  <c r="X492" i="17"/>
  <c r="X291" i="17"/>
  <c r="Y39" i="17"/>
  <c r="Y519" i="17"/>
  <c r="X78" i="17"/>
  <c r="Y596" i="17"/>
  <c r="X533" i="17"/>
  <c r="Y317" i="17"/>
  <c r="Y501" i="17"/>
  <c r="X351" i="17"/>
  <c r="X325" i="17"/>
  <c r="X215" i="17"/>
  <c r="Q602" i="17"/>
  <c r="U602" i="17" s="1"/>
  <c r="Q19" i="17"/>
  <c r="U19" i="17" s="1"/>
  <c r="R287" i="17"/>
  <c r="S287" i="17" s="1"/>
  <c r="R612" i="17"/>
  <c r="S612" i="17" s="1"/>
  <c r="R587" i="17"/>
  <c r="S587" i="17" s="1"/>
  <c r="R293" i="17"/>
  <c r="S293" i="17" s="1"/>
  <c r="Q313" i="17"/>
  <c r="U313" i="17" s="1"/>
  <c r="R558" i="17"/>
  <c r="S558" i="17" s="1"/>
  <c r="R13" i="17"/>
  <c r="S13" i="17" s="1"/>
  <c r="Q127" i="17"/>
  <c r="U127" i="17" s="1"/>
  <c r="R240" i="17"/>
  <c r="S240" i="17" s="1"/>
  <c r="R183" i="17"/>
  <c r="S183" i="17" s="1"/>
  <c r="Q222" i="17"/>
  <c r="U222" i="17" s="1"/>
  <c r="Q339" i="17"/>
  <c r="U339" i="17" s="1"/>
  <c r="R554" i="17"/>
  <c r="S554" i="17" s="1"/>
  <c r="Q377" i="17"/>
  <c r="U377" i="17" s="1"/>
  <c r="Q611" i="17"/>
  <c r="U611" i="17" s="1"/>
  <c r="R122" i="17"/>
  <c r="S122" i="17" s="1"/>
  <c r="Q365" i="17"/>
  <c r="U365" i="17" s="1"/>
  <c r="Q257" i="17"/>
  <c r="U257" i="17" s="1"/>
  <c r="Y272" i="17"/>
  <c r="X491" i="17"/>
  <c r="Y523" i="17"/>
  <c r="X329" i="17"/>
  <c r="X418" i="17"/>
  <c r="Y603" i="17"/>
  <c r="Y499" i="17"/>
  <c r="Y545" i="17"/>
  <c r="Y439" i="17"/>
  <c r="Y389" i="17"/>
  <c r="X18" i="17"/>
  <c r="X374" i="17"/>
  <c r="Y157" i="17"/>
  <c r="Y66" i="17"/>
  <c r="X392" i="17"/>
  <c r="Y261" i="17"/>
  <c r="X230" i="17"/>
  <c r="X426" i="17"/>
  <c r="R378" i="17"/>
  <c r="S378" i="17" s="1"/>
  <c r="R142" i="17"/>
  <c r="S142" i="17" s="1"/>
  <c r="R129" i="17"/>
  <c r="S129" i="17" s="1"/>
  <c r="Q550" i="17"/>
  <c r="U550" i="17" s="1"/>
  <c r="R149" i="17"/>
  <c r="S149" i="17" s="1"/>
  <c r="R260" i="17"/>
  <c r="S260" i="17" s="1"/>
  <c r="R288" i="17"/>
  <c r="S288" i="17" s="1"/>
  <c r="R111" i="17"/>
  <c r="S111" i="17" s="1"/>
  <c r="Q269" i="17"/>
  <c r="U269" i="17" s="1"/>
  <c r="R16" i="17"/>
  <c r="S16" i="17" s="1"/>
  <c r="Q109" i="17"/>
  <c r="U109" i="17" s="1"/>
  <c r="Q425" i="17"/>
  <c r="U425" i="17" s="1"/>
  <c r="Y623" i="17"/>
  <c r="X327" i="17"/>
  <c r="Y436" i="17"/>
  <c r="Y601" i="17"/>
  <c r="Y228" i="17"/>
  <c r="X21" i="17"/>
  <c r="X47" i="17"/>
  <c r="X595" i="17"/>
  <c r="X408" i="17"/>
  <c r="Y107" i="17"/>
  <c r="Y43" i="17"/>
  <c r="Y166" i="17"/>
  <c r="Y451" i="17"/>
  <c r="Y578" i="17"/>
  <c r="X250" i="17"/>
  <c r="Y316" i="17"/>
  <c r="X101" i="17"/>
  <c r="X42" i="17"/>
  <c r="X175" i="17"/>
  <c r="Y454" i="17"/>
  <c r="Y151" i="17"/>
  <c r="X411" i="17"/>
  <c r="X91" i="17"/>
  <c r="X531" i="17"/>
  <c r="X41" i="17"/>
  <c r="X513" i="17"/>
  <c r="X271" i="17"/>
  <c r="X548" i="17"/>
  <c r="X362" i="17"/>
  <c r="Y382" i="17"/>
  <c r="Y551" i="17"/>
  <c r="Y155" i="17"/>
  <c r="Y421" i="17"/>
  <c r="Q44" i="17"/>
  <c r="U44" i="17" s="1"/>
  <c r="R192" i="17"/>
  <c r="S192" i="17" s="1"/>
  <c r="R563" i="17"/>
  <c r="S563" i="17" s="1"/>
  <c r="R426" i="17"/>
  <c r="S426" i="17" s="1"/>
  <c r="R174" i="17"/>
  <c r="S174" i="17" s="1"/>
  <c r="Q181" i="17"/>
  <c r="U181" i="17" s="1"/>
  <c r="Q467" i="17"/>
  <c r="U467" i="17" s="1"/>
  <c r="Q55" i="17"/>
  <c r="U55" i="17" s="1"/>
  <c r="Q65" i="17"/>
  <c r="U65" i="17" s="1"/>
  <c r="Q525" i="17"/>
  <c r="U525" i="17" s="1"/>
  <c r="Q336" i="17"/>
  <c r="U336" i="17" s="1"/>
  <c r="Y46" i="17"/>
  <c r="Y259" i="17"/>
  <c r="X537" i="17"/>
  <c r="Y56" i="17"/>
  <c r="X427" i="17"/>
  <c r="Y182" i="17"/>
  <c r="Y310" i="17"/>
  <c r="Y279" i="17"/>
  <c r="X163" i="17"/>
  <c r="X153" i="17"/>
  <c r="Y67" i="17"/>
  <c r="X369" i="17"/>
  <c r="X261" i="17"/>
  <c r="Y171" i="17"/>
  <c r="Y329" i="17"/>
  <c r="Y457" i="17"/>
  <c r="Y332" i="17"/>
  <c r="X363" i="17"/>
  <c r="Y77" i="17"/>
  <c r="X460" i="17"/>
  <c r="X214" i="17"/>
  <c r="X591" i="17"/>
  <c r="X26" i="17"/>
  <c r="Y87" i="17"/>
  <c r="X469" i="17"/>
  <c r="X164" i="17"/>
  <c r="X292" i="17"/>
  <c r="Y152" i="17"/>
  <c r="X189" i="17"/>
  <c r="Y370" i="17"/>
  <c r="X286" i="17"/>
  <c r="Y471" i="17"/>
  <c r="X605" i="17"/>
  <c r="X577" i="17"/>
  <c r="X574" i="17"/>
  <c r="X307" i="17"/>
  <c r="Y406" i="17"/>
  <c r="Y367" i="17"/>
  <c r="X471" i="17"/>
  <c r="X566" i="17"/>
  <c r="X368" i="17"/>
  <c r="AB627" i="17"/>
  <c r="R627" i="17"/>
  <c r="S627" i="17" s="1"/>
  <c r="AA627" i="17"/>
  <c r="AD468" i="17"/>
  <c r="AE468" i="17" s="1"/>
  <c r="U469" i="17"/>
  <c r="U391" i="17"/>
  <c r="AD21" i="17"/>
  <c r="AE21" i="17" s="1"/>
  <c r="U22" i="17"/>
  <c r="AD613" i="17"/>
  <c r="AE613" i="17" s="1"/>
  <c r="U613" i="17"/>
  <c r="U18" i="17"/>
  <c r="U110" i="17"/>
  <c r="AD237" i="17"/>
  <c r="AE237" i="17" s="1"/>
  <c r="U238" i="17"/>
  <c r="AD584" i="17"/>
  <c r="U584" i="17"/>
  <c r="U487" i="17"/>
  <c r="X625" i="17"/>
  <c r="AD422" i="17"/>
  <c r="AE422" i="17" s="1"/>
  <c r="AD437" i="17"/>
  <c r="AE437" i="17" s="1"/>
  <c r="AD68" i="17"/>
  <c r="AE68" i="17" s="1"/>
  <c r="AD385" i="17"/>
  <c r="AD400" i="17"/>
  <c r="AD333" i="17"/>
  <c r="AE333" i="17" s="1"/>
  <c r="AD490" i="17"/>
  <c r="AE490" i="17" s="1"/>
  <c r="AD383" i="17"/>
  <c r="AE383" i="17" s="1"/>
  <c r="AD151" i="17"/>
  <c r="AE151" i="17" s="1"/>
  <c r="R624" i="17"/>
  <c r="S624" i="17" s="1"/>
  <c r="AA624" i="17"/>
  <c r="E634" i="17" s="1"/>
  <c r="R625" i="17"/>
  <c r="S625" i="17" s="1"/>
  <c r="AA625" i="17"/>
  <c r="E635" i="17" s="1"/>
  <c r="AD73" i="17"/>
  <c r="AE73" i="17" s="1"/>
  <c r="AD111" i="17"/>
  <c r="AE111" i="17" s="1"/>
  <c r="AD298" i="17"/>
  <c r="AE298" i="17" s="1"/>
  <c r="Q627" i="17"/>
  <c r="AB624" i="17"/>
  <c r="Q624" i="17"/>
  <c r="D634" i="17" s="1"/>
  <c r="Q625" i="17"/>
  <c r="D635" i="17" s="1"/>
  <c r="AD477" i="17"/>
  <c r="AD513" i="17"/>
  <c r="AE513" i="17" s="1"/>
  <c r="AD535" i="17"/>
  <c r="AD239" i="17"/>
  <c r="AE239" i="17" s="1"/>
  <c r="AD407" i="17"/>
  <c r="AE407" i="17" s="1"/>
  <c r="AD112" i="17"/>
  <c r="AE112" i="17" s="1"/>
  <c r="AD465" i="17"/>
  <c r="AD208" i="17"/>
  <c r="AE208" i="17" s="1"/>
  <c r="AD379" i="17"/>
  <c r="AE379" i="17" s="1"/>
  <c r="AD560" i="17"/>
  <c r="AE560" i="17" s="1"/>
  <c r="AD583" i="17"/>
  <c r="AE583" i="17" s="1"/>
  <c r="AD594" i="17"/>
  <c r="AE594" i="17" s="1"/>
  <c r="AD591" i="17"/>
  <c r="AD183" i="17"/>
  <c r="AE183" i="17" s="1"/>
  <c r="AD577" i="17"/>
  <c r="AE577" i="17" s="1"/>
  <c r="AD396" i="17"/>
  <c r="AE396" i="17" s="1"/>
  <c r="AD182" i="17"/>
  <c r="AE182" i="17" s="1"/>
  <c r="AD77" i="17"/>
  <c r="AE77" i="17" s="1"/>
  <c r="AD91" i="17"/>
  <c r="AE91" i="17" s="1"/>
  <c r="AD367" i="17"/>
  <c r="AE367" i="17" s="1"/>
  <c r="AD220" i="17"/>
  <c r="AE220" i="17" s="1"/>
  <c r="AD150" i="17"/>
  <c r="AE150" i="17" s="1"/>
  <c r="AD41" i="17"/>
  <c r="AE41" i="17" s="1"/>
  <c r="AD384" i="17"/>
  <c r="AE384" i="17" s="1"/>
  <c r="AD98" i="17"/>
  <c r="AE98" i="17" s="1"/>
  <c r="AD306" i="17"/>
  <c r="AE306" i="17" s="1"/>
  <c r="AD491" i="17"/>
  <c r="AE491" i="17" s="1"/>
  <c r="AD361" i="17"/>
  <c r="AE361" i="17" s="1"/>
  <c r="AD417" i="17"/>
  <c r="AE417" i="17" s="1"/>
  <c r="AD343" i="17"/>
  <c r="AE343" i="17" s="1"/>
  <c r="AD40" i="17"/>
  <c r="AE40" i="17" s="1"/>
  <c r="AD536" i="17"/>
  <c r="AE536" i="17" s="1"/>
  <c r="AD230" i="17"/>
  <c r="AE230" i="17" s="1"/>
  <c r="AD416" i="17"/>
  <c r="AD311" i="17"/>
  <c r="AE311" i="17" s="1"/>
  <c r="AD171" i="17"/>
  <c r="AE171" i="17" s="1"/>
  <c r="AD271" i="17"/>
  <c r="AE271" i="17" s="1"/>
  <c r="AD363" i="17"/>
  <c r="AE363" i="17" s="1"/>
  <c r="AD604" i="17"/>
  <c r="AE604" i="17" s="1"/>
  <c r="AD110" i="17"/>
  <c r="AE110" i="17" s="1"/>
  <c r="AD386" i="17"/>
  <c r="AE386" i="17" s="1"/>
  <c r="AD426" i="17"/>
  <c r="AD434" i="17"/>
  <c r="AE434" i="17" s="1"/>
  <c r="AD561" i="17"/>
  <c r="AE561" i="17" s="1"/>
  <c r="AD214" i="17"/>
  <c r="AE214" i="17" s="1"/>
  <c r="AD153" i="17"/>
  <c r="AE153" i="17" s="1"/>
  <c r="AD282" i="17"/>
  <c r="AE282" i="17" s="1"/>
  <c r="AD603" i="17"/>
  <c r="AE603" i="17" s="1"/>
  <c r="AD252" i="17"/>
  <c r="AE252" i="17" s="1"/>
  <c r="AD163" i="17"/>
  <c r="AE163" i="17" s="1"/>
  <c r="AD207" i="17"/>
  <c r="AE207" i="17" s="1"/>
  <c r="AD39" i="17"/>
  <c r="AE39" i="17" s="1"/>
  <c r="AD78" i="17"/>
  <c r="AE78" i="17" s="1"/>
  <c r="AD373" i="17"/>
  <c r="AE373" i="17" s="1"/>
  <c r="AD238" i="17"/>
  <c r="AE238" i="17" s="1"/>
  <c r="AD438" i="17"/>
  <c r="AE438" i="17" s="1"/>
  <c r="AD406" i="17"/>
  <c r="AE406" i="17" s="1"/>
  <c r="AD188" i="17"/>
  <c r="AE188" i="17" s="1"/>
  <c r="AD134" i="17"/>
  <c r="AE134" i="17" s="1"/>
  <c r="AD350" i="17"/>
  <c r="AE350" i="17" s="1"/>
  <c r="AD578" i="17"/>
  <c r="AE578" i="17" s="1"/>
  <c r="AD579" i="17"/>
  <c r="AD423" i="17"/>
  <c r="AE423" i="17" s="1"/>
  <c r="AD206" i="17"/>
  <c r="AE206" i="17" s="1"/>
  <c r="AD70" i="17"/>
  <c r="AE70" i="17" s="1"/>
  <c r="AD74" i="17"/>
  <c r="AE74" i="17" s="1"/>
  <c r="AD42" i="17"/>
  <c r="AE42" i="17" s="1"/>
  <c r="AD362" i="17"/>
  <c r="AE362" i="17" s="1"/>
  <c r="AD260" i="17"/>
  <c r="AE260" i="17" s="1"/>
  <c r="Y624" i="17"/>
  <c r="X624" i="17"/>
  <c r="Y625" i="17"/>
  <c r="AD391" i="17"/>
  <c r="AE391" i="17" s="1"/>
  <c r="AD291" i="17"/>
  <c r="AE291" i="17" s="1"/>
  <c r="AD388" i="17"/>
  <c r="AE388" i="17" s="1"/>
  <c r="AD38" i="17"/>
  <c r="AE38" i="17" s="1"/>
  <c r="AD318" i="17"/>
  <c r="AD133" i="17"/>
  <c r="AE133" i="17" s="1"/>
  <c r="AD279" i="17"/>
  <c r="AE279" i="17" s="1"/>
  <c r="AD401" i="17"/>
  <c r="AD317" i="17"/>
  <c r="AE317" i="17" s="1"/>
  <c r="AD229" i="17"/>
  <c r="AE229" i="17" s="1"/>
  <c r="AD152" i="17"/>
  <c r="AE152" i="17" s="1"/>
  <c r="AD356" i="17"/>
  <c r="AE356" i="17" s="1"/>
  <c r="AD69" i="17"/>
  <c r="AE69" i="17" s="1"/>
  <c r="AD387" i="17"/>
  <c r="AD421" i="17"/>
  <c r="AE421" i="17" s="1"/>
  <c r="AD368" i="17"/>
  <c r="AE368" i="17" s="1"/>
  <c r="AE477" i="17" l="1"/>
  <c r="AE465" i="17"/>
  <c r="AE591" i="17"/>
  <c r="AE584" i="17"/>
  <c r="AE385" i="17"/>
  <c r="AE579" i="17"/>
  <c r="AE318" i="17"/>
  <c r="AD537" i="17"/>
  <c r="AE537" i="17" s="1"/>
  <c r="U86" i="17"/>
  <c r="AD344" i="17"/>
  <c r="AE344" i="17" s="1"/>
  <c r="AE400" i="17"/>
  <c r="AE401" i="17"/>
  <c r="U567" i="25"/>
  <c r="AD566" i="25"/>
  <c r="AE566" i="25" s="1"/>
  <c r="U570" i="25"/>
  <c r="AD569" i="25"/>
  <c r="AE569" i="25" s="1"/>
  <c r="AD521" i="25"/>
  <c r="AE521" i="25" s="1"/>
  <c r="U522" i="25"/>
  <c r="U503" i="25"/>
  <c r="AD502" i="25"/>
  <c r="AE502" i="25" s="1"/>
  <c r="U408" i="25"/>
  <c r="AD407" i="25"/>
  <c r="AE407" i="25" s="1"/>
  <c r="U391" i="25"/>
  <c r="AD390" i="25"/>
  <c r="AE390" i="25" s="1"/>
  <c r="U406" i="25"/>
  <c r="AD405" i="25"/>
  <c r="AE405" i="25" s="1"/>
  <c r="U373" i="25"/>
  <c r="AD372" i="25"/>
  <c r="AE372" i="25" s="1"/>
  <c r="U285" i="25"/>
  <c r="AD284" i="25"/>
  <c r="AE284" i="25" s="1"/>
  <c r="U234" i="25"/>
  <c r="AD233" i="25"/>
  <c r="AE233" i="25" s="1"/>
  <c r="U259" i="25"/>
  <c r="AD258" i="25"/>
  <c r="AE258" i="25" s="1"/>
  <c r="U218" i="25"/>
  <c r="AD217" i="25"/>
  <c r="AE217" i="25" s="1"/>
  <c r="U186" i="25"/>
  <c r="AD185" i="25"/>
  <c r="AE185" i="25" s="1"/>
  <c r="U154" i="25"/>
  <c r="AD153" i="25"/>
  <c r="AE153" i="25" s="1"/>
  <c r="U171" i="25"/>
  <c r="AD170" i="25"/>
  <c r="AE170" i="25" s="1"/>
  <c r="U88" i="25"/>
  <c r="AD87" i="25"/>
  <c r="AE87" i="25" s="1"/>
  <c r="U101" i="25"/>
  <c r="AD100" i="25"/>
  <c r="AE100" i="25" s="1"/>
  <c r="U197" i="25"/>
  <c r="AD196" i="25"/>
  <c r="AE196" i="25" s="1"/>
  <c r="U32" i="25"/>
  <c r="AD31" i="25"/>
  <c r="AE31" i="25" s="1"/>
  <c r="U563" i="25"/>
  <c r="AD562" i="25"/>
  <c r="AE562" i="25" s="1"/>
  <c r="U552" i="25"/>
  <c r="AD551" i="25"/>
  <c r="AE551" i="25" s="1"/>
  <c r="U422" i="25"/>
  <c r="AD421" i="25"/>
  <c r="AE421" i="25" s="1"/>
  <c r="U270" i="25"/>
  <c r="AD269" i="25"/>
  <c r="AE269" i="25" s="1"/>
  <c r="AD229" i="25"/>
  <c r="AE229" i="25" s="1"/>
  <c r="U230" i="25"/>
  <c r="U198" i="25"/>
  <c r="AD197" i="25"/>
  <c r="AE197" i="25" s="1"/>
  <c r="U166" i="25"/>
  <c r="AD165" i="25"/>
  <c r="AE165" i="25" s="1"/>
  <c r="U82" i="25"/>
  <c r="AD81" i="25"/>
  <c r="AE81" i="25" s="1"/>
  <c r="U117" i="25"/>
  <c r="AD116" i="25"/>
  <c r="AE116" i="25" s="1"/>
  <c r="U607" i="25"/>
  <c r="AD606" i="25"/>
  <c r="AE606" i="25" s="1"/>
  <c r="AD580" i="25"/>
  <c r="AE580" i="25" s="1"/>
  <c r="U581" i="25"/>
  <c r="U546" i="25"/>
  <c r="AD545" i="25"/>
  <c r="AE545" i="25" s="1"/>
  <c r="U502" i="25"/>
  <c r="AD501" i="25"/>
  <c r="AE501" i="25" s="1"/>
  <c r="U470" i="25"/>
  <c r="AD469" i="25"/>
  <c r="AE469" i="25" s="1"/>
  <c r="AD456" i="25"/>
  <c r="AE456" i="25" s="1"/>
  <c r="U457" i="25"/>
  <c r="U507" i="25"/>
  <c r="AD506" i="25"/>
  <c r="AE506" i="25" s="1"/>
  <c r="U399" i="25"/>
  <c r="AD398" i="25"/>
  <c r="AE398" i="25" s="1"/>
  <c r="U363" i="25"/>
  <c r="AD362" i="25"/>
  <c r="AE362" i="25" s="1"/>
  <c r="U350" i="25"/>
  <c r="AD349" i="25"/>
  <c r="AE349" i="25" s="1"/>
  <c r="AD268" i="25"/>
  <c r="AE268" i="25" s="1"/>
  <c r="U269" i="25"/>
  <c r="U233" i="25"/>
  <c r="AD232" i="25"/>
  <c r="AE232" i="25" s="1"/>
  <c r="U296" i="25"/>
  <c r="AD295" i="25"/>
  <c r="AE295" i="25" s="1"/>
  <c r="U183" i="25"/>
  <c r="AD182" i="25"/>
  <c r="AE182" i="25" s="1"/>
  <c r="U151" i="25"/>
  <c r="AD150" i="25"/>
  <c r="AE150" i="25" s="1"/>
  <c r="U96" i="25"/>
  <c r="AD95" i="25"/>
  <c r="AE95" i="25" s="1"/>
  <c r="U109" i="25"/>
  <c r="AD108" i="25"/>
  <c r="AE108" i="25" s="1"/>
  <c r="AD67" i="25"/>
  <c r="AE67" i="25" s="1"/>
  <c r="U68" i="25"/>
  <c r="U129" i="25"/>
  <c r="AD128" i="25"/>
  <c r="AE128" i="25" s="1"/>
  <c r="U119" i="25"/>
  <c r="AD118" i="25"/>
  <c r="AE118" i="25" s="1"/>
  <c r="U612" i="25"/>
  <c r="AD611" i="25"/>
  <c r="AE611" i="25" s="1"/>
  <c r="U370" i="25"/>
  <c r="AD369" i="25"/>
  <c r="AE369" i="25" s="1"/>
  <c r="U142" i="25"/>
  <c r="AD141" i="25"/>
  <c r="AE141" i="25" s="1"/>
  <c r="U596" i="25"/>
  <c r="AD595" i="25"/>
  <c r="AE595" i="25" s="1"/>
  <c r="AD576" i="25"/>
  <c r="AE576" i="25" s="1"/>
  <c r="U577" i="25"/>
  <c r="U526" i="25"/>
  <c r="AD525" i="25"/>
  <c r="AE525" i="25" s="1"/>
  <c r="U541" i="25"/>
  <c r="AD540" i="25"/>
  <c r="AE540" i="25" s="1"/>
  <c r="U498" i="25"/>
  <c r="AD497" i="25"/>
  <c r="AE497" i="25" s="1"/>
  <c r="U482" i="25"/>
  <c r="AD481" i="25"/>
  <c r="AE481" i="25" s="1"/>
  <c r="U437" i="25"/>
  <c r="AD436" i="25"/>
  <c r="AE436" i="25" s="1"/>
  <c r="U446" i="25"/>
  <c r="AD445" i="25"/>
  <c r="AE445" i="25" s="1"/>
  <c r="U516" i="25"/>
  <c r="AD515" i="25"/>
  <c r="AE515" i="25" s="1"/>
  <c r="U252" i="25"/>
  <c r="AD251" i="25"/>
  <c r="AE251" i="25" s="1"/>
  <c r="U313" i="25"/>
  <c r="AD312" i="25"/>
  <c r="AE312" i="25" s="1"/>
  <c r="AD139" i="25"/>
  <c r="AE139" i="25" s="1"/>
  <c r="U140" i="25"/>
  <c r="U288" i="25"/>
  <c r="AD287" i="25"/>
  <c r="AE287" i="25" s="1"/>
  <c r="AD252" i="25"/>
  <c r="AE252" i="25" s="1"/>
  <c r="U253" i="25"/>
  <c r="U78" i="25"/>
  <c r="AD77" i="25"/>
  <c r="AE77" i="25" s="1"/>
  <c r="U20" i="25"/>
  <c r="AD19" i="25"/>
  <c r="AE19" i="25" s="1"/>
  <c r="AD534" i="25"/>
  <c r="AE534" i="25" s="1"/>
  <c r="U535" i="25"/>
  <c r="U500" i="25"/>
  <c r="AD499" i="25"/>
  <c r="AE499" i="25" s="1"/>
  <c r="U361" i="25"/>
  <c r="AD360" i="25"/>
  <c r="AE360" i="25" s="1"/>
  <c r="AD261" i="25"/>
  <c r="AE261" i="25" s="1"/>
  <c r="U262" i="25"/>
  <c r="U150" i="25"/>
  <c r="AD149" i="25"/>
  <c r="AE149" i="25" s="1"/>
  <c r="AD607" i="25"/>
  <c r="AE607" i="25" s="1"/>
  <c r="U608" i="25"/>
  <c r="U595" i="25"/>
  <c r="AD594" i="25"/>
  <c r="AE594" i="25" s="1"/>
  <c r="U591" i="25"/>
  <c r="AD590" i="25"/>
  <c r="AE590" i="25" s="1"/>
  <c r="AD555" i="25"/>
  <c r="AE555" i="25" s="1"/>
  <c r="U556" i="25"/>
  <c r="U540" i="25"/>
  <c r="AD539" i="25"/>
  <c r="AE539" i="25" s="1"/>
  <c r="U566" i="25"/>
  <c r="AD565" i="25"/>
  <c r="AE565" i="25" s="1"/>
  <c r="U524" i="25"/>
  <c r="AD523" i="25"/>
  <c r="AE523" i="25" s="1"/>
  <c r="U513" i="25"/>
  <c r="AD512" i="25"/>
  <c r="AE512" i="25" s="1"/>
  <c r="U512" i="25"/>
  <c r="AD511" i="25"/>
  <c r="AE511" i="25" s="1"/>
  <c r="U496" i="25"/>
  <c r="AD495" i="25"/>
  <c r="AE495" i="25" s="1"/>
  <c r="AD479" i="25"/>
  <c r="AE479" i="25" s="1"/>
  <c r="U480" i="25"/>
  <c r="U467" i="25"/>
  <c r="AD466" i="25"/>
  <c r="AE466" i="25" s="1"/>
  <c r="U451" i="25"/>
  <c r="AD450" i="25"/>
  <c r="AE450" i="25" s="1"/>
  <c r="U435" i="25"/>
  <c r="AD434" i="25"/>
  <c r="AE434" i="25" s="1"/>
  <c r="U460" i="25"/>
  <c r="AD459" i="25"/>
  <c r="AE459" i="25" s="1"/>
  <c r="U444" i="25"/>
  <c r="AD443" i="25"/>
  <c r="AE443" i="25" s="1"/>
  <c r="AD365" i="25"/>
  <c r="AE365" i="25" s="1"/>
  <c r="U366" i="25"/>
  <c r="U392" i="25"/>
  <c r="AD391" i="25"/>
  <c r="AE391" i="25" s="1"/>
  <c r="U386" i="25"/>
  <c r="AD385" i="25"/>
  <c r="AE385" i="25" s="1"/>
  <c r="U308" i="25"/>
  <c r="AD307" i="25"/>
  <c r="AE307" i="25" s="1"/>
  <c r="U299" i="25"/>
  <c r="AD298" i="25"/>
  <c r="AE298" i="25" s="1"/>
  <c r="U505" i="25"/>
  <c r="AD504" i="25"/>
  <c r="AE504" i="25" s="1"/>
  <c r="U360" i="25"/>
  <c r="AD359" i="25"/>
  <c r="AE359" i="25" s="1"/>
  <c r="U344" i="25"/>
  <c r="AD343" i="25"/>
  <c r="AE343" i="25" s="1"/>
  <c r="AD325" i="25"/>
  <c r="AE325" i="25" s="1"/>
  <c r="U326" i="25"/>
  <c r="U303" i="25"/>
  <c r="AD302" i="25"/>
  <c r="AE302" i="25" s="1"/>
  <c r="U266" i="25"/>
  <c r="AD265" i="25"/>
  <c r="AE265" i="25" s="1"/>
  <c r="U250" i="25"/>
  <c r="AD249" i="25"/>
  <c r="AE249" i="25" s="1"/>
  <c r="U312" i="25"/>
  <c r="AD311" i="25"/>
  <c r="AE311" i="25" s="1"/>
  <c r="U202" i="25"/>
  <c r="AD201" i="25"/>
  <c r="AE201" i="25" s="1"/>
  <c r="U170" i="25"/>
  <c r="AD169" i="25"/>
  <c r="AE169" i="25" s="1"/>
  <c r="U138" i="25"/>
  <c r="AD137" i="25"/>
  <c r="AE137" i="25" s="1"/>
  <c r="U229" i="25"/>
  <c r="AD228" i="25"/>
  <c r="AE228" i="25" s="1"/>
  <c r="U203" i="25"/>
  <c r="AD202" i="25"/>
  <c r="AE202" i="25" s="1"/>
  <c r="U139" i="25"/>
  <c r="AD138" i="25"/>
  <c r="AE138" i="25" s="1"/>
  <c r="U107" i="25"/>
  <c r="AD106" i="25"/>
  <c r="AE106" i="25" s="1"/>
  <c r="U66" i="25"/>
  <c r="AD65" i="25"/>
  <c r="AE65" i="25" s="1"/>
  <c r="U65" i="25"/>
  <c r="AD64" i="25"/>
  <c r="AE64" i="25" s="1"/>
  <c r="U239" i="25"/>
  <c r="AD238" i="25"/>
  <c r="AE238" i="25" s="1"/>
  <c r="U60" i="25"/>
  <c r="AD59" i="25"/>
  <c r="AE59" i="25" s="1"/>
  <c r="U37" i="25"/>
  <c r="AD36" i="25"/>
  <c r="AE36" i="25" s="1"/>
  <c r="U42" i="25"/>
  <c r="AD41" i="25"/>
  <c r="AE41" i="25" s="1"/>
  <c r="U17" i="25"/>
  <c r="AD16" i="25"/>
  <c r="AE16" i="25" s="1"/>
  <c r="U87" i="25"/>
  <c r="AD86" i="25"/>
  <c r="AE86" i="25" s="1"/>
  <c r="U185" i="25"/>
  <c r="AD184" i="25"/>
  <c r="AE184" i="25" s="1"/>
  <c r="U590" i="25"/>
  <c r="AD589" i="25"/>
  <c r="AE589" i="25" s="1"/>
  <c r="U587" i="25"/>
  <c r="AD586" i="25"/>
  <c r="AE586" i="25" s="1"/>
  <c r="AD535" i="25"/>
  <c r="AE535" i="25" s="1"/>
  <c r="U536" i="25"/>
  <c r="U564" i="25"/>
  <c r="AD563" i="25"/>
  <c r="AE563" i="25" s="1"/>
  <c r="U508" i="25"/>
  <c r="AD507" i="25"/>
  <c r="AE507" i="25" s="1"/>
  <c r="U537" i="25"/>
  <c r="AD536" i="25"/>
  <c r="AE536" i="25" s="1"/>
  <c r="AD446" i="25"/>
  <c r="AE446" i="25" s="1"/>
  <c r="U447" i="25"/>
  <c r="U409" i="25"/>
  <c r="AD408" i="25"/>
  <c r="AE408" i="25" s="1"/>
  <c r="U424" i="25"/>
  <c r="AD423" i="25"/>
  <c r="AE423" i="25" s="1"/>
  <c r="U353" i="25"/>
  <c r="AD352" i="25"/>
  <c r="AE352" i="25" s="1"/>
  <c r="U324" i="25"/>
  <c r="AD323" i="25"/>
  <c r="AE323" i="25" s="1"/>
  <c r="U356" i="25"/>
  <c r="AD355" i="25"/>
  <c r="AE355" i="25" s="1"/>
  <c r="U134" i="25"/>
  <c r="AD133" i="25"/>
  <c r="AE133" i="25" s="1"/>
  <c r="U211" i="25"/>
  <c r="AD210" i="25"/>
  <c r="AE210" i="25" s="1"/>
  <c r="U131" i="25"/>
  <c r="AD130" i="25"/>
  <c r="AE130" i="25" s="1"/>
  <c r="U165" i="25"/>
  <c r="AD164" i="25"/>
  <c r="AE164" i="25" s="1"/>
  <c r="U23" i="25"/>
  <c r="AD22" i="25"/>
  <c r="AE22" i="25" s="1"/>
  <c r="U609" i="25"/>
  <c r="AD608" i="25"/>
  <c r="AE608" i="25" s="1"/>
  <c r="U597" i="25"/>
  <c r="AD596" i="25"/>
  <c r="AE596" i="25" s="1"/>
  <c r="U606" i="25"/>
  <c r="AD605" i="25"/>
  <c r="AE605" i="25" s="1"/>
  <c r="U584" i="25"/>
  <c r="AD583" i="25"/>
  <c r="AE583" i="25" s="1"/>
  <c r="U573" i="25"/>
  <c r="AD572" i="25"/>
  <c r="AE572" i="25" s="1"/>
  <c r="U519" i="25"/>
  <c r="AD518" i="25"/>
  <c r="AE518" i="25" s="1"/>
  <c r="U520" i="25"/>
  <c r="AD519" i="25"/>
  <c r="AE519" i="25" s="1"/>
  <c r="U486" i="25"/>
  <c r="AD485" i="25"/>
  <c r="AE485" i="25" s="1"/>
  <c r="U475" i="25"/>
  <c r="AD474" i="25"/>
  <c r="AE474" i="25" s="1"/>
  <c r="AD440" i="25"/>
  <c r="AE440" i="25" s="1"/>
  <c r="U441" i="25"/>
  <c r="U450" i="25"/>
  <c r="AD449" i="25"/>
  <c r="AE449" i="25" s="1"/>
  <c r="U434" i="25"/>
  <c r="AD433" i="25"/>
  <c r="AE433" i="25" s="1"/>
  <c r="U401" i="25"/>
  <c r="AD400" i="25"/>
  <c r="AE400" i="25" s="1"/>
  <c r="U416" i="25"/>
  <c r="AD415" i="25"/>
  <c r="AE415" i="25" s="1"/>
  <c r="AD371" i="25"/>
  <c r="AE371" i="25" s="1"/>
  <c r="U372" i="25"/>
  <c r="U377" i="25"/>
  <c r="AD376" i="25"/>
  <c r="AE376" i="25" s="1"/>
  <c r="U347" i="25"/>
  <c r="AD346" i="25"/>
  <c r="AE346" i="25" s="1"/>
  <c r="U316" i="25"/>
  <c r="AD315" i="25"/>
  <c r="AE315" i="25" s="1"/>
  <c r="U293" i="25"/>
  <c r="AD292" i="25"/>
  <c r="AE292" i="25" s="1"/>
  <c r="U307" i="25"/>
  <c r="AD306" i="25"/>
  <c r="AE306" i="25" s="1"/>
  <c r="AD333" i="25"/>
  <c r="AE333" i="25" s="1"/>
  <c r="U334" i="25"/>
  <c r="U272" i="25"/>
  <c r="AD271" i="25"/>
  <c r="AE271" i="25" s="1"/>
  <c r="AD255" i="25"/>
  <c r="AE255" i="25" s="1"/>
  <c r="U256" i="25"/>
  <c r="AD239" i="25"/>
  <c r="AE239" i="25" s="1"/>
  <c r="U240" i="25"/>
  <c r="U224" i="25"/>
  <c r="AD223" i="25"/>
  <c r="AE223" i="25" s="1"/>
  <c r="AD207" i="25"/>
  <c r="AE207" i="25" s="1"/>
  <c r="U208" i="25"/>
  <c r="AD191" i="25"/>
  <c r="AE191" i="25" s="1"/>
  <c r="U192" i="25"/>
  <c r="AD159" i="25"/>
  <c r="AE159" i="25" s="1"/>
  <c r="U160" i="25"/>
  <c r="AD143" i="25"/>
  <c r="AE143" i="25" s="1"/>
  <c r="U144" i="25"/>
  <c r="U305" i="25"/>
  <c r="AD304" i="25"/>
  <c r="AE304" i="25" s="1"/>
  <c r="U74" i="25"/>
  <c r="AD73" i="25"/>
  <c r="AE73" i="25" s="1"/>
  <c r="U35" i="25"/>
  <c r="AD34" i="25"/>
  <c r="AE34" i="25" s="1"/>
  <c r="U45" i="25"/>
  <c r="AD44" i="25"/>
  <c r="AE44" i="25" s="1"/>
  <c r="U51" i="25"/>
  <c r="AD50" i="25"/>
  <c r="AE50" i="25" s="1"/>
  <c r="AD25" i="25"/>
  <c r="AE25" i="25" s="1"/>
  <c r="U26" i="25"/>
  <c r="U137" i="25"/>
  <c r="AD136" i="25"/>
  <c r="AE136" i="25" s="1"/>
  <c r="U247" i="25"/>
  <c r="AD246" i="25"/>
  <c r="AE246" i="25" s="1"/>
  <c r="U15" i="25"/>
  <c r="AD14" i="25"/>
  <c r="AE14" i="25" s="1"/>
  <c r="U141" i="25"/>
  <c r="AD140" i="25"/>
  <c r="AE140" i="25" s="1"/>
  <c r="U531" i="25"/>
  <c r="AD530" i="25"/>
  <c r="AE530" i="25" s="1"/>
  <c r="U492" i="25"/>
  <c r="AD491" i="25"/>
  <c r="AE491" i="25" s="1"/>
  <c r="AD454" i="25"/>
  <c r="AE454" i="25" s="1"/>
  <c r="U455" i="25"/>
  <c r="U456" i="25"/>
  <c r="AD455" i="25"/>
  <c r="AE455" i="25" s="1"/>
  <c r="U369" i="25"/>
  <c r="AD368" i="25"/>
  <c r="AE368" i="25" s="1"/>
  <c r="U278" i="25"/>
  <c r="AD277" i="25"/>
  <c r="AE277" i="25" s="1"/>
  <c r="AD244" i="25"/>
  <c r="AE244" i="25" s="1"/>
  <c r="U245" i="25"/>
  <c r="U231" i="25"/>
  <c r="AD230" i="25"/>
  <c r="AE230" i="25" s="1"/>
  <c r="U147" i="25"/>
  <c r="AD146" i="25"/>
  <c r="AE146" i="25" s="1"/>
  <c r="U59" i="25"/>
  <c r="AD58" i="25"/>
  <c r="AE58" i="25" s="1"/>
  <c r="U81" i="25"/>
  <c r="AD80" i="25"/>
  <c r="AE80" i="25" s="1"/>
  <c r="AD107" i="25"/>
  <c r="AE107" i="25" s="1"/>
  <c r="U108" i="25"/>
  <c r="U95" i="25"/>
  <c r="AD94" i="25"/>
  <c r="AE94" i="25" s="1"/>
  <c r="U118" i="25"/>
  <c r="AD117" i="25"/>
  <c r="AE117" i="25" s="1"/>
  <c r="U19" i="25"/>
  <c r="AD18" i="25"/>
  <c r="AE18" i="25" s="1"/>
  <c r="U542" i="25"/>
  <c r="AD541" i="25"/>
  <c r="AE541" i="25" s="1"/>
  <c r="U574" i="25"/>
  <c r="AD573" i="25"/>
  <c r="AE573" i="25" s="1"/>
  <c r="AD514" i="25"/>
  <c r="AE514" i="25" s="1"/>
  <c r="U515" i="25"/>
  <c r="U511" i="25"/>
  <c r="AD510" i="25"/>
  <c r="AE510" i="25" s="1"/>
  <c r="U491" i="25"/>
  <c r="AD490" i="25"/>
  <c r="AE490" i="25" s="1"/>
  <c r="U462" i="25"/>
  <c r="AD461" i="25"/>
  <c r="AE461" i="25" s="1"/>
  <c r="U430" i="25"/>
  <c r="AD429" i="25"/>
  <c r="AE429" i="25" s="1"/>
  <c r="U411" i="25"/>
  <c r="AD410" i="25"/>
  <c r="AE410" i="25" s="1"/>
  <c r="U368" i="25"/>
  <c r="AD367" i="25"/>
  <c r="AE367" i="25" s="1"/>
  <c r="U393" i="25"/>
  <c r="AD392" i="25"/>
  <c r="AE392" i="25" s="1"/>
  <c r="U359" i="25"/>
  <c r="AD358" i="25"/>
  <c r="AE358" i="25" s="1"/>
  <c r="U387" i="25"/>
  <c r="AD386" i="25"/>
  <c r="AE386" i="25" s="1"/>
  <c r="U332" i="25"/>
  <c r="AD331" i="25"/>
  <c r="AE331" i="25" s="1"/>
  <c r="U309" i="25"/>
  <c r="AD308" i="25"/>
  <c r="AE308" i="25" s="1"/>
  <c r="U362" i="25"/>
  <c r="AD361" i="25"/>
  <c r="AE361" i="25" s="1"/>
  <c r="U346" i="25"/>
  <c r="AD345" i="25"/>
  <c r="AE345" i="25" s="1"/>
  <c r="U323" i="25"/>
  <c r="AD322" i="25"/>
  <c r="AE322" i="25" s="1"/>
  <c r="U282" i="25"/>
  <c r="AD281" i="25"/>
  <c r="AE281" i="25" s="1"/>
  <c r="U265" i="25"/>
  <c r="AD264" i="25"/>
  <c r="AE264" i="25" s="1"/>
  <c r="U327" i="25"/>
  <c r="AD326" i="25"/>
  <c r="AE326" i="25" s="1"/>
  <c r="U286" i="25"/>
  <c r="AD285" i="25"/>
  <c r="AE285" i="25" s="1"/>
  <c r="U236" i="25"/>
  <c r="AD235" i="25"/>
  <c r="AE235" i="25" s="1"/>
  <c r="U220" i="25"/>
  <c r="AD219" i="25"/>
  <c r="AE219" i="25" s="1"/>
  <c r="AD187" i="25"/>
  <c r="AE187" i="25" s="1"/>
  <c r="U188" i="25"/>
  <c r="AD171" i="25"/>
  <c r="AE171" i="25" s="1"/>
  <c r="U172" i="25"/>
  <c r="AD155" i="25"/>
  <c r="AE155" i="25" s="1"/>
  <c r="U156" i="25"/>
  <c r="AD123" i="25"/>
  <c r="AE123" i="25" s="1"/>
  <c r="U124" i="25"/>
  <c r="U249" i="25"/>
  <c r="AD248" i="25"/>
  <c r="AE248" i="25" s="1"/>
  <c r="U263" i="25"/>
  <c r="AD262" i="25"/>
  <c r="AE262" i="25" s="1"/>
  <c r="U207" i="25"/>
  <c r="AD206" i="25"/>
  <c r="AE206" i="25" s="1"/>
  <c r="U175" i="25"/>
  <c r="AD174" i="25"/>
  <c r="AE174" i="25" s="1"/>
  <c r="U143" i="25"/>
  <c r="AD142" i="25"/>
  <c r="AE142" i="25" s="1"/>
  <c r="U90" i="25"/>
  <c r="AD89" i="25"/>
  <c r="AE89" i="25" s="1"/>
  <c r="U67" i="25"/>
  <c r="AD66" i="25"/>
  <c r="AE66" i="25" s="1"/>
  <c r="U112" i="25"/>
  <c r="AD111" i="25"/>
  <c r="AE111" i="25" s="1"/>
  <c r="U89" i="25"/>
  <c r="AD88" i="25"/>
  <c r="AE88" i="25" s="1"/>
  <c r="U48" i="25"/>
  <c r="AD47" i="25"/>
  <c r="AE47" i="25" s="1"/>
  <c r="AD83" i="25"/>
  <c r="AE83" i="25" s="1"/>
  <c r="U84" i="25"/>
  <c r="U61" i="25"/>
  <c r="AD60" i="25"/>
  <c r="AE60" i="25" s="1"/>
  <c r="U43" i="25"/>
  <c r="AD42" i="25"/>
  <c r="AE42" i="25" s="1"/>
  <c r="U94" i="25"/>
  <c r="AD93" i="25"/>
  <c r="AE93" i="25" s="1"/>
  <c r="U79" i="25"/>
  <c r="AD78" i="25"/>
  <c r="AE78" i="25" s="1"/>
  <c r="U213" i="25"/>
  <c r="AD212" i="25"/>
  <c r="AE212" i="25" s="1"/>
  <c r="U103" i="25"/>
  <c r="AD102" i="25"/>
  <c r="AE102" i="25" s="1"/>
  <c r="U30" i="25"/>
  <c r="AD29" i="25"/>
  <c r="AE29" i="25" s="1"/>
  <c r="U217" i="25"/>
  <c r="AD216" i="25"/>
  <c r="AE216" i="25" s="1"/>
  <c r="U485" i="25"/>
  <c r="AD484" i="25"/>
  <c r="AE484" i="25" s="1"/>
  <c r="U418" i="25"/>
  <c r="AD417" i="25"/>
  <c r="AE417" i="25" s="1"/>
  <c r="U338" i="25"/>
  <c r="AD337" i="25"/>
  <c r="AE337" i="25" s="1"/>
  <c r="U214" i="25"/>
  <c r="AD213" i="25"/>
  <c r="AE213" i="25" s="1"/>
  <c r="U241" i="25"/>
  <c r="AD240" i="25"/>
  <c r="AE240" i="25" s="1"/>
  <c r="U163" i="25"/>
  <c r="AD162" i="25"/>
  <c r="AE162" i="25" s="1"/>
  <c r="U62" i="25"/>
  <c r="AD61" i="25"/>
  <c r="AE61" i="25" s="1"/>
  <c r="U33" i="25"/>
  <c r="AD32" i="25"/>
  <c r="AE32" i="25" s="1"/>
  <c r="U593" i="25"/>
  <c r="AD592" i="25"/>
  <c r="AE592" i="25" s="1"/>
  <c r="AD463" i="25"/>
  <c r="AE463" i="25" s="1"/>
  <c r="U464" i="25"/>
  <c r="U497" i="25"/>
  <c r="AD496" i="25"/>
  <c r="AE496" i="25" s="1"/>
  <c r="U357" i="25"/>
  <c r="AD356" i="25"/>
  <c r="AE356" i="25" s="1"/>
  <c r="U322" i="25"/>
  <c r="AD321" i="25"/>
  <c r="AE321" i="25" s="1"/>
  <c r="U122" i="25"/>
  <c r="AD121" i="25"/>
  <c r="AE121" i="25" s="1"/>
  <c r="U209" i="25"/>
  <c r="AD208" i="25"/>
  <c r="AE208" i="25" s="1"/>
  <c r="U102" i="25"/>
  <c r="AD101" i="25"/>
  <c r="AE101" i="25" s="1"/>
  <c r="U560" i="25"/>
  <c r="AD559" i="25"/>
  <c r="AE559" i="25" s="1"/>
  <c r="U551" i="25"/>
  <c r="AD550" i="25"/>
  <c r="AE550" i="25" s="1"/>
  <c r="U440" i="25"/>
  <c r="AD439" i="25"/>
  <c r="AE439" i="25" s="1"/>
  <c r="U413" i="25"/>
  <c r="AD412" i="25"/>
  <c r="AE412" i="25" s="1"/>
  <c r="U283" i="25"/>
  <c r="AD282" i="25"/>
  <c r="AE282" i="25" s="1"/>
  <c r="U310" i="25"/>
  <c r="AD309" i="25"/>
  <c r="AE309" i="25" s="1"/>
  <c r="U243" i="25"/>
  <c r="AD242" i="25"/>
  <c r="AE242" i="25" s="1"/>
  <c r="AD75" i="25"/>
  <c r="AE75" i="25" s="1"/>
  <c r="U76" i="25"/>
  <c r="U177" i="25"/>
  <c r="AD176" i="25"/>
  <c r="AE176" i="25" s="1"/>
  <c r="U71" i="25"/>
  <c r="AD70" i="25"/>
  <c r="AE70" i="25" s="1"/>
  <c r="AD556" i="25"/>
  <c r="AE556" i="25" s="1"/>
  <c r="U557" i="25"/>
  <c r="AD529" i="25"/>
  <c r="AE529" i="25" s="1"/>
  <c r="U530" i="25"/>
  <c r="U493" i="25"/>
  <c r="AD492" i="25"/>
  <c r="AE492" i="25" s="1"/>
  <c r="U330" i="25"/>
  <c r="AD329" i="25"/>
  <c r="AE329" i="25" s="1"/>
  <c r="U311" i="25"/>
  <c r="AD310" i="25"/>
  <c r="AE310" i="25" s="1"/>
  <c r="AD175" i="25"/>
  <c r="AE175" i="25" s="1"/>
  <c r="U176" i="25"/>
  <c r="AD127" i="25"/>
  <c r="AE127" i="25" s="1"/>
  <c r="U128" i="25"/>
  <c r="U237" i="25"/>
  <c r="AD236" i="25"/>
  <c r="AE236" i="25" s="1"/>
  <c r="U215" i="25"/>
  <c r="AD214" i="25"/>
  <c r="AE214" i="25" s="1"/>
  <c r="U115" i="25"/>
  <c r="AD114" i="25"/>
  <c r="AE114" i="25" s="1"/>
  <c r="U73" i="25"/>
  <c r="AD72" i="25"/>
  <c r="AE72" i="25" s="1"/>
  <c r="U348" i="25"/>
  <c r="AD347" i="25"/>
  <c r="AE347" i="25" s="1"/>
  <c r="U206" i="25"/>
  <c r="AD205" i="25"/>
  <c r="AE205" i="25" s="1"/>
  <c r="U610" i="25"/>
  <c r="AD609" i="25"/>
  <c r="AE609" i="25" s="1"/>
  <c r="U594" i="25"/>
  <c r="AD593" i="25"/>
  <c r="AE593" i="25" s="1"/>
  <c r="U569" i="25"/>
  <c r="AD568" i="25"/>
  <c r="AE568" i="25" s="1"/>
  <c r="AD465" i="25"/>
  <c r="AE465" i="25" s="1"/>
  <c r="U466" i="25"/>
  <c r="U453" i="25"/>
  <c r="AD452" i="25"/>
  <c r="AE452" i="25" s="1"/>
  <c r="U417" i="25"/>
  <c r="AD416" i="25"/>
  <c r="AE416" i="25" s="1"/>
  <c r="U388" i="25"/>
  <c r="AD387" i="25"/>
  <c r="AE387" i="25" s="1"/>
  <c r="U268" i="25"/>
  <c r="AD267" i="25"/>
  <c r="AE267" i="25" s="1"/>
  <c r="AD203" i="25"/>
  <c r="AE203" i="25" s="1"/>
  <c r="U204" i="25"/>
  <c r="AD462" i="25"/>
  <c r="AE462" i="25" s="1"/>
  <c r="U463" i="25"/>
  <c r="U415" i="25"/>
  <c r="AD414" i="25"/>
  <c r="AE414" i="25" s="1"/>
  <c r="U380" i="25"/>
  <c r="AD379" i="25"/>
  <c r="AE379" i="25" s="1"/>
  <c r="U292" i="25"/>
  <c r="AD291" i="25"/>
  <c r="AE291" i="25" s="1"/>
  <c r="AD274" i="25"/>
  <c r="AE274" i="25" s="1"/>
  <c r="U275" i="25"/>
  <c r="U281" i="25"/>
  <c r="AD280" i="25"/>
  <c r="AE280" i="25" s="1"/>
  <c r="U72" i="25"/>
  <c r="AD71" i="25"/>
  <c r="AE71" i="25" s="1"/>
  <c r="AD610" i="25"/>
  <c r="AE610" i="25" s="1"/>
  <c r="U611" i="25"/>
  <c r="U599" i="25"/>
  <c r="AD598" i="25"/>
  <c r="AE598" i="25" s="1"/>
  <c r="AD585" i="25"/>
  <c r="AE585" i="25" s="1"/>
  <c r="U586" i="25"/>
  <c r="U575" i="25"/>
  <c r="AD574" i="25"/>
  <c r="AE574" i="25" s="1"/>
  <c r="AD558" i="25"/>
  <c r="AE558" i="25" s="1"/>
  <c r="U559" i="25"/>
  <c r="U568" i="25"/>
  <c r="AD567" i="25"/>
  <c r="AE567" i="25" s="1"/>
  <c r="U548" i="25"/>
  <c r="AD547" i="25"/>
  <c r="AE547" i="25" s="1"/>
  <c r="U532" i="25"/>
  <c r="AD531" i="25"/>
  <c r="AE531" i="25" s="1"/>
  <c r="AD524" i="25"/>
  <c r="AE524" i="25" s="1"/>
  <c r="U525" i="25"/>
  <c r="U539" i="25"/>
  <c r="AD538" i="25"/>
  <c r="AE538" i="25" s="1"/>
  <c r="U488" i="25"/>
  <c r="AD487" i="25"/>
  <c r="AE487" i="25" s="1"/>
  <c r="AD471" i="25"/>
  <c r="AE471" i="25" s="1"/>
  <c r="U472" i="25"/>
  <c r="U501" i="25"/>
  <c r="AD500" i="25"/>
  <c r="AE500" i="25" s="1"/>
  <c r="U469" i="25"/>
  <c r="AD468" i="25"/>
  <c r="AE468" i="25" s="1"/>
  <c r="U473" i="25"/>
  <c r="AD472" i="25"/>
  <c r="AE472" i="25" s="1"/>
  <c r="U425" i="25"/>
  <c r="AD424" i="25"/>
  <c r="AE424" i="25" s="1"/>
  <c r="U419" i="25"/>
  <c r="AD418" i="25"/>
  <c r="AE418" i="25" s="1"/>
  <c r="U396" i="25"/>
  <c r="AD395" i="25"/>
  <c r="AE395" i="25" s="1"/>
  <c r="U365" i="25"/>
  <c r="AD364" i="25"/>
  <c r="AE364" i="25" s="1"/>
  <c r="U340" i="25"/>
  <c r="AD339" i="25"/>
  <c r="AE339" i="25" s="1"/>
  <c r="U331" i="25"/>
  <c r="AD330" i="25"/>
  <c r="AE330" i="25" s="1"/>
  <c r="U290" i="25"/>
  <c r="AD289" i="25"/>
  <c r="AE289" i="25" s="1"/>
  <c r="U271" i="25"/>
  <c r="AD270" i="25"/>
  <c r="AE270" i="25" s="1"/>
  <c r="U335" i="25"/>
  <c r="AD334" i="25"/>
  <c r="AE334" i="25" s="1"/>
  <c r="AD293" i="25"/>
  <c r="AE293" i="25" s="1"/>
  <c r="U294" i="25"/>
  <c r="U274" i="25"/>
  <c r="AD273" i="25"/>
  <c r="AE273" i="25" s="1"/>
  <c r="U258" i="25"/>
  <c r="AD257" i="25"/>
  <c r="AE257" i="25" s="1"/>
  <c r="U210" i="25"/>
  <c r="AD209" i="25"/>
  <c r="AE209" i="25" s="1"/>
  <c r="U194" i="25"/>
  <c r="AD193" i="25"/>
  <c r="AE193" i="25" s="1"/>
  <c r="U178" i="25"/>
  <c r="AD177" i="25"/>
  <c r="AE177" i="25" s="1"/>
  <c r="U162" i="25"/>
  <c r="AD161" i="25"/>
  <c r="AE161" i="25" s="1"/>
  <c r="U146" i="25"/>
  <c r="AD145" i="25"/>
  <c r="AE145" i="25" s="1"/>
  <c r="U130" i="25"/>
  <c r="AD129" i="25"/>
  <c r="AE129" i="25" s="1"/>
  <c r="U320" i="25"/>
  <c r="AD319" i="25"/>
  <c r="AE319" i="25" s="1"/>
  <c r="U261" i="25"/>
  <c r="AD260" i="25"/>
  <c r="AE260" i="25" s="1"/>
  <c r="U155" i="25"/>
  <c r="AD154" i="25"/>
  <c r="AE154" i="25" s="1"/>
  <c r="U123" i="25"/>
  <c r="AD122" i="25"/>
  <c r="AE122" i="25" s="1"/>
  <c r="U98" i="25"/>
  <c r="AD97" i="25"/>
  <c r="AE97" i="25" s="1"/>
  <c r="U75" i="25"/>
  <c r="AD74" i="25"/>
  <c r="AE74" i="25" s="1"/>
  <c r="U97" i="25"/>
  <c r="AD96" i="25"/>
  <c r="AE96" i="25" s="1"/>
  <c r="AD55" i="25"/>
  <c r="AE55" i="25" s="1"/>
  <c r="U56" i="25"/>
  <c r="U297" i="25"/>
  <c r="AD296" i="25"/>
  <c r="AE296" i="25" s="1"/>
  <c r="U92" i="25"/>
  <c r="AD91" i="25"/>
  <c r="AE91" i="25" s="1"/>
  <c r="U69" i="25"/>
  <c r="AD68" i="25"/>
  <c r="AE68" i="25" s="1"/>
  <c r="U39" i="25"/>
  <c r="AD38" i="25"/>
  <c r="AE38" i="25" s="1"/>
  <c r="U169" i="25"/>
  <c r="AD168" i="25"/>
  <c r="AE168" i="25" s="1"/>
  <c r="U133" i="25"/>
  <c r="AD132" i="25"/>
  <c r="AE132" i="25" s="1"/>
  <c r="U157" i="25"/>
  <c r="AD156" i="25"/>
  <c r="AE156" i="25" s="1"/>
  <c r="U603" i="25"/>
  <c r="AD602" i="25"/>
  <c r="AE602" i="25" s="1"/>
  <c r="U604" i="25"/>
  <c r="AD603" i="25"/>
  <c r="AE603" i="25" s="1"/>
  <c r="U602" i="25"/>
  <c r="AD601" i="25"/>
  <c r="AE601" i="25" s="1"/>
  <c r="AD578" i="25"/>
  <c r="AE578" i="25" s="1"/>
  <c r="U579" i="25"/>
  <c r="U571" i="25"/>
  <c r="AD570" i="25"/>
  <c r="AE570" i="25" s="1"/>
  <c r="U600" i="25"/>
  <c r="AD599" i="25"/>
  <c r="AE599" i="25" s="1"/>
  <c r="U562" i="25"/>
  <c r="AD561" i="25"/>
  <c r="AE561" i="25" s="1"/>
  <c r="U544" i="25"/>
  <c r="AD543" i="25"/>
  <c r="AE543" i="25" s="1"/>
  <c r="U572" i="25"/>
  <c r="AD571" i="25"/>
  <c r="AE571" i="25" s="1"/>
  <c r="U555" i="25"/>
  <c r="AD554" i="25"/>
  <c r="AE554" i="25" s="1"/>
  <c r="U484" i="25"/>
  <c r="AD483" i="25"/>
  <c r="AE483" i="25" s="1"/>
  <c r="AD430" i="25"/>
  <c r="AE430" i="25" s="1"/>
  <c r="U431" i="25"/>
  <c r="U448" i="25"/>
  <c r="AD447" i="25"/>
  <c r="AE447" i="25" s="1"/>
  <c r="U301" i="25"/>
  <c r="AD300" i="25"/>
  <c r="AE300" i="25" s="1"/>
  <c r="U395" i="25"/>
  <c r="AD394" i="25"/>
  <c r="AE394" i="25" s="1"/>
  <c r="U342" i="25"/>
  <c r="AD341" i="25"/>
  <c r="AE341" i="25" s="1"/>
  <c r="U287" i="25"/>
  <c r="AD286" i="25"/>
  <c r="AE286" i="25" s="1"/>
  <c r="U222" i="25"/>
  <c r="AD221" i="25"/>
  <c r="AE221" i="25" s="1"/>
  <c r="U190" i="25"/>
  <c r="AD189" i="25"/>
  <c r="AE189" i="25" s="1"/>
  <c r="U158" i="25"/>
  <c r="AD157" i="25"/>
  <c r="AE157" i="25" s="1"/>
  <c r="U304" i="25"/>
  <c r="AD303" i="25"/>
  <c r="AE303" i="25" s="1"/>
  <c r="U179" i="25"/>
  <c r="AD178" i="25"/>
  <c r="AE178" i="25" s="1"/>
  <c r="AD43" i="25"/>
  <c r="AE43" i="25" s="1"/>
  <c r="U44" i="25"/>
  <c r="U34" i="25"/>
  <c r="AD33" i="25"/>
  <c r="AE33" i="25" s="1"/>
  <c r="AD37" i="25"/>
  <c r="AE37" i="25" s="1"/>
  <c r="U38" i="25"/>
  <c r="U14" i="25"/>
  <c r="AD13" i="25"/>
  <c r="U565" i="25"/>
  <c r="AD564" i="25"/>
  <c r="AE564" i="25" s="1"/>
  <c r="U582" i="25"/>
  <c r="AD581" i="25"/>
  <c r="AE581" i="25" s="1"/>
  <c r="U554" i="25"/>
  <c r="AD553" i="25"/>
  <c r="AE553" i="25" s="1"/>
  <c r="U533" i="25"/>
  <c r="AD532" i="25"/>
  <c r="AE532" i="25" s="1"/>
  <c r="U580" i="25"/>
  <c r="AD579" i="25"/>
  <c r="AE579" i="25" s="1"/>
  <c r="U527" i="25"/>
  <c r="AD526" i="25"/>
  <c r="AE526" i="25" s="1"/>
  <c r="U510" i="25"/>
  <c r="AD509" i="25"/>
  <c r="AE509" i="25" s="1"/>
  <c r="U553" i="25"/>
  <c r="AD552" i="25"/>
  <c r="AE552" i="25" s="1"/>
  <c r="U477" i="25"/>
  <c r="AD476" i="25"/>
  <c r="AE476" i="25" s="1"/>
  <c r="U495" i="25"/>
  <c r="AD494" i="25"/>
  <c r="AE494" i="25" s="1"/>
  <c r="AD448" i="25"/>
  <c r="AE448" i="25" s="1"/>
  <c r="U449" i="25"/>
  <c r="U479" i="25"/>
  <c r="AD478" i="25"/>
  <c r="AE478" i="25" s="1"/>
  <c r="U489" i="25"/>
  <c r="AD488" i="25"/>
  <c r="AE488" i="25" s="1"/>
  <c r="U410" i="25"/>
  <c r="AD409" i="25"/>
  <c r="AE409" i="25" s="1"/>
  <c r="U483" i="25"/>
  <c r="AD482" i="25"/>
  <c r="AE482" i="25" s="1"/>
  <c r="U428" i="25"/>
  <c r="AD427" i="25"/>
  <c r="AE427" i="25" s="1"/>
  <c r="AD426" i="25"/>
  <c r="AE426" i="25" s="1"/>
  <c r="U427" i="25"/>
  <c r="U404" i="25"/>
  <c r="AD403" i="25"/>
  <c r="AE403" i="25" s="1"/>
  <c r="U414" i="25"/>
  <c r="AD413" i="25"/>
  <c r="AE413" i="25" s="1"/>
  <c r="U390" i="25"/>
  <c r="AD389" i="25"/>
  <c r="AE389" i="25" s="1"/>
  <c r="U405" i="25"/>
  <c r="AD404" i="25"/>
  <c r="AE404" i="25" s="1"/>
  <c r="U381" i="25"/>
  <c r="AD380" i="25"/>
  <c r="AE380" i="25" s="1"/>
  <c r="U371" i="25"/>
  <c r="AD370" i="25"/>
  <c r="AE370" i="25" s="1"/>
  <c r="AD357" i="25"/>
  <c r="AE357" i="25" s="1"/>
  <c r="U358" i="25"/>
  <c r="U298" i="25"/>
  <c r="AD297" i="25"/>
  <c r="AE297" i="25" s="1"/>
  <c r="AD276" i="25"/>
  <c r="AE276" i="25" s="1"/>
  <c r="U277" i="25"/>
  <c r="U343" i="25"/>
  <c r="AD342" i="25"/>
  <c r="AE342" i="25" s="1"/>
  <c r="U279" i="25"/>
  <c r="AD278" i="25"/>
  <c r="AE278" i="25" s="1"/>
  <c r="AD247" i="25"/>
  <c r="AE247" i="25" s="1"/>
  <c r="U248" i="25"/>
  <c r="U235" i="25"/>
  <c r="AD234" i="25"/>
  <c r="AE234" i="25" s="1"/>
  <c r="AD215" i="25"/>
  <c r="AE215" i="25" s="1"/>
  <c r="U216" i="25"/>
  <c r="AD183" i="25"/>
  <c r="AE183" i="25" s="1"/>
  <c r="U184" i="25"/>
  <c r="AD151" i="25"/>
  <c r="AE151" i="25" s="1"/>
  <c r="U152" i="25"/>
  <c r="AD119" i="25"/>
  <c r="AE119" i="25" s="1"/>
  <c r="U120" i="25"/>
  <c r="U106" i="25"/>
  <c r="AD105" i="25"/>
  <c r="AE105" i="25" s="1"/>
  <c r="U83" i="25"/>
  <c r="AD82" i="25"/>
  <c r="AE82" i="25" s="1"/>
  <c r="U255" i="25"/>
  <c r="AD254" i="25"/>
  <c r="AE254" i="25" s="1"/>
  <c r="U64" i="25"/>
  <c r="AD63" i="25"/>
  <c r="AE63" i="25" s="1"/>
  <c r="U100" i="25"/>
  <c r="AD99" i="25"/>
  <c r="AE99" i="25" s="1"/>
  <c r="U77" i="25"/>
  <c r="AD76" i="25"/>
  <c r="AE76" i="25" s="1"/>
  <c r="U36" i="25"/>
  <c r="AD35" i="25"/>
  <c r="AE35" i="25" s="1"/>
  <c r="U63" i="25"/>
  <c r="AD62" i="25"/>
  <c r="AE62" i="25" s="1"/>
  <c r="U16" i="25"/>
  <c r="AD15" i="25"/>
  <c r="AE15" i="25" s="1"/>
  <c r="U46" i="25"/>
  <c r="AD45" i="25"/>
  <c r="AE45" i="25" s="1"/>
  <c r="U181" i="25"/>
  <c r="AD180" i="25"/>
  <c r="AE180" i="25" s="1"/>
  <c r="U25" i="25"/>
  <c r="AD24" i="25"/>
  <c r="AE24" i="25" s="1"/>
  <c r="U153" i="25"/>
  <c r="AD152" i="25"/>
  <c r="AE152" i="25" s="1"/>
  <c r="U549" i="25"/>
  <c r="AD548" i="25"/>
  <c r="AE548" i="25" s="1"/>
  <c r="U499" i="25"/>
  <c r="AD498" i="25"/>
  <c r="AE498" i="25" s="1"/>
  <c r="U432" i="25"/>
  <c r="AD431" i="25"/>
  <c r="AE431" i="25" s="1"/>
  <c r="AD402" i="25"/>
  <c r="AE402" i="25" s="1"/>
  <c r="U403" i="25"/>
  <c r="U375" i="25"/>
  <c r="AD374" i="25"/>
  <c r="AE374" i="25" s="1"/>
  <c r="U345" i="25"/>
  <c r="AD344" i="25"/>
  <c r="AE344" i="25" s="1"/>
  <c r="AD266" i="25"/>
  <c r="AE266" i="25" s="1"/>
  <c r="U267" i="25"/>
  <c r="U289" i="25"/>
  <c r="AD288" i="25"/>
  <c r="AE288" i="25" s="1"/>
  <c r="U195" i="25"/>
  <c r="AD194" i="25"/>
  <c r="AE194" i="25" s="1"/>
  <c r="U104" i="25"/>
  <c r="AD103" i="25"/>
  <c r="AE103" i="25" s="1"/>
  <c r="U121" i="25"/>
  <c r="AD120" i="25"/>
  <c r="AE120" i="25" s="1"/>
  <c r="U189" i="25"/>
  <c r="AD188" i="25"/>
  <c r="AE188" i="25" s="1"/>
  <c r="U21" i="25"/>
  <c r="AD20" i="25"/>
  <c r="AE20" i="25" s="1"/>
  <c r="U601" i="25"/>
  <c r="AD600" i="25"/>
  <c r="AE600" i="25" s="1"/>
  <c r="U585" i="25"/>
  <c r="AD584" i="25"/>
  <c r="AE584" i="25" s="1"/>
  <c r="U561" i="25"/>
  <c r="AD560" i="25"/>
  <c r="AE560" i="25" s="1"/>
  <c r="U534" i="25"/>
  <c r="AD533" i="25"/>
  <c r="AE533" i="25" s="1"/>
  <c r="U543" i="25"/>
  <c r="AD542" i="25"/>
  <c r="AE542" i="25" s="1"/>
  <c r="U523" i="25"/>
  <c r="AD522" i="25"/>
  <c r="AE522" i="25" s="1"/>
  <c r="U506" i="25"/>
  <c r="AD505" i="25"/>
  <c r="AE505" i="25" s="1"/>
  <c r="AD473" i="25"/>
  <c r="AE473" i="25" s="1"/>
  <c r="U474" i="25"/>
  <c r="U518" i="25"/>
  <c r="AD517" i="25"/>
  <c r="AE517" i="25" s="1"/>
  <c r="U509" i="25"/>
  <c r="AD508" i="25"/>
  <c r="AE508" i="25" s="1"/>
  <c r="U461" i="25"/>
  <c r="AD460" i="25"/>
  <c r="AE460" i="25" s="1"/>
  <c r="U445" i="25"/>
  <c r="AD444" i="25"/>
  <c r="AE444" i="25" s="1"/>
  <c r="U429" i="25"/>
  <c r="AD428" i="25"/>
  <c r="AE428" i="25" s="1"/>
  <c r="U438" i="25"/>
  <c r="AD437" i="25"/>
  <c r="AE437" i="25" s="1"/>
  <c r="U426" i="25"/>
  <c r="AD425" i="25"/>
  <c r="AE425" i="25" s="1"/>
  <c r="U423" i="25"/>
  <c r="AD422" i="25"/>
  <c r="AE422" i="25" s="1"/>
  <c r="U420" i="25"/>
  <c r="AD419" i="25"/>
  <c r="AE419" i="25" s="1"/>
  <c r="U383" i="25"/>
  <c r="AD382" i="25"/>
  <c r="AE382" i="25" s="1"/>
  <c r="U421" i="25"/>
  <c r="AD420" i="25"/>
  <c r="AE420" i="25" s="1"/>
  <c r="U300" i="25"/>
  <c r="AD299" i="25"/>
  <c r="AE299" i="25" s="1"/>
  <c r="U378" i="25"/>
  <c r="AD377" i="25"/>
  <c r="AE377" i="25" s="1"/>
  <c r="U291" i="25"/>
  <c r="AD290" i="25"/>
  <c r="AE290" i="25" s="1"/>
  <c r="U273" i="25"/>
  <c r="AD272" i="25"/>
  <c r="AE272" i="25" s="1"/>
  <c r="U318" i="25"/>
  <c r="AD317" i="25"/>
  <c r="AE317" i="25" s="1"/>
  <c r="U276" i="25"/>
  <c r="AD275" i="25"/>
  <c r="AE275" i="25" s="1"/>
  <c r="U251" i="25"/>
  <c r="AD250" i="25"/>
  <c r="AE250" i="25" s="1"/>
  <c r="AD195" i="25"/>
  <c r="AE195" i="25" s="1"/>
  <c r="U196" i="25"/>
  <c r="AD163" i="25"/>
  <c r="AE163" i="25" s="1"/>
  <c r="U164" i="25"/>
  <c r="AD131" i="25"/>
  <c r="AE131" i="25" s="1"/>
  <c r="U132" i="25"/>
  <c r="U321" i="25"/>
  <c r="AD320" i="25"/>
  <c r="AE320" i="25" s="1"/>
  <c r="U221" i="25"/>
  <c r="AD220" i="25"/>
  <c r="AE220" i="25" s="1"/>
  <c r="U191" i="25"/>
  <c r="AD190" i="25"/>
  <c r="AE190" i="25" s="1"/>
  <c r="U159" i="25"/>
  <c r="AD158" i="25"/>
  <c r="AE158" i="25" s="1"/>
  <c r="U127" i="25"/>
  <c r="AD126" i="25"/>
  <c r="AE126" i="25" s="1"/>
  <c r="U58" i="25"/>
  <c r="AD57" i="25"/>
  <c r="AE57" i="25" s="1"/>
  <c r="U223" i="25"/>
  <c r="AD222" i="25"/>
  <c r="AE222" i="25" s="1"/>
  <c r="U80" i="25"/>
  <c r="AD79" i="25"/>
  <c r="AE79" i="25" s="1"/>
  <c r="U57" i="25"/>
  <c r="AD56" i="25"/>
  <c r="AE56" i="25" s="1"/>
  <c r="U328" i="25"/>
  <c r="AD327" i="25"/>
  <c r="AE327" i="25" s="1"/>
  <c r="AD115" i="25"/>
  <c r="AE115" i="25" s="1"/>
  <c r="U116" i="25"/>
  <c r="U29" i="25"/>
  <c r="AD28" i="25"/>
  <c r="AE28" i="25" s="1"/>
  <c r="U201" i="25"/>
  <c r="AD200" i="25"/>
  <c r="AE200" i="25" s="1"/>
  <c r="U31" i="25"/>
  <c r="AD30" i="25"/>
  <c r="AE30" i="25" s="1"/>
  <c r="U22" i="25"/>
  <c r="AD21" i="25"/>
  <c r="AE21" i="25" s="1"/>
  <c r="U70" i="25"/>
  <c r="AD69" i="25"/>
  <c r="AE69" i="25" s="1"/>
  <c r="U18" i="25"/>
  <c r="AD17" i="25"/>
  <c r="AE17" i="25" s="1"/>
  <c r="U385" i="25"/>
  <c r="AD384" i="25"/>
  <c r="AE384" i="25" s="1"/>
  <c r="U379" i="25"/>
  <c r="AD378" i="25"/>
  <c r="AE378" i="25" s="1"/>
  <c r="AD237" i="25"/>
  <c r="AE237" i="25" s="1"/>
  <c r="U238" i="25"/>
  <c r="U182" i="25"/>
  <c r="AD181" i="25"/>
  <c r="AE181" i="25" s="1"/>
  <c r="U126" i="25"/>
  <c r="AD125" i="25"/>
  <c r="AE125" i="25" s="1"/>
  <c r="U53" i="25"/>
  <c r="AD52" i="25"/>
  <c r="AE52" i="25" s="1"/>
  <c r="U110" i="25"/>
  <c r="AD109" i="25"/>
  <c r="AE109" i="25" s="1"/>
  <c r="U583" i="25"/>
  <c r="AD582" i="25"/>
  <c r="AE582" i="25" s="1"/>
  <c r="AD577" i="25"/>
  <c r="AE577" i="25" s="1"/>
  <c r="U578" i="25"/>
  <c r="U521" i="25"/>
  <c r="AD520" i="25"/>
  <c r="AE520" i="25" s="1"/>
  <c r="U504" i="25"/>
  <c r="AD503" i="25"/>
  <c r="AE503" i="25" s="1"/>
  <c r="U459" i="25"/>
  <c r="AD458" i="25"/>
  <c r="AE458" i="25" s="1"/>
  <c r="U443" i="25"/>
  <c r="AD442" i="25"/>
  <c r="AE442" i="25" s="1"/>
  <c r="U471" i="25"/>
  <c r="AD470" i="25"/>
  <c r="AE470" i="25" s="1"/>
  <c r="U452" i="25"/>
  <c r="AD451" i="25"/>
  <c r="AE451" i="25" s="1"/>
  <c r="U436" i="25"/>
  <c r="AD435" i="25"/>
  <c r="AE435" i="25" s="1"/>
  <c r="U402" i="25"/>
  <c r="AD401" i="25"/>
  <c r="AE401" i="25" s="1"/>
  <c r="U465" i="25"/>
  <c r="AD464" i="25"/>
  <c r="AE464" i="25" s="1"/>
  <c r="U481" i="25"/>
  <c r="AD480" i="25"/>
  <c r="AE480" i="25" s="1"/>
  <c r="U400" i="25"/>
  <c r="AD399" i="25"/>
  <c r="AE399" i="25" s="1"/>
  <c r="U382" i="25"/>
  <c r="AD381" i="25"/>
  <c r="AE381" i="25" s="1"/>
  <c r="AD373" i="25"/>
  <c r="AE373" i="25" s="1"/>
  <c r="U374" i="25"/>
  <c r="U349" i="25"/>
  <c r="AD348" i="25"/>
  <c r="AE348" i="25" s="1"/>
  <c r="U317" i="25"/>
  <c r="AD316" i="25"/>
  <c r="AE316" i="25" s="1"/>
  <c r="U352" i="25"/>
  <c r="AD351" i="25"/>
  <c r="AE351" i="25" s="1"/>
  <c r="U242" i="25"/>
  <c r="AD241" i="25"/>
  <c r="AE241" i="25" s="1"/>
  <c r="U226" i="25"/>
  <c r="AD225" i="25"/>
  <c r="AE225" i="25" s="1"/>
  <c r="U227" i="25"/>
  <c r="AD226" i="25"/>
  <c r="AE226" i="25" s="1"/>
  <c r="U257" i="25"/>
  <c r="AD256" i="25"/>
  <c r="AE256" i="25" s="1"/>
  <c r="U219" i="25"/>
  <c r="AD218" i="25"/>
  <c r="AE218" i="25" s="1"/>
  <c r="U187" i="25"/>
  <c r="AD186" i="25"/>
  <c r="AE186" i="25" s="1"/>
  <c r="U50" i="25"/>
  <c r="AD49" i="25"/>
  <c r="AE49" i="25" s="1"/>
  <c r="AD27" i="25"/>
  <c r="AE27" i="25" s="1"/>
  <c r="U28" i="25"/>
  <c r="U145" i="25"/>
  <c r="AD144" i="25"/>
  <c r="AE144" i="25" s="1"/>
  <c r="U54" i="25"/>
  <c r="AD53" i="25"/>
  <c r="AE53" i="25" s="1"/>
  <c r="U47" i="25"/>
  <c r="AD46" i="25"/>
  <c r="AE46" i="25" s="1"/>
  <c r="U598" i="25"/>
  <c r="AD597" i="25"/>
  <c r="AE597" i="25" s="1"/>
  <c r="AD527" i="25"/>
  <c r="AE527" i="25" s="1"/>
  <c r="U528" i="25"/>
  <c r="U529" i="25"/>
  <c r="AD528" i="25"/>
  <c r="AE528" i="25" s="1"/>
  <c r="U398" i="25"/>
  <c r="AD397" i="25"/>
  <c r="AE397" i="25" s="1"/>
  <c r="AD375" i="25"/>
  <c r="AE375" i="25" s="1"/>
  <c r="U376" i="25"/>
  <c r="AD253" i="25"/>
  <c r="AE253" i="25" s="1"/>
  <c r="U254" i="25"/>
  <c r="U114" i="25"/>
  <c r="AD113" i="25"/>
  <c r="AE113" i="25" s="1"/>
  <c r="U85" i="25"/>
  <c r="AD84" i="25"/>
  <c r="AE84" i="25" s="1"/>
  <c r="U24" i="25"/>
  <c r="AD23" i="25"/>
  <c r="AE23" i="25" s="1"/>
  <c r="U225" i="25"/>
  <c r="AD224" i="25"/>
  <c r="AE224" i="25" s="1"/>
  <c r="U125" i="25"/>
  <c r="AD124" i="25"/>
  <c r="AE124" i="25" s="1"/>
  <c r="U605" i="25"/>
  <c r="AD604" i="25"/>
  <c r="AE604" i="25" s="1"/>
  <c r="U589" i="25"/>
  <c r="AD588" i="25"/>
  <c r="AE588" i="25" s="1"/>
  <c r="U592" i="25"/>
  <c r="AD591" i="25"/>
  <c r="AE591" i="25" s="1"/>
  <c r="U538" i="25"/>
  <c r="AD537" i="25"/>
  <c r="AE537" i="25" s="1"/>
  <c r="U558" i="25"/>
  <c r="AD557" i="25"/>
  <c r="AE557" i="25" s="1"/>
  <c r="U494" i="25"/>
  <c r="AD493" i="25"/>
  <c r="AE493" i="25" s="1"/>
  <c r="U478" i="25"/>
  <c r="AD477" i="25"/>
  <c r="AE477" i="25" s="1"/>
  <c r="AD432" i="25"/>
  <c r="AE432" i="25" s="1"/>
  <c r="U433" i="25"/>
  <c r="U458" i="25"/>
  <c r="AD457" i="25"/>
  <c r="AE457" i="25" s="1"/>
  <c r="U442" i="25"/>
  <c r="AD441" i="25"/>
  <c r="AE441" i="25" s="1"/>
  <c r="U407" i="25"/>
  <c r="AD406" i="25"/>
  <c r="AE406" i="25" s="1"/>
  <c r="U355" i="25"/>
  <c r="AD354" i="25"/>
  <c r="AE354" i="25" s="1"/>
  <c r="U325" i="25"/>
  <c r="AD324" i="25"/>
  <c r="AE324" i="25" s="1"/>
  <c r="U284" i="25"/>
  <c r="AD283" i="25"/>
  <c r="AE283" i="25" s="1"/>
  <c r="U339" i="25"/>
  <c r="AD338" i="25"/>
  <c r="AE338" i="25" s="1"/>
  <c r="AD301" i="25"/>
  <c r="AE301" i="25" s="1"/>
  <c r="U302" i="25"/>
  <c r="U264" i="25"/>
  <c r="AD263" i="25"/>
  <c r="AE263" i="25" s="1"/>
  <c r="AD231" i="25"/>
  <c r="AE231" i="25" s="1"/>
  <c r="U232" i="25"/>
  <c r="AD199" i="25"/>
  <c r="AE199" i="25" s="1"/>
  <c r="U200" i="25"/>
  <c r="AD167" i="25"/>
  <c r="AE167" i="25" s="1"/>
  <c r="U168" i="25"/>
  <c r="AD135" i="25"/>
  <c r="AE135" i="25" s="1"/>
  <c r="U136" i="25"/>
  <c r="U199" i="25"/>
  <c r="AD198" i="25"/>
  <c r="AE198" i="25" s="1"/>
  <c r="U167" i="25"/>
  <c r="AD166" i="25"/>
  <c r="AE166" i="25" s="1"/>
  <c r="U135" i="25"/>
  <c r="AD134" i="25"/>
  <c r="AE134" i="25" s="1"/>
  <c r="U105" i="25"/>
  <c r="AD104" i="25"/>
  <c r="AE104" i="25" s="1"/>
  <c r="U41" i="25"/>
  <c r="AD40" i="25"/>
  <c r="AE40" i="25" s="1"/>
  <c r="U193" i="25"/>
  <c r="AD192" i="25"/>
  <c r="AE192" i="25" s="1"/>
  <c r="U86" i="25"/>
  <c r="AD85" i="25"/>
  <c r="AE85" i="25" s="1"/>
  <c r="U205" i="25"/>
  <c r="AD204" i="25"/>
  <c r="AE204" i="25" s="1"/>
  <c r="U27" i="25"/>
  <c r="AD26" i="25"/>
  <c r="AE26" i="25" s="1"/>
  <c r="AD516" i="25"/>
  <c r="AE516" i="25" s="1"/>
  <c r="U517" i="25"/>
  <c r="U468" i="25"/>
  <c r="AD467" i="25"/>
  <c r="AE467" i="25" s="1"/>
  <c r="U487" i="25"/>
  <c r="AD486" i="25"/>
  <c r="AE486" i="25" s="1"/>
  <c r="U389" i="25"/>
  <c r="AD388" i="25"/>
  <c r="AE388" i="25" s="1"/>
  <c r="U315" i="25"/>
  <c r="AD314" i="25"/>
  <c r="AE314" i="25" s="1"/>
  <c r="U319" i="25"/>
  <c r="AD318" i="25"/>
  <c r="AE318" i="25" s="1"/>
  <c r="AD245" i="25"/>
  <c r="AE245" i="25" s="1"/>
  <c r="U246" i="25"/>
  <c r="U174" i="25"/>
  <c r="AD173" i="25"/>
  <c r="AE173" i="25" s="1"/>
  <c r="U337" i="25"/>
  <c r="AD336" i="25"/>
  <c r="AE336" i="25" s="1"/>
  <c r="U49" i="25"/>
  <c r="AD48" i="25"/>
  <c r="AE48" i="25" s="1"/>
  <c r="AD613" i="25"/>
  <c r="AE613" i="25" s="1"/>
  <c r="U613" i="25"/>
  <c r="AD612" i="25"/>
  <c r="AE612" i="25" s="1"/>
  <c r="U588" i="25"/>
  <c r="AD587" i="25"/>
  <c r="AE587" i="25" s="1"/>
  <c r="U576" i="25"/>
  <c r="AD575" i="25"/>
  <c r="AE575" i="25" s="1"/>
  <c r="U550" i="25"/>
  <c r="AD549" i="25"/>
  <c r="AE549" i="25" s="1"/>
  <c r="U547" i="25"/>
  <c r="AD546" i="25"/>
  <c r="AE546" i="25" s="1"/>
  <c r="U490" i="25"/>
  <c r="AD489" i="25"/>
  <c r="AE489" i="25" s="1"/>
  <c r="AD513" i="25"/>
  <c r="AE513" i="25" s="1"/>
  <c r="U514" i="25"/>
  <c r="U454" i="25"/>
  <c r="AD453" i="25"/>
  <c r="AE453" i="25" s="1"/>
  <c r="U397" i="25"/>
  <c r="AD396" i="25"/>
  <c r="AE396" i="25" s="1"/>
  <c r="U384" i="25"/>
  <c r="AD383" i="25"/>
  <c r="AE383" i="25" s="1"/>
  <c r="U367" i="25"/>
  <c r="AD366" i="25"/>
  <c r="AE366" i="25" s="1"/>
  <c r="U351" i="25"/>
  <c r="AD350" i="25"/>
  <c r="AE350" i="25" s="1"/>
  <c r="U341" i="25"/>
  <c r="AD340" i="25"/>
  <c r="AE340" i="25" s="1"/>
  <c r="AD353" i="25"/>
  <c r="AE353" i="25" s="1"/>
  <c r="U354" i="25"/>
  <c r="U314" i="25"/>
  <c r="AD313" i="25"/>
  <c r="AE313" i="25" s="1"/>
  <c r="U394" i="25"/>
  <c r="AD393" i="25"/>
  <c r="AE393" i="25" s="1"/>
  <c r="U295" i="25"/>
  <c r="AD294" i="25"/>
  <c r="AE294" i="25" s="1"/>
  <c r="U260" i="25"/>
  <c r="AD259" i="25"/>
  <c r="AE259" i="25" s="1"/>
  <c r="U244" i="25"/>
  <c r="AD243" i="25"/>
  <c r="AE243" i="25" s="1"/>
  <c r="U228" i="25"/>
  <c r="AD227" i="25"/>
  <c r="AE227" i="25" s="1"/>
  <c r="U280" i="25"/>
  <c r="AD279" i="25"/>
  <c r="AE279" i="25" s="1"/>
  <c r="AD211" i="25"/>
  <c r="AE211" i="25" s="1"/>
  <c r="U212" i="25"/>
  <c r="AD179" i="25"/>
  <c r="AE179" i="25" s="1"/>
  <c r="U180" i="25"/>
  <c r="AD147" i="25"/>
  <c r="AE147" i="25" s="1"/>
  <c r="U148" i="25"/>
  <c r="U336" i="25"/>
  <c r="AD335" i="25"/>
  <c r="AE335" i="25" s="1"/>
  <c r="U99" i="25"/>
  <c r="AD98" i="25"/>
  <c r="AE98" i="25" s="1"/>
  <c r="U93" i="25"/>
  <c r="AD92" i="25"/>
  <c r="AE92" i="25" s="1"/>
  <c r="AD51" i="25"/>
  <c r="AE51" i="25" s="1"/>
  <c r="U52" i="25"/>
  <c r="U161" i="25"/>
  <c r="AD160" i="25"/>
  <c r="AE160" i="25" s="1"/>
  <c r="U149" i="25"/>
  <c r="AD148" i="25"/>
  <c r="AE148" i="25" s="1"/>
  <c r="U55" i="25"/>
  <c r="AD54" i="25"/>
  <c r="AE54" i="25" s="1"/>
  <c r="U173" i="25"/>
  <c r="AD172" i="25"/>
  <c r="AE172" i="25" s="1"/>
  <c r="U545" i="25"/>
  <c r="AD544" i="25"/>
  <c r="AE544" i="25" s="1"/>
  <c r="U476" i="25"/>
  <c r="AD475" i="25"/>
  <c r="AE475" i="25" s="1"/>
  <c r="AD438" i="25"/>
  <c r="AE438" i="25" s="1"/>
  <c r="U439" i="25"/>
  <c r="U412" i="25"/>
  <c r="AD411" i="25"/>
  <c r="AE411" i="25" s="1"/>
  <c r="U333" i="25"/>
  <c r="AD332" i="25"/>
  <c r="AE332" i="25" s="1"/>
  <c r="U306" i="25"/>
  <c r="AD305" i="25"/>
  <c r="AE305" i="25" s="1"/>
  <c r="AD363" i="25"/>
  <c r="AE363" i="25" s="1"/>
  <c r="U364" i="25"/>
  <c r="U91" i="25"/>
  <c r="AD90" i="25"/>
  <c r="AE90" i="25" s="1"/>
  <c r="U113" i="25"/>
  <c r="AD112" i="25"/>
  <c r="AE112" i="25" s="1"/>
  <c r="U40" i="25"/>
  <c r="AD39" i="25"/>
  <c r="AE39" i="25" s="1"/>
  <c r="U329" i="25"/>
  <c r="AD328" i="25"/>
  <c r="AE328" i="25" s="1"/>
  <c r="U111" i="25"/>
  <c r="AD110" i="25"/>
  <c r="AE110" i="25" s="1"/>
  <c r="AE387" i="17"/>
  <c r="AE535" i="17"/>
  <c r="AE416" i="17"/>
  <c r="AE426" i="17"/>
  <c r="AD128" i="17"/>
  <c r="AE128" i="17" s="1"/>
  <c r="AD297" i="17"/>
  <c r="AE297" i="17" s="1"/>
  <c r="AD62" i="17"/>
  <c r="AE62" i="17" s="1"/>
  <c r="AD533" i="17"/>
  <c r="AE533" i="17" s="1"/>
  <c r="AD520" i="17"/>
  <c r="AE520" i="17" s="1"/>
  <c r="AD35" i="17"/>
  <c r="AE35" i="17" s="1"/>
  <c r="AD93" i="17"/>
  <c r="AE93" i="17" s="1"/>
  <c r="AD199" i="17"/>
  <c r="AE199" i="17" s="1"/>
  <c r="AD175" i="17"/>
  <c r="AE175" i="17" s="1"/>
  <c r="AD534" i="17"/>
  <c r="AE534" i="17" s="1"/>
  <c r="AD200" i="17"/>
  <c r="AE200" i="17" s="1"/>
  <c r="AD190" i="17"/>
  <c r="AE190" i="17" s="1"/>
  <c r="AD270" i="17"/>
  <c r="AE270" i="17" s="1"/>
  <c r="AD82" i="17"/>
  <c r="AE82" i="17" s="1"/>
  <c r="AD538" i="17"/>
  <c r="AE538" i="17" s="1"/>
  <c r="AD302" i="17"/>
  <c r="AE302" i="17" s="1"/>
  <c r="AD355" i="17"/>
  <c r="AE355" i="17" s="1"/>
  <c r="AD52" i="17"/>
  <c r="AE52" i="17" s="1"/>
  <c r="AD219" i="17"/>
  <c r="AE219" i="17" s="1"/>
  <c r="AD334" i="17"/>
  <c r="AE334" i="17" s="1"/>
  <c r="AD137" i="17"/>
  <c r="AE137" i="17" s="1"/>
  <c r="AD325" i="17"/>
  <c r="AE325" i="17" s="1"/>
  <c r="AD360" i="17"/>
  <c r="AE360" i="17" s="1"/>
  <c r="AD283" i="17"/>
  <c r="AE283" i="17" s="1"/>
  <c r="AD63" i="17"/>
  <c r="AE63" i="17" s="1"/>
  <c r="AD326" i="17"/>
  <c r="AE326" i="17" s="1"/>
  <c r="AD576" i="17"/>
  <c r="AE576" i="17" s="1"/>
  <c r="AD593" i="17"/>
  <c r="AE593" i="17" s="1"/>
  <c r="AD592" i="17"/>
  <c r="AE592" i="17" s="1"/>
  <c r="AD316" i="17"/>
  <c r="AE316" i="17" s="1"/>
  <c r="AD101" i="17"/>
  <c r="AE101" i="17" s="1"/>
  <c r="AD90" i="17"/>
  <c r="AE90" i="17" s="1"/>
  <c r="AD410" i="17"/>
  <c r="AE410" i="17" s="1"/>
  <c r="AD294" i="17"/>
  <c r="AE294" i="17" s="1"/>
  <c r="AD413" i="17"/>
  <c r="AE413" i="17" s="1"/>
  <c r="AD234" i="17"/>
  <c r="AE234" i="17" s="1"/>
  <c r="AD58" i="17"/>
  <c r="AE58" i="17" s="1"/>
  <c r="AD233" i="17"/>
  <c r="AE233" i="17" s="1"/>
  <c r="AD459" i="17"/>
  <c r="AE459" i="17" s="1"/>
  <c r="AD590" i="17"/>
  <c r="AE590" i="17" s="1"/>
  <c r="AD405" i="17"/>
  <c r="AE405" i="17" s="1"/>
  <c r="AD92" i="17"/>
  <c r="AE92" i="17" s="1"/>
  <c r="AD453" i="17"/>
  <c r="AE453" i="17" s="1"/>
  <c r="AD259" i="17"/>
  <c r="AE259" i="17" s="1"/>
  <c r="AD132" i="17"/>
  <c r="AE132" i="17" s="1"/>
  <c r="AD482" i="17"/>
  <c r="AE482" i="17" s="1"/>
  <c r="AD457" i="17"/>
  <c r="AE457" i="17" s="1"/>
  <c r="AD146" i="17"/>
  <c r="AE146" i="17" s="1"/>
  <c r="AD135" i="17"/>
  <c r="AE135" i="17" s="1"/>
  <c r="AD266" i="17"/>
  <c r="AE266" i="17" s="1"/>
  <c r="AD99" i="17"/>
  <c r="AE99" i="17" s="1"/>
  <c r="AD205" i="17"/>
  <c r="AE205" i="17" s="1"/>
  <c r="AD213" i="17"/>
  <c r="AE213" i="17" s="1"/>
  <c r="AD469" i="17"/>
  <c r="AE469" i="17" s="1"/>
  <c r="AD397" i="17"/>
  <c r="AE397" i="17" s="1"/>
  <c r="AD156" i="17"/>
  <c r="AE156" i="17" s="1"/>
  <c r="AD569" i="17"/>
  <c r="AE569" i="17" s="1"/>
  <c r="AD288" i="17"/>
  <c r="AE288" i="17" s="1"/>
  <c r="AD122" i="17"/>
  <c r="AE122" i="17" s="1"/>
  <c r="AD145" i="17"/>
  <c r="AE145" i="17" s="1"/>
  <c r="AD470" i="17"/>
  <c r="AE470" i="17" s="1"/>
  <c r="AD37" i="17"/>
  <c r="AE37" i="17" s="1"/>
  <c r="AD585" i="17"/>
  <c r="AE585" i="17" s="1"/>
  <c r="AD464" i="17"/>
  <c r="AE464" i="17" s="1"/>
  <c r="AD393" i="17"/>
  <c r="AE393" i="17" s="1"/>
  <c r="AD211" i="17"/>
  <c r="AE211" i="17" s="1"/>
  <c r="AD501" i="17"/>
  <c r="AE501" i="17" s="1"/>
  <c r="AD380" i="17"/>
  <c r="AE380" i="17" s="1"/>
  <c r="AD309" i="17"/>
  <c r="AE309" i="17" s="1"/>
  <c r="AD512" i="17"/>
  <c r="AE512" i="17" s="1"/>
  <c r="AD241" i="17"/>
  <c r="AE241" i="17" s="1"/>
  <c r="AD123" i="17"/>
  <c r="AE123" i="17" s="1"/>
  <c r="AD540" i="17"/>
  <c r="AE540" i="17" s="1"/>
  <c r="AD448" i="17"/>
  <c r="AE448" i="17" s="1"/>
  <c r="AD500" i="17"/>
  <c r="AE500" i="17" s="1"/>
  <c r="AD499" i="17"/>
  <c r="AE499" i="17" s="1"/>
  <c r="AD483" i="17"/>
  <c r="AE483" i="17" s="1"/>
  <c r="U130" i="17"/>
  <c r="AD597" i="17"/>
  <c r="AE597" i="17" s="1"/>
  <c r="AD166" i="17"/>
  <c r="AE166" i="17" s="1"/>
  <c r="AD442" i="17"/>
  <c r="AE442" i="17" s="1"/>
  <c r="AD67" i="17"/>
  <c r="AE67" i="17" s="1"/>
  <c r="AD411" i="17"/>
  <c r="AE411" i="17" s="1"/>
  <c r="AD329" i="17"/>
  <c r="AE329" i="17" s="1"/>
  <c r="AD255" i="17"/>
  <c r="AE255" i="17" s="1"/>
  <c r="AD289" i="17"/>
  <c r="AE289" i="17" s="1"/>
  <c r="AD484" i="17"/>
  <c r="AE484" i="17" s="1"/>
  <c r="AD607" i="17"/>
  <c r="AE607" i="17" s="1"/>
  <c r="AD26" i="17"/>
  <c r="AE26" i="17" s="1"/>
  <c r="AD203" i="17"/>
  <c r="AE203" i="17" s="1"/>
  <c r="AD348" i="17"/>
  <c r="AE348" i="17" s="1"/>
  <c r="AD253" i="17"/>
  <c r="AE253" i="17" s="1"/>
  <c r="AD97" i="17"/>
  <c r="AE97" i="17" s="1"/>
  <c r="AD55" i="17"/>
  <c r="AE55" i="17" s="1"/>
  <c r="AD515" i="17"/>
  <c r="AE515" i="17" s="1"/>
  <c r="AD265" i="17"/>
  <c r="AE265" i="17" s="1"/>
  <c r="AD278" i="17"/>
  <c r="AE278" i="17" s="1"/>
  <c r="AD277" i="17"/>
  <c r="AE277" i="17" s="1"/>
  <c r="AD354" i="17"/>
  <c r="AE354" i="17" s="1"/>
  <c r="AD15" i="17"/>
  <c r="AE15" i="17" s="1"/>
  <c r="AD158" i="17"/>
  <c r="AE158" i="17" s="1"/>
  <c r="AD290" i="17"/>
  <c r="AE290" i="17" s="1"/>
  <c r="AD319" i="17"/>
  <c r="AE319" i="17" s="1"/>
  <c r="AD109" i="17"/>
  <c r="AE109" i="17" s="1"/>
  <c r="AD193" i="17"/>
  <c r="AE193" i="17" s="1"/>
  <c r="AD235" i="17"/>
  <c r="AE235" i="17" s="1"/>
  <c r="AD115" i="17"/>
  <c r="AE115" i="17" s="1"/>
  <c r="AD120" i="17"/>
  <c r="AE120" i="17" s="1"/>
  <c r="AD528" i="17"/>
  <c r="AE528" i="17" s="1"/>
  <c r="AD61" i="17"/>
  <c r="AE61" i="17" s="1"/>
  <c r="AD460" i="17"/>
  <c r="AE460" i="17" s="1"/>
  <c r="AD548" i="17"/>
  <c r="AE548" i="17" s="1"/>
  <c r="AD121" i="17"/>
  <c r="AE121" i="17" s="1"/>
  <c r="AD286" i="17"/>
  <c r="AE286" i="17" s="1"/>
  <c r="AD566" i="17"/>
  <c r="AE566" i="17" s="1"/>
  <c r="AD439" i="17"/>
  <c r="AE439" i="17" s="1"/>
  <c r="AD71" i="17"/>
  <c r="AE71" i="17" s="1"/>
  <c r="AD307" i="17"/>
  <c r="AE307" i="17" s="1"/>
  <c r="AD299" i="17"/>
  <c r="AE299" i="17" s="1"/>
  <c r="AD609" i="17"/>
  <c r="AE609" i="17" s="1"/>
  <c r="AD162" i="17"/>
  <c r="AE162" i="17" s="1"/>
  <c r="AD320" i="17"/>
  <c r="AE320" i="17" s="1"/>
  <c r="AD487" i="17"/>
  <c r="AE487" i="17" s="1"/>
  <c r="AD516" i="17"/>
  <c r="AE516" i="17" s="1"/>
  <c r="AD359" i="17"/>
  <c r="AE359" i="17" s="1"/>
  <c r="AD20" i="17"/>
  <c r="AE20" i="17" s="1"/>
  <c r="AD186" i="17"/>
  <c r="AE186" i="17" s="1"/>
  <c r="AD59" i="17"/>
  <c r="AE59" i="17" s="1"/>
  <c r="AD357" i="17"/>
  <c r="AE357" i="17" s="1"/>
  <c r="AD107" i="17"/>
  <c r="AE107" i="17" s="1"/>
  <c r="AD184" i="17"/>
  <c r="AE184" i="17" s="1"/>
  <c r="AD66" i="17"/>
  <c r="AE66" i="17" s="1"/>
  <c r="AD300" i="17"/>
  <c r="AE300" i="17" s="1"/>
  <c r="AD284" i="17"/>
  <c r="AE284" i="17" s="1"/>
  <c r="AD508" i="17"/>
  <c r="AE508" i="17" s="1"/>
  <c r="AD554" i="17"/>
  <c r="AE554" i="17" s="1"/>
  <c r="AD412" i="17"/>
  <c r="AE412" i="17" s="1"/>
  <c r="AD375" i="17"/>
  <c r="AE375" i="17" s="1"/>
  <c r="AD293" i="17"/>
  <c r="AE293" i="17" s="1"/>
  <c r="AD441" i="17"/>
  <c r="AE441" i="17" s="1"/>
  <c r="AD440" i="17"/>
  <c r="AE440" i="17" s="1"/>
  <c r="AD494" i="17"/>
  <c r="AE494" i="17" s="1"/>
  <c r="AD49" i="17"/>
  <c r="AE49" i="17" s="1"/>
  <c r="AD308" i="17"/>
  <c r="AE308" i="17" s="1"/>
  <c r="AD225" i="17"/>
  <c r="AE225" i="17" s="1"/>
  <c r="AD436" i="17"/>
  <c r="AE436" i="17" s="1"/>
  <c r="AD351" i="17"/>
  <c r="AE351" i="17" s="1"/>
  <c r="AD224" i="17"/>
  <c r="AE224" i="17" s="1"/>
  <c r="AD418" i="17"/>
  <c r="AE418" i="17" s="1"/>
  <c r="AD415" i="17"/>
  <c r="AE415" i="17" s="1"/>
  <c r="AD565" i="17"/>
  <c r="AE565" i="17" s="1"/>
  <c r="AD574" i="17"/>
  <c r="AE574" i="17" s="1"/>
  <c r="AD496" i="17"/>
  <c r="AE496" i="17" s="1"/>
  <c r="AD563" i="17"/>
  <c r="AE563" i="17" s="1"/>
  <c r="AD251" i="17"/>
  <c r="AE251" i="17" s="1"/>
  <c r="AD57" i="17"/>
  <c r="AE57" i="17" s="1"/>
  <c r="AD139" i="17"/>
  <c r="AE139" i="17" s="1"/>
  <c r="AD349" i="17"/>
  <c r="AE349" i="17" s="1"/>
  <c r="AD72" i="17"/>
  <c r="AE72" i="17" s="1"/>
  <c r="AD539" i="17"/>
  <c r="AE539" i="17" s="1"/>
  <c r="AD567" i="17"/>
  <c r="AE567" i="17" s="1"/>
  <c r="AD419" i="17"/>
  <c r="AE419" i="17" s="1"/>
  <c r="AD555" i="17"/>
  <c r="AE555" i="17" s="1"/>
  <c r="AD147" i="17"/>
  <c r="AE147" i="17" s="1"/>
  <c r="U293" i="17"/>
  <c r="AD340" i="17"/>
  <c r="AE340" i="17" s="1"/>
  <c r="AD517" i="17"/>
  <c r="AE517" i="17" s="1"/>
  <c r="AD389" i="17"/>
  <c r="AE389" i="17" s="1"/>
  <c r="AD337" i="17"/>
  <c r="AE337" i="17" s="1"/>
  <c r="AD148" i="17"/>
  <c r="AE148" i="17" s="1"/>
  <c r="AD94" i="17"/>
  <c r="AE94" i="17" s="1"/>
  <c r="AD323" i="17"/>
  <c r="AE323" i="17" s="1"/>
  <c r="AD287" i="17"/>
  <c r="AE287" i="17" s="1"/>
  <c r="AD23" i="17"/>
  <c r="AE23" i="17" s="1"/>
  <c r="AD130" i="17"/>
  <c r="AE130" i="17" s="1"/>
  <c r="AD185" i="17"/>
  <c r="AE185" i="17" s="1"/>
  <c r="AD174" i="17"/>
  <c r="AE174" i="17" s="1"/>
  <c r="AD187" i="17"/>
  <c r="AE187" i="17" s="1"/>
  <c r="AD196" i="17"/>
  <c r="AE196" i="17" s="1"/>
  <c r="AD345" i="17"/>
  <c r="AE345" i="17" s="1"/>
  <c r="AD370" i="17"/>
  <c r="AE370" i="17" s="1"/>
  <c r="AD564" i="17"/>
  <c r="AE564" i="17" s="1"/>
  <c r="AD575" i="17"/>
  <c r="AE575" i="17" s="1"/>
  <c r="AD433" i="17"/>
  <c r="AE433" i="17" s="1"/>
  <c r="AD530" i="17"/>
  <c r="AE530" i="17" s="1"/>
  <c r="AD435" i="17"/>
  <c r="AE435" i="17" s="1"/>
  <c r="AD189" i="17"/>
  <c r="AE189" i="17" s="1"/>
  <c r="AD589" i="17"/>
  <c r="AE589" i="17" s="1"/>
  <c r="AD173" i="17"/>
  <c r="AE173" i="17" s="1"/>
  <c r="AD13" i="17"/>
  <c r="AE13" i="17" s="1"/>
  <c r="AD481" i="17"/>
  <c r="AE481" i="17" s="1"/>
  <c r="AD402" i="17"/>
  <c r="AE402" i="17" s="1"/>
  <c r="AD599" i="17"/>
  <c r="AE599" i="17" s="1"/>
  <c r="AD495" i="17"/>
  <c r="AE495" i="17" s="1"/>
  <c r="AD314" i="17"/>
  <c r="AE314" i="17" s="1"/>
  <c r="AD258" i="17"/>
  <c r="AE258" i="17" s="1"/>
  <c r="AD431" i="17"/>
  <c r="AE431" i="17" s="1"/>
  <c r="AD472" i="17"/>
  <c r="AE472" i="17" s="1"/>
  <c r="AD280" i="17"/>
  <c r="AE280" i="17" s="1"/>
  <c r="AD274" i="17"/>
  <c r="AE274" i="17" s="1"/>
  <c r="AD471" i="17"/>
  <c r="AE471" i="17" s="1"/>
  <c r="AD369" i="17"/>
  <c r="AE369" i="17" s="1"/>
  <c r="AD527" i="17"/>
  <c r="AE527" i="17" s="1"/>
  <c r="AD454" i="17"/>
  <c r="AE454" i="17" s="1"/>
  <c r="AD315" i="17"/>
  <c r="AE315" i="17" s="1"/>
  <c r="AD429" i="17"/>
  <c r="AE429" i="17" s="1"/>
  <c r="AD17" i="17"/>
  <c r="AE17" i="17" s="1"/>
  <c r="AD414" i="17"/>
  <c r="AE414" i="17" s="1"/>
  <c r="AD324" i="17"/>
  <c r="AE324" i="17" s="1"/>
  <c r="AD392" i="17"/>
  <c r="AE392" i="17" s="1"/>
  <c r="AD149" i="17"/>
  <c r="AE149" i="17" s="1"/>
  <c r="AD124" i="17"/>
  <c r="AE124" i="17" s="1"/>
  <c r="AD24" i="17"/>
  <c r="AE24" i="17" s="1"/>
  <c r="AD404" i="17"/>
  <c r="AE404" i="17" s="1"/>
  <c r="AD598" i="17"/>
  <c r="AE598" i="17" s="1"/>
  <c r="AD612" i="17"/>
  <c r="AE612" i="17" s="1"/>
  <c r="AD498" i="17"/>
  <c r="AE498" i="17" s="1"/>
  <c r="AD212" i="17"/>
  <c r="AE212" i="17" s="1"/>
  <c r="AD568" i="17"/>
  <c r="AE568" i="17" s="1"/>
  <c r="AD582" i="17"/>
  <c r="AE582" i="17" s="1"/>
  <c r="AD25" i="17"/>
  <c r="AE25" i="17" s="1"/>
  <c r="AD172" i="17"/>
  <c r="AE172" i="17" s="1"/>
  <c r="AD506" i="17"/>
  <c r="AE506" i="17" s="1"/>
  <c r="AD553" i="17"/>
  <c r="AE553" i="17" s="1"/>
  <c r="AD56" i="17"/>
  <c r="AE56" i="17" s="1"/>
  <c r="AD562" i="17"/>
  <c r="AE562" i="17" s="1"/>
  <c r="AD22" i="17"/>
  <c r="AE22" i="17" s="1"/>
  <c r="AD505" i="17"/>
  <c r="AE505" i="17" s="1"/>
  <c r="AD113" i="17"/>
  <c r="AE113" i="17" s="1"/>
  <c r="AD138" i="17"/>
  <c r="AE138" i="17" s="1"/>
  <c r="AD34" i="17"/>
  <c r="AE34" i="17" s="1"/>
  <c r="AD310" i="17"/>
  <c r="AE310" i="17" s="1"/>
  <c r="AD267" i="17"/>
  <c r="AE267" i="17" s="1"/>
  <c r="AD492" i="17"/>
  <c r="AE492" i="17" s="1"/>
  <c r="AD281" i="17"/>
  <c r="AE281" i="17" s="1"/>
  <c r="AD254" i="17"/>
  <c r="AE254" i="17" s="1"/>
  <c r="AD250" i="17"/>
  <c r="AE250" i="17" s="1"/>
  <c r="AD432" i="17"/>
  <c r="AE432" i="17" s="1"/>
  <c r="AD236" i="17"/>
  <c r="AE236" i="17" s="1"/>
  <c r="AD198" i="17"/>
  <c r="AE198" i="17" s="1"/>
  <c r="AD144" i="17"/>
  <c r="AE144" i="17" s="1"/>
  <c r="AD526" i="17"/>
  <c r="AE526" i="17" s="1"/>
  <c r="AD552" i="17"/>
  <c r="AE552" i="17" s="1"/>
  <c r="AD321" i="17"/>
  <c r="AE321" i="17" s="1"/>
  <c r="AD428" i="17"/>
  <c r="AE428" i="17" s="1"/>
  <c r="AD338" i="17"/>
  <c r="AE338" i="17" s="1"/>
  <c r="AD497" i="17"/>
  <c r="AE497" i="17" s="1"/>
  <c r="AD458" i="17"/>
  <c r="AE458" i="17" s="1"/>
  <c r="AD600" i="17"/>
  <c r="AE600" i="17" s="1"/>
  <c r="AD303" i="17"/>
  <c r="AE303" i="17" s="1"/>
  <c r="AD232" i="17"/>
  <c r="AE232" i="17" s="1"/>
  <c r="AD427" i="17"/>
  <c r="AE427" i="17" s="1"/>
  <c r="AD493" i="17"/>
  <c r="AE493" i="17" s="1"/>
  <c r="AD304" i="17"/>
  <c r="AE304" i="17" s="1"/>
  <c r="AD322" i="17"/>
  <c r="AE322" i="17" s="1"/>
  <c r="AD81" i="17"/>
  <c r="AE81" i="17" s="1"/>
  <c r="AD514" i="17"/>
  <c r="AE514" i="17" s="1"/>
  <c r="AD390" i="17"/>
  <c r="AE390" i="17" s="1"/>
  <c r="AD570" i="17"/>
  <c r="AE570" i="17" s="1"/>
  <c r="AD48" i="17"/>
  <c r="AE48" i="17" s="1"/>
  <c r="AD46" i="17"/>
  <c r="AE46" i="17" s="1"/>
  <c r="AD102" i="17"/>
  <c r="AE102" i="17" s="1"/>
  <c r="AD217" i="17"/>
  <c r="AE217" i="17" s="1"/>
  <c r="AD275" i="17"/>
  <c r="AE275" i="17" s="1"/>
  <c r="AD394" i="17"/>
  <c r="AE394" i="17" s="1"/>
  <c r="AD420" i="17"/>
  <c r="AE420" i="17" s="1"/>
  <c r="AD161" i="17"/>
  <c r="AE161" i="17" s="1"/>
  <c r="AD228" i="17"/>
  <c r="AE228" i="17" s="1"/>
  <c r="AD54" i="17"/>
  <c r="AE54" i="17" s="1"/>
  <c r="AD610" i="17"/>
  <c r="AE610" i="17" s="1"/>
  <c r="AD502" i="17"/>
  <c r="AE502" i="17" s="1"/>
  <c r="AD50" i="17"/>
  <c r="AE50" i="17" s="1"/>
  <c r="AD529" i="17"/>
  <c r="AE529" i="17" s="1"/>
  <c r="AD381" i="17"/>
  <c r="AE381" i="17" s="1"/>
  <c r="AD19" i="17"/>
  <c r="AE19" i="17" s="1"/>
  <c r="AD545" i="17"/>
  <c r="AE545" i="17" s="1"/>
  <c r="AD136" i="17"/>
  <c r="AE136" i="17" s="1"/>
  <c r="AD204" i="17"/>
  <c r="AE204" i="17" s="1"/>
  <c r="AD358" i="17"/>
  <c r="AE358" i="17" s="1"/>
  <c r="AD446" i="17"/>
  <c r="AE446" i="17" s="1"/>
  <c r="AD489" i="17"/>
  <c r="AE489" i="17" s="1"/>
  <c r="AD572" i="17"/>
  <c r="AE572" i="17" s="1"/>
  <c r="AD14" i="17"/>
  <c r="AE14" i="17" s="1"/>
  <c r="AD100" i="17"/>
  <c r="AE100" i="17" s="1"/>
  <c r="AD245" i="17"/>
  <c r="AE245" i="17" s="1"/>
  <c r="AD76" i="17"/>
  <c r="AE76" i="17" s="1"/>
  <c r="AD463" i="17"/>
  <c r="AE463" i="17" s="1"/>
  <c r="AD531" i="17"/>
  <c r="AE531" i="17" s="1"/>
  <c r="AD194" i="17"/>
  <c r="AE194" i="17" s="1"/>
  <c r="AD79" i="17"/>
  <c r="AE79" i="17" s="1"/>
  <c r="AD242" i="17"/>
  <c r="AE242" i="17" s="1"/>
  <c r="AD332" i="17"/>
  <c r="AE332" i="17" s="1"/>
  <c r="AD550" i="17"/>
  <c r="AE550" i="17" s="1"/>
  <c r="AD89" i="17"/>
  <c r="AE89" i="17" s="1"/>
  <c r="AD330" i="17"/>
  <c r="AE330" i="17" s="1"/>
  <c r="AD36" i="17"/>
  <c r="AE36" i="17" s="1"/>
  <c r="AD571" i="17"/>
  <c r="AE571" i="17" s="1"/>
  <c r="AD587" i="17"/>
  <c r="AE587" i="17" s="1"/>
  <c r="AD301" i="17"/>
  <c r="AE301" i="17" s="1"/>
  <c r="AD305" i="17"/>
  <c r="AE305" i="17" s="1"/>
  <c r="AD231" i="17"/>
  <c r="AE231" i="17" s="1"/>
  <c r="AD525" i="17"/>
  <c r="AE525" i="17" s="1"/>
  <c r="AD32" i="17"/>
  <c r="AE32" i="17" s="1"/>
  <c r="AD544" i="17"/>
  <c r="AE544" i="17" s="1"/>
  <c r="AD218" i="17"/>
  <c r="AE218" i="17" s="1"/>
  <c r="AD462" i="17"/>
  <c r="AE462" i="17" s="1"/>
  <c r="AD33" i="17"/>
  <c r="AE33" i="17" s="1"/>
  <c r="AD75" i="17"/>
  <c r="AE75" i="17" s="1"/>
  <c r="AD84" i="17"/>
  <c r="AE84" i="17" s="1"/>
  <c r="AD461" i="17"/>
  <c r="AE461" i="17" s="1"/>
  <c r="AD169" i="17"/>
  <c r="AE169" i="17" s="1"/>
  <c r="AD366" i="17"/>
  <c r="AE366" i="17" s="1"/>
  <c r="AD31" i="17"/>
  <c r="AE31" i="17" s="1"/>
  <c r="AD573" i="17"/>
  <c r="AE573" i="17" s="1"/>
  <c r="AD154" i="17"/>
  <c r="AE154" i="17" s="1"/>
  <c r="AD346" i="17"/>
  <c r="AE346" i="17" s="1"/>
  <c r="AD507" i="17"/>
  <c r="AE507" i="17" s="1"/>
  <c r="AD382" i="17"/>
  <c r="AE382" i="17" s="1"/>
  <c r="AD596" i="17"/>
  <c r="AE596" i="17" s="1"/>
  <c r="AD18" i="17"/>
  <c r="AE18" i="17" s="1"/>
  <c r="AD155" i="17"/>
  <c r="AE155" i="17" s="1"/>
  <c r="AD95" i="17"/>
  <c r="AE95" i="17" s="1"/>
  <c r="AD125" i="17"/>
  <c r="AE125" i="17" s="1"/>
  <c r="AD549" i="17"/>
  <c r="AE549" i="17" s="1"/>
  <c r="AD541" i="17"/>
  <c r="AE541" i="17" s="1"/>
  <c r="AD179" i="17"/>
  <c r="AE179" i="17" s="1"/>
  <c r="AD197" i="17"/>
  <c r="AE197" i="17" s="1"/>
  <c r="AD606" i="17"/>
  <c r="AE606" i="17" s="1"/>
  <c r="AD108" i="17"/>
  <c r="AE108" i="17" s="1"/>
  <c r="AD395" i="17"/>
  <c r="AE395" i="17" s="1"/>
  <c r="AD444" i="17"/>
  <c r="AE444" i="17" s="1"/>
  <c r="AD588" i="17"/>
  <c r="AE588" i="17" s="1"/>
  <c r="AD51" i="17"/>
  <c r="AE51" i="17" s="1"/>
  <c r="AD532" i="17"/>
  <c r="AE532" i="17" s="1"/>
  <c r="AD167" i="17"/>
  <c r="AE167" i="17" s="1"/>
  <c r="AD240" i="17"/>
  <c r="AE240" i="17" s="1"/>
  <c r="AD168" i="17"/>
  <c r="AE168" i="17" s="1"/>
  <c r="AD246" i="17"/>
  <c r="AE246" i="17" s="1"/>
  <c r="AD195" i="17"/>
  <c r="AE195" i="17" s="1"/>
  <c r="AD170" i="17"/>
  <c r="AE170" i="17" s="1"/>
  <c r="AD551" i="17"/>
  <c r="AE551" i="17" s="1"/>
  <c r="AD488" i="17"/>
  <c r="AE488" i="17" s="1"/>
  <c r="AD114" i="17"/>
  <c r="AE114" i="17" s="1"/>
  <c r="AD85" i="17"/>
  <c r="AE85" i="17" s="1"/>
  <c r="AD374" i="17"/>
  <c r="AE374" i="17" s="1"/>
  <c r="AD409" i="17"/>
  <c r="AE409" i="17" s="1"/>
  <c r="AD601" i="17"/>
  <c r="AE601" i="17" s="1"/>
  <c r="AD262" i="17"/>
  <c r="AE262" i="17" s="1"/>
  <c r="AD222" i="17"/>
  <c r="AE222" i="17" s="1"/>
  <c r="AD248" i="17"/>
  <c r="AE248" i="17" s="1"/>
  <c r="AD157" i="17"/>
  <c r="AE157" i="17" s="1"/>
  <c r="AD273" i="17"/>
  <c r="AE273" i="17" s="1"/>
  <c r="AD408" i="17"/>
  <c r="AE408" i="17" s="1"/>
  <c r="AD559" i="17"/>
  <c r="AE559" i="17" s="1"/>
  <c r="AD105" i="17"/>
  <c r="AE105" i="17" s="1"/>
  <c r="AD511" i="17"/>
  <c r="AE511" i="17" s="1"/>
  <c r="AD223" i="17"/>
  <c r="AE223" i="17" s="1"/>
  <c r="AD181" i="17"/>
  <c r="AE181" i="17" s="1"/>
  <c r="AD455" i="17"/>
  <c r="AE455" i="17" s="1"/>
  <c r="AD29" i="17"/>
  <c r="AE29" i="17" s="1"/>
  <c r="AD244" i="17"/>
  <c r="AE244" i="17" s="1"/>
  <c r="AD611" i="17"/>
  <c r="AE611" i="17" s="1"/>
  <c r="AD473" i="17"/>
  <c r="AE473" i="17" s="1"/>
  <c r="AD83" i="17"/>
  <c r="AE83" i="17" s="1"/>
  <c r="AD227" i="17"/>
  <c r="AE227" i="17" s="1"/>
  <c r="AD510" i="17"/>
  <c r="AE510" i="17" s="1"/>
  <c r="AD272" i="17"/>
  <c r="AE272" i="17" s="1"/>
  <c r="AD479" i="17"/>
  <c r="AE479" i="17" s="1"/>
  <c r="AD353" i="17"/>
  <c r="AE353" i="17" s="1"/>
  <c r="AD226" i="17"/>
  <c r="AE226" i="17" s="1"/>
  <c r="AD474" i="17"/>
  <c r="AE474" i="17" s="1"/>
  <c r="AD243" i="17"/>
  <c r="AE243" i="17" s="1"/>
  <c r="AD456" i="17"/>
  <c r="AE456" i="17" s="1"/>
  <c r="AD180" i="17"/>
  <c r="AE180" i="17" s="1"/>
  <c r="AD352" i="17"/>
  <c r="AE352" i="17" s="1"/>
  <c r="AD261" i="17"/>
  <c r="AE261" i="17" s="1"/>
  <c r="AD542" i="17"/>
  <c r="AE542" i="17" s="1"/>
  <c r="AD478" i="17"/>
  <c r="AE478" i="17" s="1"/>
  <c r="AD543" i="17"/>
  <c r="AE543" i="17" s="1"/>
  <c r="AD285" i="17"/>
  <c r="AE285" i="17" s="1"/>
  <c r="AD249" i="17"/>
  <c r="AE249" i="17" s="1"/>
  <c r="AD605" i="17"/>
  <c r="AE605" i="17" s="1"/>
  <c r="AD247" i="17"/>
  <c r="AE247" i="17" s="1"/>
  <c r="AD221" i="17"/>
  <c r="AE221" i="17" s="1"/>
  <c r="AD602" i="17"/>
  <c r="AE602" i="17" s="1"/>
  <c r="AD80" i="17"/>
  <c r="AE80" i="17" s="1"/>
  <c r="AD331" i="17"/>
  <c r="AE331" i="17" s="1"/>
  <c r="AD201" i="17"/>
  <c r="AE201" i="17" s="1"/>
  <c r="AD268" i="17"/>
  <c r="AE268" i="17" s="1"/>
  <c r="AD521" i="17"/>
  <c r="AE521" i="17" s="1"/>
  <c r="AD87" i="17"/>
  <c r="AE87" i="17" s="1"/>
  <c r="AD522" i="17"/>
  <c r="AE522" i="17" s="1"/>
  <c r="AD480" i="17"/>
  <c r="AE480" i="17" s="1"/>
  <c r="AD557" i="17"/>
  <c r="AE557" i="17" s="1"/>
  <c r="AD447" i="17"/>
  <c r="AE447" i="17" s="1"/>
  <c r="AD141" i="17"/>
  <c r="AE141" i="17" s="1"/>
  <c r="AD425" i="17"/>
  <c r="AE425" i="17" s="1"/>
  <c r="AD30" i="17"/>
  <c r="AE30" i="17" s="1"/>
  <c r="AD430" i="17"/>
  <c r="AE430" i="17" s="1"/>
  <c r="AD142" i="17"/>
  <c r="AE142" i="17" s="1"/>
  <c r="AD103" i="17"/>
  <c r="AE103" i="17" s="1"/>
  <c r="AD177" i="17"/>
  <c r="AE177" i="17" s="1"/>
  <c r="AD608" i="17"/>
  <c r="AE608" i="17" s="1"/>
  <c r="AD518" i="17"/>
  <c r="AE518" i="17" s="1"/>
  <c r="AD524" i="17"/>
  <c r="AE524" i="17" s="1"/>
  <c r="AD96" i="17"/>
  <c r="AE96" i="17" s="1"/>
  <c r="AD264" i="17"/>
  <c r="AE264" i="17" s="1"/>
  <c r="AD191" i="17"/>
  <c r="AE191" i="17" s="1"/>
  <c r="AD581" i="17"/>
  <c r="AE581" i="17" s="1"/>
  <c r="AD339" i="17"/>
  <c r="AE339" i="17" s="1"/>
  <c r="AD547" i="17"/>
  <c r="AE547" i="17" s="1"/>
  <c r="AD371" i="17"/>
  <c r="AE371" i="17" s="1"/>
  <c r="AD347" i="17"/>
  <c r="AE347" i="17" s="1"/>
  <c r="AD372" i="17"/>
  <c r="AE372" i="17" s="1"/>
  <c r="AD16" i="17"/>
  <c r="AE16" i="17" s="1"/>
  <c r="AD47" i="17"/>
  <c r="AE47" i="17" s="1"/>
  <c r="AD445" i="17"/>
  <c r="AE445" i="17" s="1"/>
  <c r="U117" i="17"/>
  <c r="AD580" i="17"/>
  <c r="AE580" i="17" s="1"/>
  <c r="AD202" i="17"/>
  <c r="AE202" i="17" s="1"/>
  <c r="AD558" i="17"/>
  <c r="AE558" i="17" s="1"/>
  <c r="AD210" i="17"/>
  <c r="AE210" i="17" s="1"/>
  <c r="AD523" i="17"/>
  <c r="AE523" i="17" s="1"/>
  <c r="AD504" i="17"/>
  <c r="AE504" i="17" s="1"/>
  <c r="AD452" i="17"/>
  <c r="AE452" i="17" s="1"/>
  <c r="AD160" i="17"/>
  <c r="AE160" i="17" s="1"/>
  <c r="AD398" i="17"/>
  <c r="AE398" i="17" s="1"/>
  <c r="AD88" i="17"/>
  <c r="AE88" i="17" s="1"/>
  <c r="AD164" i="17"/>
  <c r="AE164" i="17" s="1"/>
  <c r="AD159" i="17"/>
  <c r="AE159" i="17" s="1"/>
  <c r="AD165" i="17"/>
  <c r="AE165" i="17" s="1"/>
  <c r="AD486" i="17"/>
  <c r="AE486" i="17" s="1"/>
  <c r="AD467" i="17"/>
  <c r="AE467" i="17" s="1"/>
  <c r="AD546" i="17"/>
  <c r="AE546" i="17" s="1"/>
  <c r="AD335" i="17"/>
  <c r="AE335" i="17" s="1"/>
  <c r="AD192" i="17"/>
  <c r="AE192" i="17" s="1"/>
  <c r="AD118" i="17"/>
  <c r="AE118" i="17" s="1"/>
  <c r="AD178" i="17"/>
  <c r="AE178" i="17" s="1"/>
  <c r="AD45" i="17"/>
  <c r="AE45" i="17" s="1"/>
  <c r="AD595" i="17"/>
  <c r="AE595" i="17" s="1"/>
  <c r="AD443" i="17"/>
  <c r="AE443" i="17" s="1"/>
  <c r="AD399" i="17"/>
  <c r="AE399" i="17" s="1"/>
  <c r="AD586" i="17"/>
  <c r="AE586" i="17" s="1"/>
  <c r="AD143" i="17"/>
  <c r="AE143" i="17" s="1"/>
  <c r="AD263" i="17"/>
  <c r="AE263" i="17" s="1"/>
  <c r="AD327" i="17"/>
  <c r="AE327" i="17" s="1"/>
  <c r="AD403" i="17"/>
  <c r="AE403" i="17" s="1"/>
  <c r="AD176" i="17"/>
  <c r="AE176" i="17" s="1"/>
  <c r="AD44" i="17"/>
  <c r="AE44" i="17" s="1"/>
  <c r="AD378" i="17"/>
  <c r="AE378" i="17" s="1"/>
  <c r="AD28" i="17"/>
  <c r="AE28" i="17" s="1"/>
  <c r="AD256" i="17"/>
  <c r="AE256" i="17" s="1"/>
  <c r="AD257" i="17"/>
  <c r="AE257" i="17" s="1"/>
  <c r="AD485" i="17"/>
  <c r="AE485" i="17" s="1"/>
  <c r="AD328" i="17"/>
  <c r="AE328" i="17" s="1"/>
  <c r="AD451" i="17"/>
  <c r="AE451" i="17" s="1"/>
  <c r="AD556" i="17"/>
  <c r="AE556" i="17" s="1"/>
  <c r="AD295" i="17"/>
  <c r="AE295" i="17" s="1"/>
  <c r="AD450" i="17"/>
  <c r="AE450" i="17" s="1"/>
  <c r="AD313" i="17"/>
  <c r="AE313" i="17" s="1"/>
  <c r="AD43" i="17"/>
  <c r="AE43" i="17" s="1"/>
  <c r="AD209" i="17"/>
  <c r="AE209" i="17" s="1"/>
  <c r="AD377" i="17"/>
  <c r="AE377" i="17" s="1"/>
  <c r="AD476" i="17"/>
  <c r="AE476" i="17" s="1"/>
  <c r="AD131" i="17"/>
  <c r="AE131" i="17" s="1"/>
  <c r="AD60" i="17"/>
  <c r="AE60" i="17" s="1"/>
  <c r="AD64" i="17"/>
  <c r="AE64" i="17" s="1"/>
  <c r="AD216" i="17"/>
  <c r="AE216" i="17" s="1"/>
  <c r="AD119" i="17"/>
  <c r="AE119" i="17" s="1"/>
  <c r="AD424" i="17"/>
  <c r="AE424" i="17" s="1"/>
  <c r="AD215" i="17"/>
  <c r="AE215" i="17" s="1"/>
  <c r="AD117" i="17"/>
  <c r="AE117" i="17" s="1"/>
  <c r="AD65" i="17"/>
  <c r="AE65" i="17" s="1"/>
  <c r="AD509" i="17"/>
  <c r="AE509" i="17" s="1"/>
  <c r="AD53" i="17"/>
  <c r="AE53" i="17" s="1"/>
  <c r="AD519" i="17"/>
  <c r="AE519" i="17" s="1"/>
  <c r="AD365" i="17"/>
  <c r="AE365" i="17" s="1"/>
  <c r="AD336" i="17"/>
  <c r="AE336" i="17" s="1"/>
  <c r="AD364" i="17"/>
  <c r="AE364" i="17" s="1"/>
  <c r="AD126" i="17"/>
  <c r="AE126" i="17" s="1"/>
  <c r="AD312" i="17"/>
  <c r="AE312" i="17" s="1"/>
  <c r="AD104" i="17"/>
  <c r="AE104" i="17" s="1"/>
  <c r="AD106" i="17"/>
  <c r="AE106" i="17" s="1"/>
  <c r="AD127" i="17"/>
  <c r="AE127" i="17" s="1"/>
  <c r="AD376" i="17"/>
  <c r="AE376" i="17" s="1"/>
  <c r="AD503" i="17"/>
  <c r="AE503" i="17" s="1"/>
  <c r="AD296" i="17"/>
  <c r="AE296" i="17" s="1"/>
  <c r="AD140" i="17"/>
  <c r="AE140" i="17" s="1"/>
  <c r="AD475" i="17"/>
  <c r="AE475" i="17" s="1"/>
  <c r="AD276" i="17"/>
  <c r="AE276" i="17" s="1"/>
  <c r="AD466" i="17"/>
  <c r="AE466" i="17" s="1"/>
  <c r="AD27" i="17"/>
  <c r="AE27" i="17" s="1"/>
  <c r="AD342" i="17"/>
  <c r="AE342" i="17" s="1"/>
  <c r="AD341" i="17"/>
  <c r="AE341" i="17" s="1"/>
  <c r="AD449" i="17"/>
  <c r="AE449" i="17" s="1"/>
  <c r="AD269" i="17"/>
  <c r="AE269" i="17" s="1"/>
  <c r="AB625" i="17"/>
  <c r="AE7" i="25" l="1"/>
  <c r="Q4" i="25" s="1"/>
  <c r="AE13" i="25"/>
  <c r="AE9" i="25" s="1"/>
  <c r="Q5" i="25" s="1"/>
  <c r="AE9" i="17"/>
  <c r="Q5" i="17" s="1"/>
  <c r="AE7" i="17"/>
  <c r="Q4" i="17" s="1"/>
  <c r="B365" i="2" l="1"/>
  <c r="A365" i="2"/>
  <c r="B366" i="2"/>
  <c r="A366" i="2"/>
  <c r="A640" i="25"/>
  <c r="A617" i="25"/>
  <c r="A639" i="25"/>
  <c r="A639" i="17"/>
  <c r="A640" i="17"/>
  <c r="A617" i="17"/>
  <c r="F617" i="17" s="1"/>
  <c r="D365" i="2"/>
  <c r="H617" i="25" l="1"/>
  <c r="G617" i="25"/>
  <c r="G617" i="17"/>
  <c r="H617" i="17"/>
  <c r="O617" i="25"/>
  <c r="P617" i="25"/>
  <c r="A618" i="25"/>
  <c r="A619" i="25" s="1"/>
  <c r="L617" i="25"/>
  <c r="D617" i="25"/>
  <c r="K617" i="25"/>
  <c r="C617" i="25"/>
  <c r="M617" i="25"/>
  <c r="I617" i="25"/>
  <c r="E617" i="25"/>
  <c r="J617" i="25"/>
  <c r="N617" i="25"/>
  <c r="F617" i="25"/>
  <c r="K617" i="17"/>
  <c r="N617" i="17"/>
  <c r="P617" i="17"/>
  <c r="L617" i="17"/>
  <c r="M617" i="17"/>
  <c r="J617" i="17"/>
  <c r="E617" i="17"/>
  <c r="O617" i="17"/>
  <c r="D617" i="17"/>
  <c r="A618" i="17"/>
  <c r="A619" i="17" s="1"/>
  <c r="C617" i="17"/>
  <c r="I617" i="17"/>
  <c r="X617" i="25" l="1"/>
  <c r="Q617" i="25"/>
  <c r="AA617" i="25"/>
  <c r="Y617" i="25"/>
  <c r="AB617" i="25"/>
  <c r="R617" i="25"/>
  <c r="X617" i="17"/>
  <c r="AB617" i="17"/>
  <c r="R617" i="17"/>
  <c r="R620" i="17" s="1"/>
  <c r="Y617" i="17"/>
  <c r="AA617" i="17"/>
  <c r="Q617" i="17"/>
  <c r="S617" i="25" l="1"/>
  <c r="R620" i="25"/>
  <c r="S61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BDATSC</author>
  </authors>
  <commentList>
    <comment ref="A3" authorId="0" shapeId="0" xr:uid="{00000000-0006-0000-0000-000001000000}">
      <text>
        <r>
          <rPr>
            <b/>
            <sz val="12"/>
            <color indexed="10"/>
            <rFont val="Tahoma"/>
            <family val="2"/>
          </rPr>
          <t>Welcome to the LM(2)5143/-Q1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LM(2)5143/-Q1 dual-channel / multi-phase synchronous buck controller</t>
        </r>
        <r>
          <rPr>
            <sz val="9"/>
            <color indexed="81"/>
            <rFont val="Tahoma"/>
            <family val="2"/>
          </rPr>
          <t xml:space="preserve">. As such, the user can expeditiously arrive at an optimized design by virtue of the following:
- Determine curretn sense resistances, buck inductances and input and output capacitances
- Select components to set switching frequency, soft-start, hiccup time and dither
- Optimize compensation values and pole/zero placement in terms of control loop stability using crossover frequency as a performance metric (for both dual-channel and two-phase interleaved)
- Inspect regulator efficiency and component power dissipations vs. line and load
- Analyze efficiency based on selected MOSFET parameters
- Configure the controller for dual-output or single-output (2/3/4-phase) configurations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http://www.ti.com/widevin/</t>
        </r>
        <r>
          <rPr>
            <sz val="9"/>
            <color indexed="81"/>
            <rFont val="Tahoma"/>
            <family val="2"/>
          </rPr>
          <t xml:space="preserve">
</t>
        </r>
        <r>
          <rPr>
            <b/>
            <sz val="9"/>
            <color indexed="81"/>
            <rFont val="Tahoma"/>
            <family val="2"/>
          </rPr>
          <t xml:space="preserve">
Rev B,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LM(2)5143/-Q1 product datasheet and EVM user's guide for more details.
</t>
        </r>
        <r>
          <rPr>
            <b/>
            <sz val="9"/>
            <color indexed="81"/>
            <rFont val="Tahoma"/>
            <family val="2"/>
          </rPr>
          <t>Rev B, Timothy Hegarty, Texas Instruments, Inc.</t>
        </r>
      </text>
    </comment>
    <comment ref="F7"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minimum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(42V)65V</t>
        </r>
        <r>
          <rPr>
            <sz val="9"/>
            <color indexed="81"/>
            <rFont val="Tahoma"/>
            <family val="2"/>
          </rPr>
          <t xml:space="preserve">
-The input voltage is below </t>
        </r>
        <r>
          <rPr>
            <b/>
            <sz val="9"/>
            <color indexed="10"/>
            <rFont val="Tahoma"/>
            <family val="2"/>
          </rPr>
          <t>3.5V</t>
        </r>
      </text>
    </comment>
    <comment ref="F8"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text>
    </comment>
    <comment ref="F9"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maximum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(42V)65V</t>
        </r>
        <r>
          <rPr>
            <sz val="9"/>
            <color indexed="81"/>
            <rFont val="Tahoma"/>
            <family val="2"/>
          </rPr>
          <t xml:space="preserve">
-The input voltage is below </t>
        </r>
        <r>
          <rPr>
            <b/>
            <sz val="9"/>
            <color indexed="10"/>
            <rFont val="Tahoma"/>
            <family val="2"/>
          </rPr>
          <t>3.5V</t>
        </r>
      </text>
    </comment>
    <comment ref="F10"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The text in the cell is flagged red if:
</t>
        </r>
        <r>
          <rPr>
            <b/>
            <sz val="9"/>
            <color indexed="10"/>
            <rFont val="Tahoma"/>
            <family val="2"/>
          </rPr>
          <t>-The output voltage is above 55V (LM5143) or 36V (LM25143) 
-The output voltage is below 0.6V</t>
        </r>
      </text>
    </comment>
    <comment ref="F12"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T</t>
        </r>
        <r>
          <rPr>
            <b/>
            <sz val="9"/>
            <color indexed="81"/>
            <rFont val="Tahoma"/>
            <family val="2"/>
          </rPr>
          <t>):</t>
        </r>
        <r>
          <rPr>
            <sz val="9"/>
            <color indexed="81"/>
            <rFont val="Tahoma"/>
            <family val="2"/>
          </rPr>
          <t xml:space="preserve">
This cell defines the switching frequency set by the R</t>
        </r>
        <r>
          <rPr>
            <vertAlign val="subscript"/>
            <sz val="9"/>
            <color indexed="81"/>
            <rFont val="Tahoma"/>
            <family val="2"/>
          </rPr>
          <t>T</t>
        </r>
        <r>
          <rPr>
            <sz val="9"/>
            <color indexed="81"/>
            <rFont val="Tahoma"/>
            <family val="2"/>
          </rPr>
          <t xml:space="preserve"> resistor or SYNCIN. The max frequency set by RT is 2.2MHz, but SYNCIN can be as high as 2.5MHz.
</t>
        </r>
        <r>
          <rPr>
            <b/>
            <sz val="9"/>
            <color indexed="81"/>
            <rFont val="Tahoma"/>
            <family val="2"/>
          </rPr>
          <t xml:space="preserve">The text in the cell is flagged red if:
</t>
        </r>
        <r>
          <rPr>
            <b/>
            <sz val="9"/>
            <color indexed="10"/>
            <rFont val="Tahoma"/>
            <family val="2"/>
          </rPr>
          <t>-The frequency is below 100 kHz
-The frequency is above 2.5 MHz</t>
        </r>
        <r>
          <rPr>
            <sz val="11"/>
            <color indexed="81"/>
            <rFont val="Tahoma"/>
            <family val="2"/>
          </rPr>
          <t xml:space="preserve">
</t>
        </r>
      </text>
    </comment>
    <comment ref="F17" authorId="0" shapeId="0" xr:uid="{00000000-0006-0000-0000-000008000000}">
      <text>
        <r>
          <rPr>
            <b/>
            <u/>
            <sz val="9"/>
            <color indexed="81"/>
            <rFont val="Tahoma"/>
            <family val="2"/>
          </rPr>
          <t>OCP Setpoint</t>
        </r>
        <r>
          <rPr>
            <b/>
            <sz val="9"/>
            <color indexed="81"/>
            <rFont val="Tahoma"/>
            <family val="2"/>
          </rPr>
          <t xml:space="preserve">:
</t>
        </r>
        <r>
          <rPr>
            <sz val="9"/>
            <color indexed="81"/>
            <rFont val="Tahoma"/>
            <family val="2"/>
          </rPr>
          <t>Enter the required overcurrent protection (OCP) setpoint based on the total output current requirement. A typical level is 140% of full load current.</t>
        </r>
      </text>
    </comment>
    <comment ref="F18" authorId="0" shapeId="0" xr:uid="{00000000-0006-0000-0000-000009000000}">
      <text>
        <r>
          <rPr>
            <b/>
            <u/>
            <sz val="9"/>
            <color indexed="81"/>
            <rFont val="Tahoma"/>
            <family val="2"/>
          </rPr>
          <t>Sense Resistance</t>
        </r>
        <r>
          <rPr>
            <b/>
            <sz val="9"/>
            <color indexed="81"/>
            <rFont val="Tahoma"/>
            <family val="2"/>
          </rPr>
          <t>:</t>
        </r>
        <r>
          <rPr>
            <sz val="9"/>
            <color indexed="81"/>
            <rFont val="Tahoma"/>
            <family val="2"/>
          </rPr>
          <t xml:space="preserve">
Use this resistor to sense current and set the cycle-by-cycle overcurrent protection. As such, the calculation takes the required current limit setpoint and the inductor ripple current amplitude to calculate </t>
        </r>
        <r>
          <rPr>
            <b/>
            <sz val="9"/>
            <color indexed="81"/>
            <rFont val="Tahoma"/>
            <family val="2"/>
          </rPr>
          <t>R</t>
        </r>
        <r>
          <rPr>
            <b/>
            <vertAlign val="subscript"/>
            <sz val="9"/>
            <color indexed="81"/>
            <rFont val="Tahoma"/>
            <family val="2"/>
          </rPr>
          <t>SENSE</t>
        </r>
        <r>
          <rPr>
            <sz val="9"/>
            <color indexed="81"/>
            <rFont val="Tahoma"/>
            <family val="2"/>
          </rPr>
          <t xml:space="preserve">.
</t>
        </r>
        <r>
          <rPr>
            <sz val="9"/>
            <color indexed="81"/>
            <rFont val="Tahoma"/>
            <family val="2"/>
          </rPr>
          <t xml:space="preserve">The resistances of </t>
        </r>
        <r>
          <rPr>
            <b/>
            <sz val="9"/>
            <color indexed="81"/>
            <rFont val="Tahoma"/>
            <family val="2"/>
          </rPr>
          <t>R</t>
        </r>
        <r>
          <rPr>
            <b/>
            <vertAlign val="subscript"/>
            <sz val="9"/>
            <color indexed="81"/>
            <rFont val="Tahoma"/>
            <family val="2"/>
          </rPr>
          <t>CS1</t>
        </r>
        <r>
          <rPr>
            <sz val="9"/>
            <color indexed="81"/>
            <rFont val="Tahoma"/>
            <family val="2"/>
          </rPr>
          <t xml:space="preserve"> and </t>
        </r>
        <r>
          <rPr>
            <b/>
            <sz val="9"/>
            <color indexed="81"/>
            <rFont val="Tahoma"/>
            <family val="2"/>
          </rPr>
          <t>R</t>
        </r>
        <r>
          <rPr>
            <b/>
            <vertAlign val="subscript"/>
            <sz val="9"/>
            <color indexed="81"/>
            <rFont val="Tahoma"/>
            <family val="2"/>
          </rPr>
          <t>CS2</t>
        </r>
        <r>
          <rPr>
            <sz val="9"/>
            <color indexed="81"/>
            <rFont val="Tahoma"/>
            <family val="2"/>
          </rPr>
          <t xml:space="preserve"> are equal for balanced common-mode filtering to the CS and VOUT pins.</t>
        </r>
      </text>
    </comment>
    <comment ref="F20" authorId="0" shapeId="0" xr:uid="{00000000-0006-0000-0000-00000A000000}">
      <text>
        <r>
          <rPr>
            <b/>
            <u/>
            <sz val="9"/>
            <color indexed="81"/>
            <rFont val="Tahoma"/>
            <family val="2"/>
          </rPr>
          <t>Minimum Inductor Saturation Current</t>
        </r>
        <r>
          <rPr>
            <b/>
            <sz val="9"/>
            <color indexed="81"/>
            <rFont val="Tahoma"/>
            <family val="2"/>
          </rPr>
          <t>:</t>
        </r>
        <r>
          <rPr>
            <sz val="9"/>
            <color indexed="81"/>
            <rFont val="Tahoma"/>
            <family val="2"/>
          </rPr>
          <t xml:space="preserve">
Maximum peak current in the inductor. The result corresponds to onset of current limit and is intended as a guide to inductor selection as it relates to saturation current level.</t>
        </r>
      </text>
    </comment>
    <comment ref="F21" authorId="0" shapeId="0" xr:uid="{00000000-0006-0000-0000-00000B000000}">
      <text>
        <r>
          <rPr>
            <b/>
            <u/>
            <sz val="9"/>
            <color indexed="81"/>
            <rFont val="Tahoma"/>
            <family val="2"/>
          </rPr>
          <t>Max Shunt Dissipation</t>
        </r>
        <r>
          <rPr>
            <b/>
            <sz val="9"/>
            <color indexed="81"/>
            <rFont val="Tahoma"/>
            <family val="2"/>
          </rPr>
          <t>:</t>
        </r>
        <r>
          <rPr>
            <sz val="9"/>
            <color indexed="81"/>
            <rFont val="Tahoma"/>
            <family val="2"/>
          </rPr>
          <t xml:space="preserve">
Maximum power loss in the shunt resistor occurs at V</t>
        </r>
        <r>
          <rPr>
            <vertAlign val="subscript"/>
            <sz val="9"/>
            <color indexed="81"/>
            <rFont val="Tahoma"/>
            <family val="2"/>
          </rPr>
          <t>IN(min)</t>
        </r>
        <r>
          <rPr>
            <sz val="9"/>
            <color indexed="81"/>
            <rFont val="Tahoma"/>
            <family val="2"/>
          </rPr>
          <t xml:space="preserve">. The result is provided at the load current corresponding to the onset of OCP.
</t>
        </r>
      </text>
    </comment>
    <comment ref="F22" authorId="0" shapeId="0" xr:uid="{00000000-0006-0000-0000-00000C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minimum input voltage</t>
        </r>
        <r>
          <rPr>
            <sz val="9"/>
            <color indexed="81"/>
            <rFont val="Tahoma"/>
            <family val="2"/>
          </rPr>
          <t>.</t>
        </r>
      </text>
    </comment>
    <comment ref="F23" authorId="0" shapeId="0" xr:uid="{00000000-0006-0000-0000-00000D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nominal input voltage</t>
        </r>
        <r>
          <rPr>
            <sz val="9"/>
            <color indexed="81"/>
            <rFont val="Tahoma"/>
            <family val="2"/>
          </rPr>
          <t>.</t>
        </r>
      </text>
    </comment>
    <comment ref="F24" authorId="0" shapeId="0" xr:uid="{00000000-0006-0000-0000-00000E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maximum input voltage</t>
        </r>
        <r>
          <rPr>
            <sz val="9"/>
            <color indexed="81"/>
            <rFont val="Tahoma"/>
            <family val="2"/>
          </rPr>
          <t>.</t>
        </r>
      </text>
    </comment>
    <comment ref="F27" authorId="1" shapeId="0" xr:uid="{00000000-0006-0000-0000-00000F000000}">
      <text>
        <r>
          <rPr>
            <b/>
            <sz val="9"/>
            <color indexed="81"/>
            <rFont val="Tahoma"/>
            <family val="2"/>
          </rPr>
          <t>Recommended inductance:</t>
        </r>
        <r>
          <rPr>
            <sz val="9"/>
            <color indexed="81"/>
            <rFont val="Tahoma"/>
            <family val="2"/>
          </rPr>
          <t xml:space="preserve">
This is the nominal inductance that sets the inductor current downslope di/dt equal to the slope compensation contribution.</t>
        </r>
      </text>
    </comment>
    <comment ref="F28" authorId="0" shapeId="0" xr:uid="{00000000-0006-0000-0000-000010000000}">
      <text>
        <r>
          <rPr>
            <b/>
            <u/>
            <sz val="9"/>
            <color indexed="81"/>
            <rFont val="Tahoma"/>
            <family val="2"/>
          </rPr>
          <t>Buck Inductance</t>
        </r>
        <r>
          <rPr>
            <b/>
            <sz val="9"/>
            <color indexed="81"/>
            <rFont val="Tahoma"/>
            <family val="2"/>
          </rPr>
          <t xml:space="preserve">:
</t>
        </r>
        <r>
          <rPr>
            <sz val="9"/>
            <color indexed="81"/>
            <rFont val="Tahoma"/>
            <family val="2"/>
          </rPr>
          <t>Enter the buck inductance here.
Target inductor (peak-to-peak) ripple currrent is 30-40% of the DC full load current at nominal input voltage.
Setting the inductance equal to the recommended value gives ideal (one times inductor current downlope) slope compensation. As 0.5 times inductor current downslope is the absolute minimum slope comp requirement, do not choose an inductance less than half the recommended.</t>
        </r>
      </text>
    </comment>
    <comment ref="F29" authorId="0" shapeId="0" xr:uid="{00000000-0006-0000-0000-000011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33" authorId="0" shapeId="0" xr:uid="{00000000-0006-0000-0000-000012000000}">
      <text>
        <r>
          <rPr>
            <b/>
            <u/>
            <sz val="9"/>
            <color indexed="81"/>
            <rFont val="Tahoma"/>
            <family val="2"/>
          </rPr>
          <t>Output Voltage Ripple</t>
        </r>
        <r>
          <rPr>
            <b/>
            <sz val="9"/>
            <color indexed="81"/>
            <rFont val="Tahoma"/>
            <family val="2"/>
          </rPr>
          <t xml:space="preserve">:
</t>
        </r>
        <r>
          <rPr>
            <sz val="9"/>
            <color indexed="81"/>
            <rFont val="Tahoma"/>
            <family val="2"/>
          </rPr>
          <t xml:space="preserve">Enter the desired maximum peak-to-peak output voltage ripple here. This will set the ideal output capacitance value.
</t>
        </r>
        <r>
          <rPr>
            <b/>
            <sz val="9"/>
            <color indexed="81"/>
            <rFont val="Tahoma"/>
            <family val="2"/>
          </rPr>
          <t xml:space="preserve">
The text in the cell is flagged red if:
</t>
        </r>
        <r>
          <rPr>
            <b/>
            <sz val="9"/>
            <color indexed="10"/>
            <rFont val="Tahoma"/>
            <family val="2"/>
          </rPr>
          <t>-The output voltage ripple is zero.</t>
        </r>
      </text>
    </comment>
    <comment ref="F35" authorId="0" shapeId="0" xr:uid="{00000000-0006-0000-0000-000013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derated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the cell is flagged red if:</t>
        </r>
        <r>
          <rPr>
            <sz val="9"/>
            <color indexed="81"/>
            <rFont val="Tahoma"/>
            <family val="2"/>
          </rPr>
          <t xml:space="preserve">
</t>
        </r>
        <r>
          <rPr>
            <b/>
            <sz val="9"/>
            <color indexed="10"/>
            <rFont val="Tahoma"/>
            <family val="2"/>
          </rPr>
          <t>-The chosen output capacitor is smaller than the minimum ideal capacitance.</t>
        </r>
      </text>
    </comment>
    <comment ref="F37" authorId="0" shapeId="0" xr:uid="{00000000-0006-0000-0000-000014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F42" authorId="0" shapeId="0" xr:uid="{00000000-0006-0000-0000-000015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thiecell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F44" authorId="0" shapeId="0" xr:uid="{00000000-0006-0000-0000-000016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the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F46" authorId="0" shapeId="0" xr:uid="{00000000-0006-0000-0000-000017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F51" authorId="0" shapeId="0" xr:uid="{00000000-0006-0000-0000-000018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
        </r>
        <r>
          <rPr>
            <b/>
            <sz val="8"/>
            <color indexed="81"/>
            <rFont val="Tahoma"/>
            <family val="2"/>
          </rPr>
          <t xml:space="preserve">
The text in this cell is flagged red if:</t>
        </r>
        <r>
          <rPr>
            <sz val="8"/>
            <color indexed="81"/>
            <rFont val="Tahoma"/>
            <family val="2"/>
          </rPr>
          <t xml:space="preserve">
</t>
        </r>
        <r>
          <rPr>
            <b/>
            <sz val="8"/>
            <color indexed="10"/>
            <rFont val="Tahoma"/>
            <family val="2"/>
          </rPr>
          <t>-The specified soft-start time is less than 0.1 ms.</t>
        </r>
      </text>
    </comment>
    <comment ref="F53" authorId="0" shapeId="0" xr:uid="{00000000-0006-0000-0000-000019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hiccup time here
</t>
        </r>
        <r>
          <rPr>
            <b/>
            <sz val="8"/>
            <color indexed="81"/>
            <rFont val="Tahoma"/>
            <family val="2"/>
          </rPr>
          <t xml:space="preserve">
The text in this cell is flagged red if:</t>
        </r>
        <r>
          <rPr>
            <sz val="8"/>
            <color indexed="81"/>
            <rFont val="Tahoma"/>
            <family val="2"/>
          </rPr>
          <t xml:space="preserve">
</t>
        </r>
        <r>
          <rPr>
            <b/>
            <sz val="8"/>
            <color indexed="10"/>
            <rFont val="Tahoma"/>
            <family val="2"/>
          </rPr>
          <t>-The specified soft-start time is less than 0 ms.</t>
        </r>
      </text>
    </comment>
    <comment ref="F55" authorId="0" shapeId="0" xr:uid="{00000000-0006-0000-0000-00001A000000}">
      <text>
        <r>
          <rPr>
            <b/>
            <u/>
            <sz val="9"/>
            <color indexed="81"/>
            <rFont val="Tahoma"/>
            <family val="2"/>
          </rPr>
          <t>Dither Low Frequency Modulation</t>
        </r>
        <r>
          <rPr>
            <b/>
            <sz val="9"/>
            <color indexed="81"/>
            <rFont val="Tahoma"/>
            <family val="2"/>
          </rPr>
          <t>:</t>
        </r>
        <r>
          <rPr>
            <sz val="9"/>
            <color indexed="81"/>
            <rFont val="Tahoma"/>
            <family val="2"/>
          </rPr>
          <t xml:space="preserve">
Enter the desired dither low-frequency modulation rate. The dither capacitor charges and discharges in triangular fashion between 95% and 105% of the 1.2V bandgap, i.e. 120mV amplitude, and sets up a ±5% modulation of the nominal oscillator frequency.
Note that the LM5143-Q1 does not perform dither if the SYNC function is used.
</t>
        </r>
        <r>
          <rPr>
            <b/>
            <sz val="9"/>
            <color indexed="39"/>
            <rFont val="Tahoma"/>
            <family val="2"/>
          </rPr>
          <t xml:space="preserve">
If the dither feature is not required, the DITH pin should be tied to VDDA.</t>
        </r>
        <r>
          <rPr>
            <sz val="9"/>
            <color indexed="81"/>
            <rFont val="Tahoma"/>
            <family val="2"/>
          </rPr>
          <t xml:space="preserve">
</t>
        </r>
      </text>
    </comment>
    <comment ref="F63" authorId="0" shapeId="0" xr:uid="{00000000-0006-0000-0000-00001B000000}">
      <text>
        <r>
          <rPr>
            <b/>
            <u/>
            <sz val="9"/>
            <color indexed="81"/>
            <rFont val="Tahoma"/>
            <family val="2"/>
          </rPr>
          <t>Crossover Frequency</t>
        </r>
        <r>
          <rPr>
            <b/>
            <sz val="9"/>
            <color indexed="81"/>
            <rFont val="Tahoma"/>
            <family val="2"/>
          </rPr>
          <t>:</t>
        </r>
        <r>
          <rPr>
            <sz val="9"/>
            <color indexed="81"/>
            <rFont val="Tahoma"/>
            <family val="2"/>
          </rPr>
          <t xml:space="preserve">
Enter the desired crossover frequency (usually between 10% and 15% of switching frequency, up to a max of ~100kHz). This feedback compensation components are determined based on this target performance metric.</t>
        </r>
      </text>
    </comment>
    <comment ref="F65" authorId="0" shapeId="0" xr:uid="{00000000-0006-0000-0000-00001C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100kΩ.</t>
        </r>
      </text>
    </comment>
    <comment ref="E69" authorId="0" shapeId="0" xr:uid="{00000000-0006-0000-0000-00001D000000}">
      <text>
        <r>
          <rPr>
            <b/>
            <u/>
            <sz val="9"/>
            <color indexed="81"/>
            <rFont val="Tahoma"/>
            <family val="2"/>
          </rPr>
          <t>Selected Compensation Components</t>
        </r>
        <r>
          <rPr>
            <b/>
            <sz val="9"/>
            <color indexed="81"/>
            <rFont val="Tahoma"/>
            <family val="2"/>
          </rPr>
          <t>:</t>
        </r>
        <r>
          <rPr>
            <sz val="9"/>
            <color indexed="81"/>
            <rFont val="Tahoma"/>
            <family val="2"/>
          </rPr>
          <t xml:space="preserve">
</t>
        </r>
        <r>
          <rPr>
            <b/>
            <sz val="9"/>
            <color indexed="14"/>
            <rFont val="Tahoma"/>
            <family val="2"/>
          </rPr>
          <t>Note:</t>
        </r>
        <r>
          <rPr>
            <sz val="9"/>
            <color indexed="81"/>
            <rFont val="Tahoma"/>
            <family val="2"/>
          </rPr>
          <t xml:space="preserve">
</t>
        </r>
        <r>
          <rPr>
            <b/>
            <sz val="9"/>
            <color indexed="81"/>
            <rFont val="Tahoma"/>
            <family val="2"/>
          </rPr>
          <t>Compensation components are calculated based on the desired crossover frequency from Step 7.</t>
        </r>
        <r>
          <rPr>
            <sz val="9"/>
            <color indexed="81"/>
            <rFont val="Tahoma"/>
            <family val="2"/>
          </rPr>
          <t xml:space="preserve">
</t>
        </r>
        <r>
          <rPr>
            <b/>
            <sz val="9"/>
            <color indexed="14"/>
            <rFont val="Tahoma"/>
            <family val="2"/>
          </rPr>
          <t>Important:</t>
        </r>
        <r>
          <rPr>
            <sz val="9"/>
            <color indexed="81"/>
            <rFont val="Tahoma"/>
            <family val="2"/>
          </rPr>
          <t xml:space="preserve">
</t>
        </r>
        <r>
          <rPr>
            <b/>
            <sz val="9"/>
            <color indexed="39"/>
            <rFont val="Tahoma"/>
            <family val="2"/>
          </rPr>
          <t>1. Fix the compensation values by clicking the FIX VALUES button.</t>
        </r>
        <r>
          <rPr>
            <b/>
            <sz val="9"/>
            <color indexed="10"/>
            <rFont val="Tahoma"/>
            <family val="2"/>
          </rPr>
          <t xml:space="preserve">
</t>
        </r>
        <r>
          <rPr>
            <b/>
            <sz val="9"/>
            <color indexed="39"/>
            <rFont val="Tahoma"/>
            <family val="2"/>
          </rPr>
          <t>2. Click on RESET VALUES such that thee compensation values update with change of components or crossover frequency.</t>
        </r>
      </text>
    </comment>
    <comment ref="E83" authorId="2" shapeId="0" xr:uid="{00000000-0006-0000-0000-00001E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F83" authorId="2" shapeId="0" xr:uid="{00000000-0006-0000-0000-00001F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low-side MOSFET here  (at the appropriate gate drive level, typically 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4" authorId="2" shapeId="0" xr:uid="{00000000-0006-0000-0000-000020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5V).</t>
        </r>
      </text>
    </comment>
    <comment ref="F84" authorId="2" shapeId="0" xr:uid="{00000000-0006-0000-0000-000021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low-side MOSFET here (at the appropriate gate drive level, typically 5V)</t>
        </r>
      </text>
    </comment>
    <comment ref="E85" authorId="2" shapeId="0" xr:uid="{00000000-0006-0000-0000-000022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F85" authorId="2" shapeId="0" xr:uid="{00000000-0006-0000-0000-000023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low-side MOSFET here.</t>
        </r>
      </text>
    </comment>
    <comment ref="E86" authorId="2" shapeId="0" xr:uid="{00000000-0006-0000-0000-000024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high-side MOSFET gate-source charge here. </t>
        </r>
      </text>
    </comment>
    <comment ref="F86" authorId="2" shapeId="0" xr:uid="{00000000-0006-0000-0000-000025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low-side MOSFET gate-source charge here. </t>
        </r>
      </text>
    </comment>
    <comment ref="F87" authorId="2" shapeId="0" xr:uid="{00000000-0006-0000-0000-000026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low-side MOSFET output charge here. </t>
        </r>
      </text>
    </comment>
    <comment ref="E88" authorId="2" shapeId="0" xr:uid="{00000000-0006-0000-0000-000027000000}">
      <text>
        <r>
          <rPr>
            <b/>
            <sz val="10"/>
            <color indexed="81"/>
            <rFont val="Tahoma"/>
            <family val="2"/>
          </rPr>
          <t>Output Charge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high-side MOSFET output capacitance at nominal VIN here. </t>
        </r>
      </text>
    </comment>
    <comment ref="F88" authorId="2" shapeId="0" xr:uid="{00000000-0006-0000-0000-000028000000}">
      <text>
        <r>
          <rPr>
            <b/>
            <sz val="10"/>
            <color indexed="81"/>
            <rFont val="Tahoma"/>
            <family val="2"/>
          </rPr>
          <t>Drain-Source Capacitance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low-side MOSFET output capacitance at nominal VIN here. </t>
        </r>
      </text>
    </comment>
    <comment ref="E89" authorId="2" shapeId="0" xr:uid="{00000000-0006-0000-0000-000029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F89" authorId="2" shapeId="0" xr:uid="{00000000-0006-0000-0000-00002A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low-side MOSFET gate resistance here. </t>
        </r>
      </text>
    </comment>
    <comment ref="E90" authorId="2" shapeId="0" xr:uid="{00000000-0006-0000-0000-00002B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F90" authorId="2" shapeId="0" xr:uid="{00000000-0006-0000-0000-00002C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low-side MOSFET here.</t>
        </r>
      </text>
    </comment>
    <comment ref="E91" authorId="2" shapeId="0" xr:uid="{00000000-0006-0000-0000-00002D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91" authorId="2" shapeId="0" xr:uid="{00000000-0006-0000-0000-00002E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2" authorId="2" shapeId="0" xr:uid="{00000000-0006-0000-0000-00002F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92" authorId="2" shapeId="0" xr:uid="{00000000-0006-0000-0000-000030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low-side MOSFET body diode contributes power loss related to both conduction and reverse recovery losses.</t>
        </r>
      </text>
    </comment>
    <comment ref="F93" authorId="2" shapeId="0" xr:uid="{00000000-0006-0000-0000-000031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94" authorId="2" shapeId="0" xr:uid="{00000000-0006-0000-0000-000032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94" authorId="2" shapeId="0" xr:uid="{00000000-0006-0000-0000-000033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G97" authorId="1" shapeId="0" xr:uid="{00000000-0006-0000-0000-000034000000}">
      <text>
        <r>
          <rPr>
            <b/>
            <sz val="9"/>
            <color indexed="81"/>
            <rFont val="Tahoma"/>
            <family val="2"/>
          </rPr>
          <t xml:space="preserve">Schottky Diode Forward Voltage:
</t>
        </r>
        <r>
          <rPr>
            <sz val="9"/>
            <color indexed="81"/>
            <rFont val="Tahoma"/>
            <family val="2"/>
          </rPr>
          <t xml:space="preserve">If an antiparallel Schottky diode is used across the low-side FET, enter the forward voltage at the rated current here. If a Schottky diode is not used, enter "0" into this cell.
</t>
        </r>
      </text>
    </comment>
    <comment ref="G98" authorId="1" shapeId="0" xr:uid="{00000000-0006-0000-0000-000035000000}">
      <text>
        <r>
          <rPr>
            <b/>
            <sz val="9"/>
            <color indexed="81"/>
            <rFont val="Tahoma"/>
            <family val="2"/>
          </rPr>
          <t>Schottky Diode Reverse Recovery Charge:</t>
        </r>
        <r>
          <rPr>
            <sz val="9"/>
            <color indexed="81"/>
            <rFont val="Tahoma"/>
            <family val="2"/>
          </rPr>
          <t xml:space="preserve">
Enter the diode reverse recovery charge here.
If a Schottky diode is not used, enter "0" into this cell.</t>
        </r>
      </text>
    </comment>
    <comment ref="F103" authorId="1" shapeId="0" xr:uid="{00000000-0006-0000-0000-000036000000}">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04" authorId="1" shapeId="0" xr:uid="{00000000-0006-0000-0000-000037000000}">
      <text>
        <r>
          <rPr>
            <b/>
            <sz val="9"/>
            <color indexed="81"/>
            <rFont val="Tahoma"/>
            <family val="2"/>
          </rPr>
          <t>IC Junction Temperature:</t>
        </r>
        <r>
          <rPr>
            <sz val="9"/>
            <color indexed="81"/>
            <rFont val="Tahoma"/>
            <family val="2"/>
          </rPr>
          <t xml:space="preserve">
IC junction temperature based on specified ambient temperature and power loss estimate.</t>
        </r>
      </text>
    </comment>
  </commentList>
</comments>
</file>

<file path=xl/sharedStrings.xml><?xml version="1.0" encoding="utf-8"?>
<sst xmlns="http://schemas.openxmlformats.org/spreadsheetml/2006/main" count="1964" uniqueCount="863">
  <si>
    <t>V</t>
  </si>
  <si>
    <t>A</t>
  </si>
  <si>
    <t>kHz</t>
  </si>
  <si>
    <t>Vin</t>
  </si>
  <si>
    <t>Vout</t>
  </si>
  <si>
    <t>Iout</t>
  </si>
  <si>
    <t>Fsw</t>
  </si>
  <si>
    <t>Value</t>
  </si>
  <si>
    <t>STD Units</t>
  </si>
  <si>
    <t>Hz</t>
  </si>
  <si>
    <t>uH</t>
  </si>
  <si>
    <t>Rdcr</t>
  </si>
  <si>
    <t>Notes</t>
  </si>
  <si>
    <t>Nominal input voltage</t>
  </si>
  <si>
    <t>Don1</t>
  </si>
  <si>
    <t>Doff1</t>
  </si>
  <si>
    <t>Don2</t>
  </si>
  <si>
    <t>Doff2</t>
  </si>
  <si>
    <t>index</t>
  </si>
  <si>
    <t>H</t>
  </si>
  <si>
    <t>Ohms</t>
  </si>
  <si>
    <t>Vripple1</t>
  </si>
  <si>
    <t>Coutmin</t>
  </si>
  <si>
    <t>uF</t>
  </si>
  <si>
    <t>F</t>
  </si>
  <si>
    <t>Cout</t>
  </si>
  <si>
    <t>Fesr</t>
  </si>
  <si>
    <t>Q</t>
  </si>
  <si>
    <t>V/V</t>
  </si>
  <si>
    <t>Rfb1</t>
  </si>
  <si>
    <t>pF</t>
  </si>
  <si>
    <t>Cc1ea</t>
  </si>
  <si>
    <t>Cc2ea</t>
  </si>
  <si>
    <t>Rcea1</t>
  </si>
  <si>
    <t>Rcea1_u</t>
  </si>
  <si>
    <t>Cc1ea_u</t>
  </si>
  <si>
    <t>Cc2ea_u</t>
  </si>
  <si>
    <t>Fz1</t>
  </si>
  <si>
    <t>Pi</t>
  </si>
  <si>
    <t>Vp-p</t>
  </si>
  <si>
    <t>Rfb2</t>
  </si>
  <si>
    <t>Vref</t>
  </si>
  <si>
    <t>Ro</t>
  </si>
  <si>
    <t>xover</t>
  </si>
  <si>
    <t>phase margin</t>
  </si>
  <si>
    <t>Total</t>
  </si>
  <si>
    <t>XOVER SEARCH</t>
  </si>
  <si>
    <t>Variable Name</t>
  </si>
  <si>
    <t>Resrmax</t>
  </si>
  <si>
    <t>mΩ</t>
  </si>
  <si>
    <t>kΩ</t>
  </si>
  <si>
    <t>TERMS OF USE</t>
  </si>
  <si>
    <t>IQ</t>
  </si>
  <si>
    <t>Step</t>
  </si>
  <si>
    <t>Total Loss</t>
  </si>
  <si>
    <t>Design</t>
  </si>
  <si>
    <t>L</t>
  </si>
  <si>
    <t>Cin</t>
  </si>
  <si>
    <t>Components</t>
  </si>
  <si>
    <t>Top FET</t>
  </si>
  <si>
    <t>RdsonDRB</t>
  </si>
  <si>
    <t>RdsonDRT</t>
  </si>
  <si>
    <t>Deadtime</t>
  </si>
  <si>
    <t>mOhms</t>
  </si>
  <si>
    <t>mA</t>
  </si>
  <si>
    <t>nC</t>
  </si>
  <si>
    <t>S</t>
  </si>
  <si>
    <t>QgBot</t>
  </si>
  <si>
    <t>RdsonBot</t>
  </si>
  <si>
    <t>GfsTop</t>
  </si>
  <si>
    <t>QgTop</t>
  </si>
  <si>
    <t>RdsonTop</t>
  </si>
  <si>
    <t>VsdBot</t>
  </si>
  <si>
    <t>QrrBot</t>
  </si>
  <si>
    <t>TrrBot</t>
  </si>
  <si>
    <t>ns</t>
  </si>
  <si>
    <t>Units</t>
  </si>
  <si>
    <t>Outputs</t>
  </si>
  <si>
    <t>Dprime</t>
  </si>
  <si>
    <t>RdsonTopTc</t>
  </si>
  <si>
    <t>RdsonBotTc</t>
  </si>
  <si>
    <t>ppm</t>
  </si>
  <si>
    <t>LTc</t>
  </si>
  <si>
    <t>Ta</t>
  </si>
  <si>
    <t>Irms</t>
  </si>
  <si>
    <t>RCoutEsr</t>
  </si>
  <si>
    <t>RCinEsr</t>
  </si>
  <si>
    <t>DCR    Loss</t>
  </si>
  <si>
    <t>Tr</t>
  </si>
  <si>
    <t>Tf</t>
  </si>
  <si>
    <t>RGateTop</t>
  </si>
  <si>
    <t>RGateBot</t>
  </si>
  <si>
    <t>VthTop</t>
  </si>
  <si>
    <t>Reverse Recovery Loss</t>
  </si>
  <si>
    <t>Switching Frequency</t>
  </si>
  <si>
    <t>Max Output Current</t>
  </si>
  <si>
    <t>Ambient Temperature</t>
  </si>
  <si>
    <t>Inductor Series Resistance Temp Co</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</si>
  <si>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</si>
  <si>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</si>
  <si>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</si>
  <si>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</si>
  <si>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</si>
  <si>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</si>
  <si>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</si>
  <si>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</si>
  <si>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</si>
  <si>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</si>
  <si>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</si>
  <si>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Drain to Source Resistance Temp Co</t>
  </si>
  <si>
    <t>Reverse Recovery Charge of Body Diode</t>
  </si>
  <si>
    <t>Input Value</t>
  </si>
  <si>
    <t>Top Driver</t>
  </si>
  <si>
    <t>Bottom Driver</t>
  </si>
  <si>
    <t>Part Power</t>
  </si>
  <si>
    <t>Power Dis</t>
  </si>
  <si>
    <t>W</t>
  </si>
  <si>
    <t>Controller</t>
  </si>
  <si>
    <t>Theta Ja</t>
  </si>
  <si>
    <t>Temp rise</t>
  </si>
  <si>
    <t>QgdTop</t>
  </si>
  <si>
    <t>Gate to Drain Charge</t>
  </si>
  <si>
    <t>Qg</t>
  </si>
  <si>
    <t>VspTop</t>
  </si>
  <si>
    <t>QgsTop</t>
  </si>
  <si>
    <t>RdsonDRB2</t>
  </si>
  <si>
    <t>RdsonDRT2</t>
  </si>
  <si>
    <t>Efficiency</t>
  </si>
  <si>
    <t xml:space="preserve">IQ </t>
  </si>
  <si>
    <t>ThetaCa</t>
  </si>
  <si>
    <t>Core to Ambient Thermal Resistance</t>
  </si>
  <si>
    <t>Quiescent Current Of Controller (Not Switching!)</t>
  </si>
  <si>
    <t>This pole cancels the zero from the Output Cap ESR</t>
  </si>
  <si>
    <t>s</t>
  </si>
  <si>
    <t>C</t>
  </si>
  <si>
    <t>Switching Current Loss</t>
  </si>
  <si>
    <t>Rfb2_u</t>
  </si>
  <si>
    <t>CoutEsr</t>
  </si>
  <si>
    <t>Ω</t>
  </si>
  <si>
    <t>Step 4: Output Capacitor</t>
  </si>
  <si>
    <t>Step 5: Input Capacitor</t>
  </si>
  <si>
    <t>nF</t>
  </si>
  <si>
    <t>R1</t>
  </si>
  <si>
    <t>R2</t>
  </si>
  <si>
    <t>VIN</t>
  </si>
  <si>
    <t>A (rms)</t>
  </si>
  <si>
    <t>= Input Box</t>
  </si>
  <si>
    <t>Input capacitance</t>
  </si>
  <si>
    <t>Step 1: Operational Specs</t>
  </si>
  <si>
    <t>ms</t>
  </si>
  <si>
    <t>Tss</t>
  </si>
  <si>
    <t>Iss</t>
  </si>
  <si>
    <t>Css</t>
  </si>
  <si>
    <t>C1</t>
  </si>
  <si>
    <t>C2</t>
  </si>
  <si>
    <t>Ripple I</t>
  </si>
  <si>
    <t>%</t>
  </si>
  <si>
    <t xml:space="preserve">I1 </t>
  </si>
  <si>
    <t xml:space="preserve">I2 </t>
  </si>
  <si>
    <t>Part Number</t>
  </si>
  <si>
    <t>Capacitors</t>
  </si>
  <si>
    <t>(pF)</t>
  </si>
  <si>
    <t>Standard Result</t>
  </si>
  <si>
    <t>Inputs</t>
  </si>
  <si>
    <t>Css_u</t>
  </si>
  <si>
    <t>Resistors</t>
  </si>
  <si>
    <t>inputs</t>
  </si>
  <si>
    <t>Rs</t>
  </si>
  <si>
    <t xml:space="preserve">                </t>
  </si>
  <si>
    <t>Cc1</t>
  </si>
  <si>
    <t>Cc2</t>
  </si>
  <si>
    <t>Rc1</t>
  </si>
  <si>
    <t>Other Input Variables</t>
  </si>
  <si>
    <t>Rfets</t>
  </si>
  <si>
    <t>cap loss eq res</t>
  </si>
  <si>
    <t>Fet loss eq res</t>
  </si>
  <si>
    <t>Diode loss eq res</t>
  </si>
  <si>
    <t>Sw cap</t>
  </si>
  <si>
    <t xml:space="preserve"> </t>
  </si>
  <si>
    <t>Rc1ea</t>
  </si>
  <si>
    <t>Frequency of Ringing</t>
  </si>
  <si>
    <t>MHz</t>
  </si>
  <si>
    <t>STD UNITS</t>
  </si>
  <si>
    <t>UNITS</t>
  </si>
  <si>
    <t>SW capacitance</t>
  </si>
  <si>
    <t>Csnub</t>
  </si>
  <si>
    <t>Lpar</t>
  </si>
  <si>
    <t>nH</t>
  </si>
  <si>
    <t>Rsnub</t>
  </si>
  <si>
    <t>Rset</t>
  </si>
  <si>
    <t>Blank out</t>
  </si>
  <si>
    <t>Input from user =</t>
  </si>
  <si>
    <t>Constant</t>
  </si>
  <si>
    <t>Step 8: Efficiency</t>
  </si>
  <si>
    <t>Vripple</t>
  </si>
  <si>
    <t>VfdSky</t>
  </si>
  <si>
    <t>QrrSky</t>
  </si>
  <si>
    <t>Ireverse</t>
  </si>
  <si>
    <t>Diode Forward Voltage</t>
  </si>
  <si>
    <t>Diode Reverse Recovery Charge</t>
  </si>
  <si>
    <t>Reverse Leakage Current</t>
  </si>
  <si>
    <t>External Diode</t>
  </si>
  <si>
    <t xml:space="preserve">Dead Time Loss </t>
  </si>
  <si>
    <t>VsdTop</t>
  </si>
  <si>
    <t>Switching Current Diss</t>
  </si>
  <si>
    <t>°C/W</t>
  </si>
  <si>
    <t>SCHEMATIC LABELS</t>
  </si>
  <si>
    <t>OUTPUT CURRENT</t>
  </si>
  <si>
    <t>Dmax</t>
  </si>
  <si>
    <t>Ipp</t>
  </si>
  <si>
    <t>Current (switching)</t>
  </si>
  <si>
    <t>Qrr Current</t>
  </si>
  <si>
    <t>Diode Current</t>
  </si>
  <si>
    <t>Std Units</t>
  </si>
  <si>
    <t>Total Application Switching IQ</t>
  </si>
  <si>
    <t>CIN</t>
  </si>
  <si>
    <t>DCR at hot</t>
  </si>
  <si>
    <t>µH</t>
  </si>
  <si>
    <t>µF</t>
  </si>
  <si>
    <t>Cinmin</t>
  </si>
  <si>
    <t>Vinripple1</t>
  </si>
  <si>
    <t>CinEsrMax</t>
  </si>
  <si>
    <t>Vinripple2</t>
  </si>
  <si>
    <t>Output =</t>
  </si>
  <si>
    <t>Bottom Schottky</t>
  </si>
  <si>
    <t>Step 1: Operating Specifications</t>
  </si>
  <si>
    <t>°C</t>
  </si>
  <si>
    <t>Std Values</t>
  </si>
  <si>
    <t>Compensation Components</t>
  </si>
  <si>
    <t>Actual P/Z Frequencies</t>
  </si>
  <si>
    <r>
      <t>mV</t>
    </r>
    <r>
      <rPr>
        <b/>
        <vertAlign val="subscript"/>
        <sz val="10"/>
        <rFont val="Arial"/>
        <family val="2"/>
      </rPr>
      <t>pk-pk</t>
    </r>
  </si>
  <si>
    <r>
      <t>C</t>
    </r>
    <r>
      <rPr>
        <b/>
        <vertAlign val="subscript"/>
        <sz val="10"/>
        <rFont val="Arial"/>
        <family val="2"/>
      </rPr>
      <t>C1</t>
    </r>
  </si>
  <si>
    <r>
      <t>C</t>
    </r>
    <r>
      <rPr>
        <b/>
        <vertAlign val="subscript"/>
        <sz val="10"/>
        <rFont val="Arial"/>
        <family val="2"/>
      </rPr>
      <t>C2</t>
    </r>
  </si>
  <si>
    <r>
      <t>mV</t>
    </r>
    <r>
      <rPr>
        <vertAlign val="subscript"/>
        <sz val="10"/>
        <rFont val="Arial"/>
        <family val="2"/>
      </rPr>
      <t>pk-pk</t>
    </r>
  </si>
  <si>
    <t>Efficiency / Power Loss Analyzer</t>
  </si>
  <si>
    <t>Step 7: Compensation Design</t>
  </si>
  <si>
    <t>Calculated /</t>
  </si>
  <si>
    <t>About</t>
  </si>
  <si>
    <t>xx</t>
  </si>
  <si>
    <t>Max ESR before ripple exceeds Vripple1</t>
  </si>
  <si>
    <t>Chosen ESR</t>
  </si>
  <si>
    <t>Input capacitance series resistance (ESR)</t>
  </si>
  <si>
    <t>kΩ</t>
  </si>
  <si>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</si>
  <si>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</si>
  <si>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</si>
  <si>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</si>
  <si>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</si>
  <si>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</si>
  <si>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</si>
  <si>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</si>
  <si>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IN</t>
    </r>
  </si>
  <si>
    <r>
      <t>C</t>
    </r>
    <r>
      <rPr>
        <vertAlign val="subscript"/>
        <sz val="10"/>
        <rFont val="Arial"/>
        <family val="2"/>
      </rPr>
      <t>OUT</t>
    </r>
  </si>
  <si>
    <t>Ref Des</t>
  </si>
  <si>
    <t>Count</t>
  </si>
  <si>
    <t>Various</t>
  </si>
  <si>
    <t>-</t>
  </si>
  <si>
    <r>
      <t>R</t>
    </r>
    <r>
      <rPr>
        <vertAlign val="subscript"/>
        <sz val="10"/>
        <rFont val="Arial"/>
        <family val="2"/>
      </rPr>
      <t>C1</t>
    </r>
  </si>
  <si>
    <r>
      <t>R</t>
    </r>
    <r>
      <rPr>
        <vertAlign val="subscript"/>
        <sz val="10"/>
        <rFont val="Arial"/>
        <family val="2"/>
      </rPr>
      <t>VIN</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</si>
  <si>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</si>
  <si>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</si>
  <si>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</si>
  <si>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</si>
  <si>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</si>
  <si>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 of input caps</t>
  </si>
  <si>
    <t>Capacitance per component (Cin)</t>
  </si>
  <si>
    <t>Capacitance per component (Cout)</t>
  </si>
  <si>
    <t># of output caps</t>
  </si>
  <si>
    <t>Ω</t>
  </si>
  <si>
    <r>
      <rPr>
        <b/>
        <u/>
        <sz val="10"/>
        <rFont val="Arial"/>
        <family val="2"/>
      </rPr>
      <t>NOTES</t>
    </r>
    <r>
      <rPr>
        <b/>
        <sz val="10"/>
        <rFont val="Arial"/>
        <family val="2"/>
      </rPr>
      <t>:</t>
    </r>
  </si>
  <si>
    <t>Series resistance due to FETs</t>
  </si>
  <si>
    <t>Output Resistance</t>
  </si>
  <si>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</si>
  <si>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</si>
  <si>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</si>
  <si>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</si>
  <si>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</si>
  <si>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</si>
  <si>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</si>
  <si>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t>%/°C</t>
  </si>
  <si>
    <t>Rt</t>
  </si>
  <si>
    <r>
      <t>Frequency Set Resistor, R</t>
    </r>
    <r>
      <rPr>
        <vertAlign val="subscript"/>
        <sz val="10"/>
        <rFont val="Arial"/>
        <family val="2"/>
      </rPr>
      <t>T</t>
    </r>
    <r>
      <rPr>
        <sz val="10"/>
        <rFont val="Arial"/>
        <family val="2"/>
      </rPr>
      <t xml:space="preserve"> </t>
    </r>
  </si>
  <si>
    <r>
      <t>Input Capacitance, C</t>
    </r>
    <r>
      <rPr>
        <b/>
        <vertAlign val="subscript"/>
        <sz val="10"/>
        <color theme="1"/>
        <rFont val="Arial"/>
        <family val="2"/>
      </rPr>
      <t>IN</t>
    </r>
    <r>
      <rPr>
        <b/>
        <sz val="10"/>
        <color theme="1"/>
        <rFont val="Arial"/>
        <family val="2"/>
      </rPr>
      <t xml:space="preserve"> </t>
    </r>
  </si>
  <si>
    <r>
      <t>Soft-Start Capacitance, C</t>
    </r>
    <r>
      <rPr>
        <vertAlign val="subscript"/>
        <sz val="10"/>
        <rFont val="Arial"/>
        <family val="2"/>
      </rPr>
      <t>SS</t>
    </r>
    <r>
      <rPr>
        <sz val="10"/>
        <rFont val="Arial"/>
        <family val="2"/>
      </rPr>
      <t xml:space="preserve"> </t>
    </r>
  </si>
  <si>
    <r>
      <t>Soft-Start Time, t</t>
    </r>
    <r>
      <rPr>
        <b/>
        <vertAlign val="subscript"/>
        <sz val="10"/>
        <color theme="1"/>
        <rFont val="Arial"/>
        <family val="2"/>
      </rPr>
      <t>SS</t>
    </r>
    <r>
      <rPr>
        <b/>
        <sz val="10"/>
        <color theme="1"/>
        <rFont val="Arial"/>
        <family val="2"/>
      </rPr>
      <t xml:space="preserve"> </t>
    </r>
  </si>
  <si>
    <r>
      <t>V</t>
    </r>
    <r>
      <rPr>
        <vertAlign val="subscript"/>
        <sz val="10"/>
        <color theme="1"/>
        <rFont val="Arial"/>
        <family val="2"/>
      </rPr>
      <t>IN(min)</t>
    </r>
  </si>
  <si>
    <r>
      <t>V</t>
    </r>
    <r>
      <rPr>
        <vertAlign val="subscript"/>
        <sz val="10"/>
        <color theme="1"/>
        <rFont val="Arial"/>
        <family val="2"/>
      </rPr>
      <t>IN(nom)</t>
    </r>
  </si>
  <si>
    <r>
      <t>V</t>
    </r>
    <r>
      <rPr>
        <vertAlign val="subscript"/>
        <sz val="10"/>
        <color theme="1"/>
        <rFont val="Arial"/>
        <family val="2"/>
      </rPr>
      <t>IN(max)</t>
    </r>
  </si>
  <si>
    <t>VIN_max</t>
  </si>
  <si>
    <t>VIN_min</t>
  </si>
  <si>
    <t>Minimum input voltage</t>
  </si>
  <si>
    <t>Maximum input voltage</t>
  </si>
  <si>
    <t>mV</t>
  </si>
  <si>
    <t>Ideal Duty Cycle at VIN(nom)</t>
  </si>
  <si>
    <t>Ideal 1- Duty Cycle at VIN(nom)</t>
  </si>
  <si>
    <t>Pout</t>
  </si>
  <si>
    <t>Iin_Vinmin</t>
  </si>
  <si>
    <t>Iin_Vinnom</t>
  </si>
  <si>
    <t>Iin_Vinmax</t>
  </si>
  <si>
    <t>Pin</t>
  </si>
  <si>
    <t>Iripple_Vinmin</t>
  </si>
  <si>
    <t>Iripple_Vinnom</t>
  </si>
  <si>
    <t>Iripple_Vinmax</t>
  </si>
  <si>
    <t>L_Vinnom</t>
  </si>
  <si>
    <t>Lopt</t>
  </si>
  <si>
    <t>Iin</t>
  </si>
  <si>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IN(nom)</t>
    </r>
  </si>
  <si>
    <r>
      <t>Sense Resistance, R</t>
    </r>
    <r>
      <rPr>
        <b/>
        <vertAlign val="subscript"/>
        <sz val="10"/>
        <color theme="1"/>
        <rFont val="Arial"/>
        <family val="2"/>
      </rPr>
      <t>S</t>
    </r>
  </si>
  <si>
    <t>Recommended Sense Resistance</t>
  </si>
  <si>
    <t>Ilimit_DC</t>
  </si>
  <si>
    <t>Max inductor ripple current</t>
  </si>
  <si>
    <t>Output power</t>
  </si>
  <si>
    <t>Input currents at min, nom, max Vin</t>
  </si>
  <si>
    <t>Rs_ideal</t>
  </si>
  <si>
    <t>Ilimit_inductor_Vinmin</t>
  </si>
  <si>
    <t>Ilimit_inductor_Vinmax</t>
  </si>
  <si>
    <t>Ilimit_inductor_Vinnom</t>
  </si>
  <si>
    <t>Selected (starndard value) current limit sense resistor</t>
  </si>
  <si>
    <t>mΩ</t>
  </si>
  <si>
    <t>Output Cap RMS current</t>
  </si>
  <si>
    <t>Icoutrms_VINmin</t>
  </si>
  <si>
    <t>Icoutrms_VINnom</t>
  </si>
  <si>
    <t>Icoutrms_VINmax</t>
  </si>
  <si>
    <t>Cdither</t>
  </si>
  <si>
    <t>Cdither_calculated</t>
  </si>
  <si>
    <t>Cdither_stdvalue</t>
  </si>
  <si>
    <t>Rout</t>
  </si>
  <si>
    <r>
      <t xml:space="preserve">Chosen Compensation Components from the </t>
    </r>
    <r>
      <rPr>
        <b/>
        <u/>
        <sz val="10"/>
        <color indexed="10"/>
        <rFont val="Arial"/>
        <family val="2"/>
      </rPr>
      <t>standard value sheet</t>
    </r>
  </si>
  <si>
    <t>Modulator</t>
  </si>
  <si>
    <t>Total System</t>
  </si>
  <si>
    <t>Afb1</t>
  </si>
  <si>
    <t>Acs</t>
  </si>
  <si>
    <t>z1</t>
  </si>
  <si>
    <t>p3</t>
  </si>
  <si>
    <t>Adc</t>
  </si>
  <si>
    <t>z2</t>
  </si>
  <si>
    <t>Am</t>
  </si>
  <si>
    <t>p1</t>
  </si>
  <si>
    <t>pterm1</t>
  </si>
  <si>
    <t>Crossover</t>
  </si>
  <si>
    <t>p2</t>
  </si>
  <si>
    <t>pterm2</t>
  </si>
  <si>
    <t>Phase Margin</t>
  </si>
  <si>
    <t>Aea</t>
  </si>
  <si>
    <t>radconv</t>
  </si>
  <si>
    <t>p4</t>
  </si>
  <si>
    <t>k</t>
  </si>
  <si>
    <t>gm</t>
  </si>
  <si>
    <t>Power Stage</t>
  </si>
  <si>
    <t>Error Amplifier</t>
  </si>
  <si>
    <t>Sampling Double Pole</t>
  </si>
  <si>
    <t>System Response</t>
  </si>
  <si>
    <t>ERROR AMP Response</t>
  </si>
  <si>
    <t>PLANT Response</t>
  </si>
  <si>
    <t>Gain(V/V)</t>
  </si>
  <si>
    <t>Phase(rad)</t>
  </si>
  <si>
    <t>Gain (dB)</t>
  </si>
  <si>
    <t>Phase Margin (°)</t>
  </si>
  <si>
    <t>Phase (°)</t>
  </si>
  <si>
    <t>Fsquare</t>
  </si>
  <si>
    <t>Gain(dB)</t>
  </si>
  <si>
    <t>Phase(Deg)</t>
  </si>
  <si>
    <t>Pole/Zero Locations for Chart</t>
  </si>
  <si>
    <t>crossover</t>
  </si>
  <si>
    <t>System</t>
  </si>
  <si>
    <t>Plant</t>
  </si>
  <si>
    <t>Ri</t>
  </si>
  <si>
    <t>Error Amp Transconductance</t>
  </si>
  <si>
    <t>A/s</t>
  </si>
  <si>
    <t>Sn</t>
  </si>
  <si>
    <t>On-time Slope</t>
  </si>
  <si>
    <t>mc</t>
  </si>
  <si>
    <t>GBW</t>
  </si>
  <si>
    <t>Cbw</t>
  </si>
  <si>
    <t>RoEA</t>
  </si>
  <si>
    <t>AEA</t>
  </si>
  <si>
    <t>Afb</t>
  </si>
  <si>
    <t>p</t>
  </si>
  <si>
    <t>This component will largely determine the crossover frequency</t>
  </si>
  <si>
    <t>This along with Rcea1 places a pole at the output cap ESR zero</t>
  </si>
  <si>
    <t>1/(Pi*(k-0.5))</t>
  </si>
  <si>
    <t>Acs = 1/Ri</t>
  </si>
  <si>
    <t>Current Sense effective resistance = shunt resistor Rs * CS amp gain</t>
  </si>
  <si>
    <t>Fp_EA</t>
  </si>
  <si>
    <t>Fp_HF</t>
  </si>
  <si>
    <t>Off-time Slope</t>
  </si>
  <si>
    <t>Sf</t>
  </si>
  <si>
    <t>CS Amp Gain</t>
  </si>
  <si>
    <t>Slope Comp Slope - referred to inductor current</t>
  </si>
  <si>
    <t>Se_int</t>
  </si>
  <si>
    <t>Step 3: Sense Resistors, Slope Comp, Current Limit</t>
  </si>
  <si>
    <t>Q = 2/Pi = 0.636 gives ideal one-cycle damping</t>
  </si>
  <si>
    <t>Error Amp HF pole cancels zero related to Output Cap ESR</t>
  </si>
  <si>
    <t>EXCEL Variables Names/Calculations</t>
  </si>
  <si>
    <t>Resulting Pole/Zero Locations</t>
  </si>
  <si>
    <t>Sn_int</t>
  </si>
  <si>
    <t>Sf_int</t>
  </si>
  <si>
    <t>Slope Comp Slope - referred to IC</t>
  </si>
  <si>
    <t>etc</t>
  </si>
  <si>
    <t>°</t>
  </si>
  <si>
    <t>Std Value Lower Feedback Resistance</t>
  </si>
  <si>
    <t>Lower Feedback Resistance</t>
  </si>
  <si>
    <t>Upper Feedback Resistance - chosen by user</t>
  </si>
  <si>
    <t>Drain-Source Resistance of Pullup High-side FET Driver</t>
  </si>
  <si>
    <t>Drain-Source Resistance of Pulldown High-side FET Driver</t>
  </si>
  <si>
    <t>Drain-Source Resistance of Pullup Low-side FET Driver</t>
  </si>
  <si>
    <t>Drain-Source Resistance of Pulldown Low-side FET Driver</t>
  </si>
  <si>
    <t>Drain-Source Resistance Temp Co</t>
  </si>
  <si>
    <t>Desired Crossover Frequency</t>
  </si>
  <si>
    <t>Cout ESR zero frequency</t>
  </si>
  <si>
    <t>Error Amp LF pole -- related to amplifier ouptut resistance and comp cap</t>
  </si>
  <si>
    <t>Buck dominant pole frequency -- note slope comp influence</t>
  </si>
  <si>
    <t>Fp_load_buck</t>
  </si>
  <si>
    <t>IC Power Disipation</t>
  </si>
  <si>
    <t>Iteration</t>
  </si>
  <si>
    <t>Output Ripple Spec (pk-pk)</t>
  </si>
  <si>
    <t>F_mod</t>
  </si>
  <si>
    <t>Am_buck</t>
  </si>
  <si>
    <t>DC Gain is Adc = AEA*Afb*Am</t>
  </si>
  <si>
    <t>A/V</t>
  </si>
  <si>
    <t>Power Stage Poles/Zeros</t>
  </si>
  <si>
    <t>Complex Pole Pair</t>
  </si>
  <si>
    <t>Divider Network &amp; EA Poles/Zeros</t>
  </si>
  <si>
    <t>mc_buck</t>
  </si>
  <si>
    <t>k_buck</t>
  </si>
  <si>
    <t>mV/μs</t>
  </si>
  <si>
    <t>Error Amp (EA)</t>
  </si>
  <si>
    <t>Estimate of efficiency</t>
  </si>
  <si>
    <r>
      <t>need to include R</t>
    </r>
    <r>
      <rPr>
        <vertAlign val="subscript"/>
        <sz val="10"/>
        <color rgb="FFFF0000"/>
        <rFont val="Arial"/>
        <family val="2"/>
      </rPr>
      <t>DS(on)</t>
    </r>
    <r>
      <rPr>
        <sz val="10"/>
        <color rgb="FFFF0000"/>
        <rFont val="Arial"/>
        <family val="2"/>
      </rPr>
      <t xml:space="preserve"> later</t>
    </r>
  </si>
  <si>
    <t>Iout_OCP_Vinmin</t>
  </si>
  <si>
    <t>Iout_OCP_Vinmax</t>
  </si>
  <si>
    <r>
      <t>Current limit setpoints (i.e. I</t>
    </r>
    <r>
      <rPr>
        <vertAlign val="subscript"/>
        <sz val="10"/>
        <rFont val="Arial"/>
        <family val="2"/>
      </rPr>
      <t>OUT</t>
    </r>
    <r>
      <rPr>
        <sz val="10"/>
        <rFont val="Arial"/>
        <family val="2"/>
      </rPr>
      <t>) after standard components are selected</t>
    </r>
  </si>
  <si>
    <t>Output voltage ripple spec(pk-pk)</t>
  </si>
  <si>
    <t>Vout ripple spec at Vin(nom)</t>
  </si>
  <si>
    <t>Load cap current during soft start</t>
  </si>
  <si>
    <t>Soft-start time</t>
  </si>
  <si>
    <t>p-dom</t>
  </si>
  <si>
    <t>p_dom</t>
  </si>
  <si>
    <t>z_ESR</t>
  </si>
  <si>
    <t>z_RHP</t>
  </si>
  <si>
    <t>Low-side MOSFET/Diode</t>
  </si>
  <si>
    <t>EA pole, p2</t>
  </si>
  <si>
    <t>EA pole, p1</t>
  </si>
  <si>
    <t>EA zero, z1</t>
  </si>
  <si>
    <t>Fp_dominant</t>
  </si>
  <si>
    <t>p_sampling</t>
  </si>
  <si>
    <t>ESR zero</t>
  </si>
  <si>
    <t>EA pole</t>
  </si>
  <si>
    <t>EA zero</t>
  </si>
  <si>
    <t>This zero is set at or close to the dominant load pole</t>
  </si>
  <si>
    <t>Freq (Hz)</t>
  </si>
  <si>
    <t>Se_ext</t>
  </si>
  <si>
    <t>Feedback gain from Vout to FB</t>
  </si>
  <si>
    <t>EA DC gain = gm*RoEA</t>
  </si>
  <si>
    <t>EA output resistance</t>
  </si>
  <si>
    <t>EA effective bandwidth limiting capacitance = gm/(2*Pi*GBW)</t>
  </si>
  <si>
    <t>EA gain-bandwidth product</t>
  </si>
  <si>
    <t>2*Pi*Ri/gm -- scaling factor to calculate Rcomp given desired buck crossover frequency</t>
  </si>
  <si>
    <t>Diode/FET</t>
  </si>
  <si>
    <t>Iout_OCP_Vinnom</t>
  </si>
  <si>
    <r>
      <t>R</t>
    </r>
    <r>
      <rPr>
        <vertAlign val="subscript"/>
        <sz val="10"/>
        <rFont val="Arial"/>
        <family val="2"/>
      </rPr>
      <t>T</t>
    </r>
  </si>
  <si>
    <t>** Effective input and output capacitances should be appropriately derated for applied voltage and temperature, particularly with ceramics **</t>
  </si>
  <si>
    <r>
      <t>C</t>
    </r>
    <r>
      <rPr>
        <vertAlign val="subscript"/>
        <sz val="10"/>
        <rFont val="Arial"/>
        <family val="2"/>
      </rPr>
      <t>DITH</t>
    </r>
  </si>
  <si>
    <r>
      <t>C</t>
    </r>
    <r>
      <rPr>
        <vertAlign val="subscript"/>
        <sz val="10"/>
        <rFont val="Arial"/>
        <family val="2"/>
      </rPr>
      <t>BOOT1</t>
    </r>
    <r>
      <rPr>
        <sz val="10"/>
        <rFont val="Arial"/>
        <family val="2"/>
      </rPr>
      <t>, C</t>
    </r>
    <r>
      <rPr>
        <vertAlign val="subscript"/>
        <sz val="10"/>
        <rFont val="Arial"/>
        <family val="2"/>
      </rPr>
      <t>BOOT2</t>
    </r>
  </si>
  <si>
    <t>** Inductor saturation current should be higher than the peak inductor current at the OCP setpoint for all input voltages and operating temperatures **</t>
  </si>
  <si>
    <r>
      <rPr>
        <sz val="10"/>
        <rFont val="Symbol"/>
        <family val="1"/>
        <charset val="2"/>
      </rPr>
      <t>°</t>
    </r>
    <r>
      <rPr>
        <sz val="10"/>
        <rFont val="Arial"/>
        <family val="2"/>
      </rPr>
      <t>C</t>
    </r>
  </si>
  <si>
    <r>
      <t>m</t>
    </r>
    <r>
      <rPr>
        <sz val="10"/>
        <rFont val="Symbol"/>
        <family val="1"/>
        <charset val="2"/>
      </rPr>
      <t>W</t>
    </r>
  </si>
  <si>
    <t>μF</t>
  </si>
  <si>
    <t>Filter Inductance</t>
  </si>
  <si>
    <r>
      <t>Inductor DCR at 25</t>
    </r>
    <r>
      <rPr>
        <sz val="10"/>
        <rFont val="Symbol"/>
        <family val="1"/>
        <charset val="2"/>
      </rPr>
      <t>°</t>
    </r>
    <r>
      <rPr>
        <sz val="10"/>
        <rFont val="Arial"/>
        <family val="2"/>
      </rPr>
      <t>C</t>
    </r>
  </si>
  <si>
    <r>
      <rPr>
        <sz val="10"/>
        <rFont val="Calibri"/>
        <family val="2"/>
      </rPr>
      <t>θ</t>
    </r>
    <r>
      <rPr>
        <vertAlign val="subscript"/>
        <sz val="10"/>
        <rFont val="Arial"/>
        <family val="2"/>
      </rPr>
      <t>JA</t>
    </r>
  </si>
  <si>
    <r>
      <t>θ</t>
    </r>
    <r>
      <rPr>
        <vertAlign val="subscript"/>
        <sz val="10"/>
        <rFont val="Arial"/>
        <family val="2"/>
      </rPr>
      <t>JABot</t>
    </r>
  </si>
  <si>
    <r>
      <t>θ</t>
    </r>
    <r>
      <rPr>
        <vertAlign val="subscript"/>
        <sz val="10"/>
        <rFont val="Arial"/>
        <family val="2"/>
      </rPr>
      <t>JATop</t>
    </r>
  </si>
  <si>
    <t>θJACtrl</t>
  </si>
  <si>
    <r>
      <t>Enter the values of your design and MOSFET datasheet specifications below. Note that thermal resistance (</t>
    </r>
    <r>
      <rPr>
        <b/>
        <sz val="10"/>
        <rFont val="Calibri"/>
        <family val="2"/>
      </rPr>
      <t>θ</t>
    </r>
    <r>
      <rPr>
        <b/>
        <vertAlign val="subscript"/>
        <sz val="10"/>
        <rFont val="Arial"/>
        <family val="2"/>
      </rPr>
      <t>JA</t>
    </r>
    <r>
      <rPr>
        <b/>
        <sz val="10"/>
        <rFont val="Arial"/>
        <family val="2"/>
      </rPr>
      <t>) will change when components are placed on the PCB</t>
    </r>
  </si>
  <si>
    <t>Subregulated VCC Voltage</t>
  </si>
  <si>
    <t>Vcc</t>
  </si>
  <si>
    <t>Junction-to-ambient thermal resistance of controller</t>
  </si>
  <si>
    <r>
      <rPr>
        <sz val="10"/>
        <rFont val="Calibri"/>
        <family val="2"/>
      </rPr>
      <t>θ</t>
    </r>
    <r>
      <rPr>
        <vertAlign val="subscript"/>
        <sz val="10"/>
        <rFont val="Arial"/>
        <family val="2"/>
      </rPr>
      <t>CA</t>
    </r>
  </si>
  <si>
    <t>Inductor Core to Ambient Thermal Resistance</t>
  </si>
  <si>
    <t>Input Capacitor ESR</t>
  </si>
  <si>
    <t>Inductor DCR Temp Co</t>
  </si>
  <si>
    <t>Output Capacitor ESR</t>
  </si>
  <si>
    <t>Output Capcitance</t>
  </si>
  <si>
    <t>Input Capacitance</t>
  </si>
  <si>
    <t>Filter Inductor</t>
  </si>
  <si>
    <t>Ripple Current pk-pk</t>
  </si>
  <si>
    <t>Cout ESR Loss</t>
  </si>
  <si>
    <t>Irms Cout</t>
  </si>
  <si>
    <t>Irms Cin</t>
  </si>
  <si>
    <t>Cin ESR Loss</t>
  </si>
  <si>
    <r>
      <t>R</t>
    </r>
    <r>
      <rPr>
        <b/>
        <vertAlign val="subscript"/>
        <sz val="10"/>
        <rFont val="Arial"/>
        <family val="2"/>
      </rPr>
      <t>DS(on)</t>
    </r>
    <r>
      <rPr>
        <b/>
        <sz val="10"/>
        <rFont val="Arial"/>
        <family val="2"/>
      </rPr>
      <t xml:space="preserve"> Loss</t>
    </r>
  </si>
  <si>
    <t>Controller IC Losses</t>
  </si>
  <si>
    <t>Total IC Loss</t>
  </si>
  <si>
    <t>Deadtime Loss</t>
  </si>
  <si>
    <r>
      <t>I</t>
    </r>
    <r>
      <rPr>
        <b/>
        <vertAlign val="subscript"/>
        <sz val="10"/>
        <rFont val="Arial"/>
        <family val="2"/>
      </rPr>
      <t>Q</t>
    </r>
    <r>
      <rPr>
        <b/>
        <sz val="10"/>
        <rFont val="Arial"/>
        <family val="2"/>
      </rPr>
      <t xml:space="preserve"> Loss</t>
    </r>
  </si>
  <si>
    <t>h</t>
  </si>
  <si>
    <r>
      <t xml:space="preserve">EFF, </t>
    </r>
    <r>
      <rPr>
        <b/>
        <sz val="10"/>
        <rFont val="Symbol"/>
        <family val="1"/>
        <charset val="2"/>
      </rPr>
      <t>h</t>
    </r>
  </si>
  <si>
    <t>QrrTop</t>
  </si>
  <si>
    <t>TrrTop</t>
  </si>
  <si>
    <t>RESULTS</t>
  </si>
  <si>
    <t>Consolidated Buck/Boost Efficiency &amp; Losses</t>
  </si>
  <si>
    <t>Isense Shunt Loss</t>
  </si>
  <si>
    <t>Sense Rs</t>
  </si>
  <si>
    <t>Drain to Source Resistance of pulldown Bottom FET Driver</t>
  </si>
  <si>
    <t>Drain to Source Resistance of pullup Bottom FET Driver</t>
  </si>
  <si>
    <t>Drain to Source Resistance of pulldown Top FET Driver</t>
  </si>
  <si>
    <t>Drain to Source Resistance of pullup Top FET Driver</t>
  </si>
  <si>
    <t>Turn on of MOSFET -&gt; Rise time of current</t>
  </si>
  <si>
    <t>Turn off of MOSFET -&gt; Fall time of current</t>
  </si>
  <si>
    <t>External Schottky Diode (if applicable)</t>
  </si>
  <si>
    <r>
      <t>kHz (F</t>
    </r>
    <r>
      <rPr>
        <vertAlign val="subscript"/>
        <sz val="10"/>
        <rFont val="Arial"/>
        <family val="2"/>
      </rPr>
      <t>ZCOMP</t>
    </r>
    <r>
      <rPr>
        <sz val="10"/>
        <rFont val="Arial"/>
        <family val="2"/>
      </rPr>
      <t>)</t>
    </r>
  </si>
  <si>
    <r>
      <t>kHz (F</t>
    </r>
    <r>
      <rPr>
        <vertAlign val="subscript"/>
        <sz val="10"/>
        <rFont val="Arial"/>
        <family val="2"/>
      </rPr>
      <t>PCOMP</t>
    </r>
    <r>
      <rPr>
        <sz val="10"/>
        <rFont val="Arial"/>
        <family val="2"/>
      </rPr>
      <t>)</t>
    </r>
  </si>
  <si>
    <t>Reported Cinmin</t>
  </si>
  <si>
    <t>Reported Cout ESR max</t>
  </si>
  <si>
    <t>Reported Cin ESR max</t>
  </si>
  <si>
    <t>Chosen OCP level - based on output current</t>
  </si>
  <si>
    <r>
      <t>I</t>
    </r>
    <r>
      <rPr>
        <vertAlign val="subscript"/>
        <sz val="10"/>
        <rFont val="Arial"/>
        <family val="2"/>
      </rPr>
      <t>OUT(typ)</t>
    </r>
    <r>
      <rPr>
        <sz val="10"/>
        <rFont val="Arial"/>
        <family val="2"/>
      </rPr>
      <t xml:space="preserve"> at OCP Inception:</t>
    </r>
  </si>
  <si>
    <t>Total Cin Loss</t>
  </si>
  <si>
    <t>Inductor Cu &amp; Core Loss</t>
  </si>
  <si>
    <t>Total Cout Loss</t>
  </si>
  <si>
    <t>Total Inductor Loss</t>
  </si>
  <si>
    <t>Anti-parallel Schottky Diode (optional)</t>
  </si>
  <si>
    <r>
      <t>Q</t>
    </r>
    <r>
      <rPr>
        <vertAlign val="subscript"/>
        <sz val="10"/>
        <rFont val="Arial"/>
        <family val="2"/>
      </rPr>
      <t>1</t>
    </r>
    <r>
      <rPr>
        <sz val="10"/>
        <rFont val="Arial"/>
        <family val="2"/>
      </rPr>
      <t>, Q</t>
    </r>
    <r>
      <rPr>
        <vertAlign val="subscript"/>
        <sz val="10"/>
        <rFont val="Arial"/>
        <family val="2"/>
      </rPr>
      <t>2</t>
    </r>
  </si>
  <si>
    <r>
      <t>Q</t>
    </r>
    <r>
      <rPr>
        <vertAlign val="subscript"/>
        <sz val="10"/>
        <rFont val="Arial"/>
        <family val="2"/>
      </rPr>
      <t>3</t>
    </r>
    <r>
      <rPr>
        <sz val="10"/>
        <rFont val="Arial"/>
        <family val="2"/>
      </rPr>
      <t>, Q</t>
    </r>
    <r>
      <rPr>
        <vertAlign val="subscript"/>
        <sz val="10"/>
        <rFont val="Arial"/>
        <family val="2"/>
      </rPr>
      <t>4</t>
    </r>
  </si>
  <si>
    <t>High-side FET</t>
  </si>
  <si>
    <t>Low-side FET</t>
  </si>
  <si>
    <t>Drain-Source Resistance of Low-side FET</t>
  </si>
  <si>
    <t xml:space="preserve">Drain-Source Resistance of Top FET </t>
  </si>
  <si>
    <t>Q3: high-side</t>
  </si>
  <si>
    <t>Q4: low-side</t>
  </si>
  <si>
    <t>Q1: high-side</t>
  </si>
  <si>
    <t>Q2: low-side</t>
  </si>
  <si>
    <t>Rdson</t>
  </si>
  <si>
    <t>Qgd</t>
  </si>
  <si>
    <t>Qgs</t>
  </si>
  <si>
    <t>Rgate</t>
  </si>
  <si>
    <t>Gfs</t>
  </si>
  <si>
    <t>Vth</t>
  </si>
  <si>
    <t>Vsp</t>
  </si>
  <si>
    <t>Diode Forward Voltage of MOSFET Body diode</t>
  </si>
  <si>
    <t>Vsd - Buck</t>
  </si>
  <si>
    <r>
      <t>Body Diode Forward Voltage, V</t>
    </r>
    <r>
      <rPr>
        <b/>
        <vertAlign val="subscript"/>
        <sz val="10"/>
        <rFont val="Arial"/>
        <family val="2"/>
      </rPr>
      <t>BD</t>
    </r>
    <r>
      <rPr>
        <b/>
        <sz val="10"/>
        <rFont val="Arial"/>
        <family val="2"/>
      </rPr>
      <t xml:space="preserve"> </t>
    </r>
  </si>
  <si>
    <r>
      <t>Schottky Rev Recovery Charge, Q</t>
    </r>
    <r>
      <rPr>
        <b/>
        <vertAlign val="subscript"/>
        <sz val="10"/>
        <rFont val="Arial"/>
        <family val="2"/>
      </rPr>
      <t>RRsch</t>
    </r>
    <r>
      <rPr>
        <b/>
        <sz val="10"/>
        <rFont val="Arial"/>
        <family val="2"/>
      </rPr>
      <t xml:space="preserve"> </t>
    </r>
  </si>
  <si>
    <r>
      <t>Body Diode Rev Recovery Charge, Q</t>
    </r>
    <r>
      <rPr>
        <b/>
        <vertAlign val="subscript"/>
        <sz val="10"/>
        <rFont val="Arial"/>
        <family val="2"/>
      </rPr>
      <t>RR</t>
    </r>
    <r>
      <rPr>
        <b/>
        <sz val="10"/>
        <rFont val="Arial"/>
        <family val="2"/>
      </rPr>
      <t xml:space="preserve"> </t>
    </r>
  </si>
  <si>
    <r>
      <t>Gate-Source Threshold Voltage, V</t>
    </r>
    <r>
      <rPr>
        <b/>
        <vertAlign val="subscript"/>
        <sz val="10"/>
        <rFont val="Arial"/>
        <family val="2"/>
      </rPr>
      <t>TH</t>
    </r>
    <r>
      <rPr>
        <b/>
        <sz val="10"/>
        <rFont val="Arial"/>
        <family val="2"/>
      </rPr>
      <t xml:space="preserve"> </t>
    </r>
  </si>
  <si>
    <r>
      <t>Schottky Fwd Voltage, V</t>
    </r>
    <r>
      <rPr>
        <b/>
        <vertAlign val="subscript"/>
        <sz val="10"/>
        <rFont val="Arial"/>
        <family val="2"/>
      </rPr>
      <t>FWDsch</t>
    </r>
    <r>
      <rPr>
        <b/>
        <sz val="10"/>
        <rFont val="Arial"/>
        <family val="2"/>
      </rPr>
      <t xml:space="preserve"> </t>
    </r>
  </si>
  <si>
    <t xml:space="preserve">  Low-side</t>
  </si>
  <si>
    <t>Dither Modulation Frequency</t>
  </si>
  <si>
    <t>sec</t>
  </si>
  <si>
    <t>min of calculated inductances at VIN(min) and VIN(nom)</t>
  </si>
  <si>
    <t>Chosen inductance</t>
  </si>
  <si>
    <t>Chosen inductor DCR</t>
  </si>
  <si>
    <t>Shunt required to get OCP at VIN(min)</t>
  </si>
  <si>
    <t>Shunt required to get OCP at VIN(nom)</t>
  </si>
  <si>
    <t>Shunt required to get OCP at VIN(max)</t>
  </si>
  <si>
    <t>Icinrms_VINmin</t>
  </si>
  <si>
    <t>Icinrms_VINnom</t>
  </si>
  <si>
    <t>Max Cout rms current</t>
  </si>
  <si>
    <t xml:space="preserve">Resulting Output Voltage Ripple (max) </t>
  </si>
  <si>
    <t xml:space="preserve">Output Capacitor RMS Current (max) </t>
  </si>
  <si>
    <t>Input Capacitor RMS Current (max)</t>
  </si>
  <si>
    <t>Max Cin rms current</t>
  </si>
  <si>
    <t>Input voltage ripple spec (pk-pk)</t>
  </si>
  <si>
    <t>Reported Coutmin</t>
  </si>
  <si>
    <t>Input Voltage Ripple Spec</t>
  </si>
  <si>
    <t>Minimum Input Capacitance</t>
  </si>
  <si>
    <t>Ishunt_rms_Vinmin</t>
  </si>
  <si>
    <t>Ishunt_rms_Vinnom</t>
  </si>
  <si>
    <t>Ishunt_rms_Vinmax</t>
  </si>
  <si>
    <t>Max shunt power loss at full load</t>
  </si>
  <si>
    <t>Shunt Loss</t>
  </si>
  <si>
    <t>Cinmin_Vinmax</t>
  </si>
  <si>
    <t>Buck 50% typically worst case</t>
  </si>
  <si>
    <t>CinEsrMax_Vinmax</t>
  </si>
  <si>
    <t>CinEsrMax_50%D</t>
  </si>
  <si>
    <t>Cinmin_50%D</t>
  </si>
  <si>
    <t>Vinripple2_Vinmax</t>
  </si>
  <si>
    <t>Vinripple2_50%D</t>
  </si>
  <si>
    <t>Calculate ripple at Vinmax and 50% duty cycle (Vin = 2*Vout)</t>
  </si>
  <si>
    <t>Calculate cap at Vinmax and 50% duty cycle (Vin = 2*Vout)</t>
  </si>
  <si>
    <t>Calculate ESR at Vinmax and 50% duty cycle (Vin = 2*Vout)</t>
  </si>
  <si>
    <t>Step 7: Compensation</t>
  </si>
  <si>
    <t>Step 6a: Soft Start</t>
  </si>
  <si>
    <t>…report highest of these</t>
  </si>
  <si>
    <t>…report this</t>
  </si>
  <si>
    <t>PLOT_TYPE</t>
  </si>
  <si>
    <t>Transition Loss</t>
  </si>
  <si>
    <t>Total Control MOSFET Loss</t>
  </si>
  <si>
    <t>Total Sync MOSFET Loss</t>
  </si>
  <si>
    <t>Core Loss</t>
  </si>
  <si>
    <t>Irms Lf</t>
  </si>
  <si>
    <t xml:space="preserve">High-side BUCK "Control" MOSFET Losses </t>
  </si>
  <si>
    <t xml:space="preserve">Low-side BUCK "Sync" MOSFET Losses </t>
  </si>
  <si>
    <t>Mode</t>
  </si>
  <si>
    <t>Operating Point Condtions</t>
  </si>
  <si>
    <t>Duty Cycle BUCK Leg</t>
  </si>
  <si>
    <t>Total MOSFET Loss</t>
  </si>
  <si>
    <t>Full-load/high line efficiency</t>
  </si>
  <si>
    <t>Half-load/mid-line efficiency</t>
  </si>
  <si>
    <t>θJA-MOSFET</t>
  </si>
  <si>
    <t>θJA</t>
  </si>
  <si>
    <t>10% load</t>
  </si>
  <si>
    <t>100% load</t>
  </si>
  <si>
    <t>50% load</t>
  </si>
  <si>
    <t>http://www.ti.com/nexfet</t>
  </si>
  <si>
    <r>
      <t>** For information on TI NexFET</t>
    </r>
    <r>
      <rPr>
        <vertAlign val="superscript"/>
        <sz val="10"/>
        <rFont val="Arial"/>
        <family val="2"/>
      </rPr>
      <t>TM</t>
    </r>
    <r>
      <rPr>
        <sz val="10"/>
        <rFont val="Arial"/>
        <family val="2"/>
      </rPr>
      <t xml:space="preserve"> MOSFETs, see **</t>
    </r>
  </si>
  <si>
    <t xml:space="preserve">   **</t>
  </si>
  <si>
    <t>VIN range</t>
  </si>
  <si>
    <t>DITHER Yes/No</t>
  </si>
  <si>
    <t>1 = Yes, 2 = No</t>
  </si>
  <si>
    <t>DITHER Disabled</t>
  </si>
  <si>
    <t>DITHER Enabled</t>
  </si>
  <si>
    <t>Modulating Frequency</t>
  </si>
  <si>
    <t>http://www.ti.com/product/lm5175</t>
  </si>
  <si>
    <t>VAR</t>
  </si>
  <si>
    <t>Step 4: Output Capacitors</t>
  </si>
  <si>
    <t>Step 5: Input Capacitors</t>
  </si>
  <si>
    <t>LM5143-Q1EVM-2100 PCB Layout</t>
  </si>
  <si>
    <t>Shunt or inductor DCR current sensing</t>
  </si>
  <si>
    <t>FPWM or DEM (DEMB)</t>
  </si>
  <si>
    <t>Single or dual output (MODE)</t>
  </si>
  <si>
    <t>With/without dither (DITH)</t>
  </si>
  <si>
    <t>3.3V or 5V fixed (FB1/2)</t>
  </si>
  <si>
    <t xml:space="preserve">Tie to VDDA or AGND for FPWM/DEM, respectively. </t>
  </si>
  <si>
    <t>VIN_nom</t>
  </si>
  <si>
    <t>Vout2</t>
  </si>
  <si>
    <t>Iout2</t>
  </si>
  <si>
    <t>Rout2</t>
  </si>
  <si>
    <t>Load resistance - Channel 1</t>
  </si>
  <si>
    <t>Calculate input power assuming finite efficiency</t>
  </si>
  <si>
    <t>Single/Dual Yes/No</t>
  </si>
  <si>
    <t>Ch2 Recommended Inductance</t>
  </si>
  <si>
    <r>
      <t>Ch2 Inductance, L</t>
    </r>
    <r>
      <rPr>
        <b/>
        <vertAlign val="subscript"/>
        <sz val="10"/>
        <color theme="1"/>
        <rFont val="Arial"/>
        <family val="2"/>
      </rPr>
      <t>O2</t>
    </r>
    <r>
      <rPr>
        <b/>
        <sz val="10"/>
        <color theme="1"/>
        <rFont val="Arial"/>
        <family val="2"/>
      </rPr>
      <t xml:space="preserve"> </t>
    </r>
  </si>
  <si>
    <r>
      <t>Ch1 Inductance, L</t>
    </r>
    <r>
      <rPr>
        <b/>
        <vertAlign val="subscript"/>
        <sz val="10"/>
        <color theme="1"/>
        <rFont val="Arial"/>
        <family val="2"/>
      </rPr>
      <t>O1</t>
    </r>
    <r>
      <rPr>
        <b/>
        <sz val="10"/>
        <color theme="1"/>
        <rFont val="Arial"/>
        <family val="2"/>
      </rPr>
      <t xml:space="preserve"> </t>
    </r>
  </si>
  <si>
    <t xml:space="preserve">Ch1 Inductor DCR </t>
  </si>
  <si>
    <t xml:space="preserve">Ch2 Inductor DCR </t>
  </si>
  <si>
    <r>
      <t>Output Voltage, V</t>
    </r>
    <r>
      <rPr>
        <b/>
        <vertAlign val="subscript"/>
        <sz val="10"/>
        <color theme="1"/>
        <rFont val="Arial"/>
        <family val="2"/>
      </rPr>
      <t>OUT2</t>
    </r>
    <r>
      <rPr>
        <b/>
        <sz val="10"/>
        <color theme="1"/>
        <rFont val="Arial"/>
        <family val="2"/>
      </rPr>
      <t xml:space="preserve"> </t>
    </r>
  </si>
  <si>
    <r>
      <t>Full Load Output Current, I</t>
    </r>
    <r>
      <rPr>
        <b/>
        <vertAlign val="subscript"/>
        <sz val="10"/>
        <color theme="1"/>
        <rFont val="Arial"/>
        <family val="2"/>
      </rPr>
      <t>OUT2</t>
    </r>
  </si>
  <si>
    <t>Output voltage - channel 1</t>
  </si>
  <si>
    <t>Output current - channel 1</t>
  </si>
  <si>
    <t>Output current - channel 2</t>
  </si>
  <si>
    <t>Output voltage - channel 2</t>
  </si>
  <si>
    <t>Switching period</t>
  </si>
  <si>
    <t>Reference voltage</t>
  </si>
  <si>
    <t>Frequency set resistor</t>
  </si>
  <si>
    <t>Nominal switching frequency - determines RT resistor (SYNCIN must be 80-120% of this)</t>
  </si>
  <si>
    <t>L_slopecomp</t>
  </si>
  <si>
    <t>Inductor copper temerature</t>
  </si>
  <si>
    <t>Channel 1</t>
  </si>
  <si>
    <t>Channel 2</t>
  </si>
  <si>
    <t>Calculated inductance for 35% ripple at VIN(nom)</t>
  </si>
  <si>
    <t>Duty cycles adjusted for DCR/shunt voltage drops</t>
  </si>
  <si>
    <r>
      <t>Required I</t>
    </r>
    <r>
      <rPr>
        <b/>
        <vertAlign val="subscript"/>
        <sz val="10"/>
        <color theme="1"/>
        <rFont val="Arial"/>
        <family val="2"/>
      </rPr>
      <t>OCP</t>
    </r>
    <r>
      <rPr>
        <b/>
        <sz val="10"/>
        <color theme="1"/>
        <rFont val="Arial"/>
        <family val="2"/>
      </rPr>
      <t xml:space="preserve"> Setpoint at V</t>
    </r>
    <r>
      <rPr>
        <b/>
        <vertAlign val="subscript"/>
        <sz val="10"/>
        <color theme="1"/>
        <rFont val="Arial"/>
        <family val="2"/>
      </rPr>
      <t>IN(nom)</t>
    </r>
  </si>
  <si>
    <r>
      <rPr>
        <b/>
        <sz val="10"/>
        <rFont val="Arial"/>
        <family val="2"/>
      </rPr>
      <t>Peak</t>
    </r>
    <r>
      <rPr>
        <sz val="10"/>
        <rFont val="Arial"/>
        <family val="2"/>
      </rPr>
      <t xml:space="preserve"> inductor current at current limit inception</t>
    </r>
  </si>
  <si>
    <t>CS threshold</t>
  </si>
  <si>
    <t>CS threshold_min</t>
  </si>
  <si>
    <t>CS threshold_max</t>
  </si>
  <si>
    <t>Ideal Rs for the required OCP -- based on 73mV CL threshold</t>
  </si>
  <si>
    <t>Current limit - peak</t>
  </si>
  <si>
    <r>
      <rPr>
        <b/>
        <sz val="10"/>
        <rFont val="Arial"/>
        <family val="2"/>
      </rPr>
      <t>Peak</t>
    </r>
    <r>
      <rPr>
        <sz val="10"/>
        <rFont val="Arial"/>
        <family val="2"/>
      </rPr>
      <t xml:space="preserve"> inductor current limit = min sat current</t>
    </r>
  </si>
  <si>
    <t>Pshunt_Vinmin</t>
  </si>
  <si>
    <t>Pshunt_Vinnom</t>
  </si>
  <si>
    <t>Pshunt_Vinmax</t>
  </si>
  <si>
    <t>Irms_OCP_Vinmin</t>
  </si>
  <si>
    <t>Irms_OCP_Vinnom</t>
  </si>
  <si>
    <t>Irms_OCP_Vinmax</t>
  </si>
  <si>
    <t>Max power dissipations in shunt</t>
  </si>
  <si>
    <t>Max power loss in shunt</t>
  </si>
  <si>
    <t>Lo</t>
  </si>
  <si>
    <t>Note this is power loss at full load - not loss near OCP!</t>
  </si>
  <si>
    <t>Ripple current at Vin(max)</t>
  </si>
  <si>
    <r>
      <t>I</t>
    </r>
    <r>
      <rPr>
        <vertAlign val="subscript"/>
        <sz val="10"/>
        <rFont val="Arial"/>
        <family val="2"/>
      </rPr>
      <t>OUT2(typ)</t>
    </r>
    <r>
      <rPr>
        <sz val="10"/>
        <rFont val="Arial"/>
        <family val="2"/>
      </rPr>
      <t xml:space="preserve"> at OCP Inception:</t>
    </r>
  </si>
  <si>
    <r>
      <t>Min Inductor Sat Current, I</t>
    </r>
    <r>
      <rPr>
        <vertAlign val="subscript"/>
        <sz val="10"/>
        <color theme="1"/>
        <rFont val="Arial"/>
        <family val="2"/>
      </rPr>
      <t>LO2(SAT)</t>
    </r>
  </si>
  <si>
    <r>
      <t>Max power loss in shunt R</t>
    </r>
    <r>
      <rPr>
        <vertAlign val="subscript"/>
        <sz val="10"/>
        <color theme="1"/>
        <rFont val="Arial"/>
        <family val="2"/>
      </rPr>
      <t>S2</t>
    </r>
  </si>
  <si>
    <r>
      <rPr>
        <sz val="10"/>
        <rFont val="Symbol"/>
        <family val="1"/>
        <charset val="2"/>
      </rPr>
      <t>D</t>
    </r>
    <r>
      <rPr>
        <sz val="10"/>
        <rFont val="Arial"/>
        <family val="2"/>
      </rPr>
      <t>I</t>
    </r>
    <r>
      <rPr>
        <vertAlign val="subscript"/>
        <sz val="10"/>
        <rFont val="Arial"/>
        <family val="2"/>
      </rPr>
      <t>L2</t>
    </r>
    <r>
      <rPr>
        <sz val="10"/>
        <rFont val="Arial"/>
        <family val="2"/>
      </rPr>
      <t xml:space="preserve"> as a % at V</t>
    </r>
    <r>
      <rPr>
        <vertAlign val="subscript"/>
        <sz val="10"/>
        <rFont val="Arial"/>
        <family val="2"/>
      </rPr>
      <t>IN(nom)</t>
    </r>
  </si>
  <si>
    <r>
      <t>Sense Resistance, R</t>
    </r>
    <r>
      <rPr>
        <b/>
        <vertAlign val="subscript"/>
        <sz val="10"/>
        <color theme="1"/>
        <rFont val="Arial"/>
        <family val="2"/>
      </rPr>
      <t>S2</t>
    </r>
  </si>
  <si>
    <t>FPWM</t>
  </si>
  <si>
    <t>DEM</t>
  </si>
  <si>
    <t>FPWM/DEM</t>
  </si>
  <si>
    <t>Step 6b: Other Components - Dither, Hiccup, DEMB, MODE</t>
  </si>
  <si>
    <t>Tres</t>
  </si>
  <si>
    <t>Cres</t>
  </si>
  <si>
    <t>Cres_u</t>
  </si>
  <si>
    <r>
      <t>RES Capacitance, C</t>
    </r>
    <r>
      <rPr>
        <vertAlign val="subscript"/>
        <sz val="10"/>
        <rFont val="Arial"/>
        <family val="2"/>
      </rPr>
      <t>RES</t>
    </r>
    <r>
      <rPr>
        <sz val="10"/>
        <rFont val="Arial"/>
        <family val="2"/>
      </rPr>
      <t xml:space="preserve"> </t>
    </r>
  </si>
  <si>
    <r>
      <t>R</t>
    </r>
    <r>
      <rPr>
        <vertAlign val="subscript"/>
        <sz val="10"/>
        <rFont val="Arial"/>
        <family val="2"/>
      </rPr>
      <t>PG1/2</t>
    </r>
  </si>
  <si>
    <t>Hiccup time</t>
  </si>
  <si>
    <t>R_DEMB</t>
  </si>
  <si>
    <t>R_MODE</t>
  </si>
  <si>
    <t xml:space="preserve">Tie to VDDA or AGND for Single/Dual operation, respectively. </t>
  </si>
  <si>
    <r>
      <t>R</t>
    </r>
    <r>
      <rPr>
        <vertAlign val="subscript"/>
        <sz val="10"/>
        <rFont val="Arial"/>
        <family val="2"/>
      </rPr>
      <t>FB1/2</t>
    </r>
  </si>
  <si>
    <t xml:space="preserve">Tie to VDDA or AGND for 3.3V/5V output, respectively. </t>
  </si>
  <si>
    <t>Step 6: Soft-start, Hiccup, Dither, DEMB, MODE</t>
  </si>
  <si>
    <r>
      <t>Min Inductor Sat Current, I</t>
    </r>
    <r>
      <rPr>
        <vertAlign val="subscript"/>
        <sz val="10"/>
        <color theme="1"/>
        <rFont val="Arial"/>
        <family val="2"/>
      </rPr>
      <t>LO(SAT)</t>
    </r>
  </si>
  <si>
    <t xml:space="preserve">Ch2 Output Capacitor ESR </t>
  </si>
  <si>
    <t xml:space="preserve">Ch2 Maximum Permitted ESR </t>
  </si>
  <si>
    <t>Ch2 Output Voltage Ripple Spec</t>
  </si>
  <si>
    <t xml:space="preserve">Ch2 Minimum Output Capacitance </t>
  </si>
  <si>
    <r>
      <t>Hiccup Fault Time, t</t>
    </r>
    <r>
      <rPr>
        <b/>
        <vertAlign val="subscript"/>
        <sz val="10"/>
        <color theme="1"/>
        <rFont val="Arial"/>
        <family val="2"/>
      </rPr>
      <t>RES</t>
    </r>
    <r>
      <rPr>
        <b/>
        <sz val="10"/>
        <color theme="1"/>
        <rFont val="Arial"/>
        <family val="2"/>
      </rPr>
      <t xml:space="preserve"> </t>
    </r>
  </si>
  <si>
    <t>VCC</t>
  </si>
  <si>
    <t>mc = 1 + Se/Sf for peak current-mode buck</t>
  </si>
  <si>
    <t>mc*(1-d)</t>
  </si>
  <si>
    <t>Ch1 Recommended Inductance</t>
  </si>
  <si>
    <t>This along with Rcea1 will set a zero at Fcrossover/5 to optimize phase margin</t>
  </si>
  <si>
    <t>Ch2 Load Pole Frequency</t>
  </si>
  <si>
    <t>Ch2 Error Amp Pole Frequency</t>
  </si>
  <si>
    <t>Ch2 Desired Crossover Frequency</t>
  </si>
  <si>
    <r>
      <t>Ch2</t>
    </r>
    <r>
      <rPr>
        <sz val="10"/>
        <rFont val="Arial"/>
        <family val="2"/>
      </rPr>
      <t xml:space="preserve"> ESR Zero Frequency </t>
    </r>
  </si>
  <si>
    <r>
      <t>R</t>
    </r>
    <r>
      <rPr>
        <b/>
        <vertAlign val="subscript"/>
        <sz val="10"/>
        <rFont val="Arial"/>
        <family val="2"/>
      </rPr>
      <t>C1</t>
    </r>
  </si>
  <si>
    <r>
      <t>R</t>
    </r>
    <r>
      <rPr>
        <b/>
        <vertAlign val="subscript"/>
        <sz val="10"/>
        <rFont val="Arial"/>
        <family val="2"/>
      </rPr>
      <t>C2</t>
    </r>
  </si>
  <si>
    <r>
      <t>C</t>
    </r>
    <r>
      <rPr>
        <b/>
        <vertAlign val="subscript"/>
        <sz val="10"/>
        <rFont val="Arial"/>
        <family val="2"/>
      </rPr>
      <t>C3</t>
    </r>
  </si>
  <si>
    <r>
      <t>C</t>
    </r>
    <r>
      <rPr>
        <b/>
        <vertAlign val="subscript"/>
        <sz val="10"/>
        <rFont val="Arial"/>
        <family val="2"/>
      </rPr>
      <t>C4</t>
    </r>
  </si>
  <si>
    <t>3.3V</t>
  </si>
  <si>
    <t>5V</t>
  </si>
  <si>
    <t>Adjustable</t>
  </si>
  <si>
    <t>Ch1 Output Setting</t>
  </si>
  <si>
    <t>Ch2 Output Setting</t>
  </si>
  <si>
    <r>
      <t>kHz (F</t>
    </r>
    <r>
      <rPr>
        <vertAlign val="subscript"/>
        <sz val="10"/>
        <rFont val="Arial"/>
        <family val="2"/>
      </rPr>
      <t>ZCOMP2</t>
    </r>
    <r>
      <rPr>
        <sz val="10"/>
        <rFont val="Arial"/>
        <family val="2"/>
      </rPr>
      <t>)</t>
    </r>
  </si>
  <si>
    <r>
      <t>kHz (F</t>
    </r>
    <r>
      <rPr>
        <vertAlign val="subscript"/>
        <sz val="10"/>
        <rFont val="Arial"/>
        <family val="2"/>
      </rPr>
      <t>PCOMP2</t>
    </r>
    <r>
      <rPr>
        <sz val="10"/>
        <rFont val="Arial"/>
        <family val="2"/>
      </rPr>
      <t>)</t>
    </r>
  </si>
  <si>
    <r>
      <t>Hz   (F</t>
    </r>
    <r>
      <rPr>
        <vertAlign val="subscript"/>
        <sz val="10"/>
        <rFont val="Arial"/>
        <family val="2"/>
      </rPr>
      <t>PEA2</t>
    </r>
    <r>
      <rPr>
        <sz val="10"/>
        <rFont val="Arial"/>
        <family val="2"/>
      </rPr>
      <t>)</t>
    </r>
  </si>
  <si>
    <r>
      <t>Hz   (F</t>
    </r>
    <r>
      <rPr>
        <vertAlign val="subscript"/>
        <sz val="10"/>
        <rFont val="Arial"/>
        <family val="2"/>
      </rPr>
      <t>PEA</t>
    </r>
    <r>
      <rPr>
        <sz val="10"/>
        <rFont val="Arial"/>
        <family val="2"/>
      </rPr>
      <t>)</t>
    </r>
  </si>
  <si>
    <t>Step 2: Buck Inductor</t>
  </si>
  <si>
    <t>Calculated inductance based on one times inductor downslope</t>
  </si>
  <si>
    <t>D_Vinmin</t>
  </si>
  <si>
    <t>D_Vinnom</t>
  </si>
  <si>
    <t>D_Vinmax</t>
  </si>
  <si>
    <t>D_Vinmin_2</t>
  </si>
  <si>
    <t>D_Vinnom_2</t>
  </si>
  <si>
    <t>D_Vinmax_2</t>
  </si>
  <si>
    <t>Cc1ea, Cc3ea</t>
  </si>
  <si>
    <t>Cc2ea, Cc4ea</t>
  </si>
  <si>
    <t>Rc2</t>
  </si>
  <si>
    <t>Cc3</t>
  </si>
  <si>
    <t>Cc4</t>
  </si>
  <si>
    <t>Cc3ea</t>
  </si>
  <si>
    <t>Cc4ea</t>
  </si>
  <si>
    <t>Rfb3</t>
  </si>
  <si>
    <t>Rfb4</t>
  </si>
  <si>
    <t>High- &amp; low-side MOSFETs - Ch1</t>
  </si>
  <si>
    <t>High- &amp; low-side MOSFETs - Ch2</t>
  </si>
  <si>
    <t>with 170mA current limit</t>
  </si>
  <si>
    <t>Quiescent Current of LM5143-Q1 Controller (One channel disabled)</t>
  </si>
  <si>
    <t>Controller Characteristics</t>
  </si>
  <si>
    <t>Gate Charge at VCC = 5V</t>
  </si>
  <si>
    <t>Drain-Source Resistances of Channel 1 FETs</t>
  </si>
  <si>
    <t>Drain-Source Resistances of Channel 2 FETs</t>
  </si>
  <si>
    <t>Junction-to-Ambient Resistance</t>
  </si>
  <si>
    <t>Transconductance</t>
  </si>
  <si>
    <t>Threshold Voltage</t>
  </si>
  <si>
    <t>Switch Point Voltage of FETs</t>
  </si>
  <si>
    <t>** Specify Inductor Core Loss **</t>
  </si>
  <si>
    <t>Control MOSFET Loss</t>
  </si>
  <si>
    <t>SYNC MOSFET Loss</t>
  </si>
  <si>
    <t>BUCK CONTROLLER POWER DESIGN TOOL</t>
  </si>
  <si>
    <t>High-side</t>
  </si>
  <si>
    <t>High Efficiency Synchronous Buck Regulator BOM</t>
  </si>
  <si>
    <t>LM5143-Q1</t>
  </si>
  <si>
    <t>VQFN-40</t>
  </si>
  <si>
    <r>
      <t>L</t>
    </r>
    <r>
      <rPr>
        <vertAlign val="subscript"/>
        <sz val="10"/>
        <rFont val="Arial"/>
        <family val="2"/>
      </rPr>
      <t>O1</t>
    </r>
  </si>
  <si>
    <r>
      <t>L</t>
    </r>
    <r>
      <rPr>
        <vertAlign val="subscript"/>
        <sz val="10"/>
        <rFont val="Arial"/>
        <family val="2"/>
      </rPr>
      <t>O2</t>
    </r>
  </si>
  <si>
    <r>
      <t>D</t>
    </r>
    <r>
      <rPr>
        <vertAlign val="subscript"/>
        <sz val="10"/>
        <rFont val="Arial"/>
        <family val="2"/>
      </rPr>
      <t>BOOT1</t>
    </r>
    <r>
      <rPr>
        <sz val="10"/>
        <rFont val="Arial"/>
        <family val="2"/>
      </rPr>
      <t>, D</t>
    </r>
    <r>
      <rPr>
        <vertAlign val="subscript"/>
        <sz val="10"/>
        <rFont val="Arial"/>
        <family val="2"/>
      </rPr>
      <t>BOOT2</t>
    </r>
  </si>
  <si>
    <r>
      <t>R</t>
    </r>
    <r>
      <rPr>
        <vertAlign val="subscript"/>
        <sz val="10"/>
        <rFont val="Arial"/>
        <family val="2"/>
      </rPr>
      <t>C2</t>
    </r>
  </si>
  <si>
    <r>
      <t>R</t>
    </r>
    <r>
      <rPr>
        <vertAlign val="subscript"/>
        <sz val="10"/>
        <rFont val="Arial"/>
        <family val="2"/>
      </rPr>
      <t>S1</t>
    </r>
  </si>
  <si>
    <t>0508</t>
  </si>
  <si>
    <r>
      <t>R</t>
    </r>
    <r>
      <rPr>
        <vertAlign val="subscript"/>
        <sz val="10"/>
        <rFont val="Arial"/>
        <family val="2"/>
      </rPr>
      <t>S2</t>
    </r>
  </si>
  <si>
    <r>
      <t>R</t>
    </r>
    <r>
      <rPr>
        <vertAlign val="subscript"/>
        <sz val="10"/>
        <rFont val="Arial"/>
        <family val="2"/>
      </rPr>
      <t>FB3</t>
    </r>
  </si>
  <si>
    <r>
      <t>R</t>
    </r>
    <r>
      <rPr>
        <vertAlign val="subscript"/>
        <sz val="10"/>
        <rFont val="Arial"/>
        <family val="2"/>
      </rPr>
      <t>FB4</t>
    </r>
  </si>
  <si>
    <r>
      <t>C</t>
    </r>
    <r>
      <rPr>
        <vertAlign val="subscript"/>
        <sz val="10"/>
        <rFont val="Arial"/>
        <family val="2"/>
      </rPr>
      <t>SS1</t>
    </r>
    <r>
      <rPr>
        <sz val="10"/>
        <rFont val="Arial"/>
        <family val="2"/>
      </rPr>
      <t>, C</t>
    </r>
    <r>
      <rPr>
        <vertAlign val="subscript"/>
        <sz val="10"/>
        <rFont val="Arial"/>
        <family val="2"/>
      </rPr>
      <t>SS2</t>
    </r>
  </si>
  <si>
    <r>
      <t>C</t>
    </r>
    <r>
      <rPr>
        <vertAlign val="subscript"/>
        <sz val="10"/>
        <rFont val="Arial"/>
        <family val="2"/>
      </rPr>
      <t>VCC1</t>
    </r>
    <r>
      <rPr>
        <sz val="10"/>
        <rFont val="Arial"/>
        <family val="2"/>
      </rPr>
      <t>, C</t>
    </r>
    <r>
      <rPr>
        <vertAlign val="subscript"/>
        <sz val="10"/>
        <rFont val="Arial"/>
        <family val="2"/>
      </rPr>
      <t>VCC2</t>
    </r>
    <r>
      <rPr>
        <sz val="10"/>
        <rFont val="Arial"/>
        <family val="2"/>
      </rPr>
      <t>, C</t>
    </r>
    <r>
      <rPr>
        <vertAlign val="subscript"/>
        <sz val="10"/>
        <rFont val="Arial"/>
        <family val="2"/>
      </rPr>
      <t>VCCX</t>
    </r>
  </si>
  <si>
    <r>
      <t>C</t>
    </r>
    <r>
      <rPr>
        <vertAlign val="subscript"/>
        <sz val="10"/>
        <rFont val="Arial"/>
        <family val="2"/>
      </rPr>
      <t>RES</t>
    </r>
  </si>
  <si>
    <r>
      <t>C</t>
    </r>
    <r>
      <rPr>
        <vertAlign val="subscript"/>
        <sz val="10"/>
        <rFont val="Arial"/>
        <family val="2"/>
      </rPr>
      <t>C3</t>
    </r>
  </si>
  <si>
    <r>
      <t>C</t>
    </r>
    <r>
      <rPr>
        <vertAlign val="subscript"/>
        <sz val="10"/>
        <rFont val="Arial"/>
        <family val="2"/>
      </rPr>
      <t>C4</t>
    </r>
  </si>
  <si>
    <r>
      <t>C</t>
    </r>
    <r>
      <rPr>
        <vertAlign val="subscript"/>
        <sz val="10"/>
        <rFont val="Arial"/>
        <family val="2"/>
      </rPr>
      <t>VDDA</t>
    </r>
  </si>
  <si>
    <r>
      <t>R</t>
    </r>
    <r>
      <rPr>
        <vertAlign val="subscript"/>
        <sz val="10"/>
        <rFont val="Arial"/>
        <family val="2"/>
      </rPr>
      <t>PGOOD1</t>
    </r>
    <r>
      <rPr>
        <sz val="10"/>
        <rFont val="Arial"/>
        <family val="2"/>
      </rPr>
      <t>, R</t>
    </r>
    <r>
      <rPr>
        <vertAlign val="subscript"/>
        <sz val="10"/>
        <rFont val="Arial"/>
        <family val="2"/>
      </rPr>
      <t>PGOOD2</t>
    </r>
  </si>
  <si>
    <t>Iout/ phase</t>
  </si>
  <si>
    <t>% ripple current</t>
  </si>
  <si>
    <t>Zero-order sample-and-hold effects of current-mode control modeled as pole at Fsw/2</t>
  </si>
  <si>
    <t>With/without VOUT connected to VCCX</t>
  </si>
  <si>
    <r>
      <t>(Q</t>
    </r>
    <r>
      <rPr>
        <b/>
        <vertAlign val="subscript"/>
        <sz val="10"/>
        <color rgb="FF0000FF"/>
        <rFont val="Arial"/>
        <family val="2"/>
      </rPr>
      <t>1</t>
    </r>
    <r>
      <rPr>
        <b/>
        <sz val="10"/>
        <color rgb="FF0000FF"/>
        <rFont val="Arial"/>
        <family val="2"/>
      </rPr>
      <t>, Q</t>
    </r>
    <r>
      <rPr>
        <b/>
        <vertAlign val="subscript"/>
        <sz val="10"/>
        <color rgb="FF0000FF"/>
        <rFont val="Arial"/>
        <family val="2"/>
      </rPr>
      <t>2</t>
    </r>
    <r>
      <rPr>
        <b/>
        <sz val="10"/>
        <color rgb="FF0000FF"/>
        <rFont val="Arial"/>
        <family val="2"/>
      </rPr>
      <t xml:space="preserve">) </t>
    </r>
  </si>
  <si>
    <r>
      <t>(Q</t>
    </r>
    <r>
      <rPr>
        <b/>
        <vertAlign val="subscript"/>
        <sz val="10"/>
        <color rgb="FF0000FF"/>
        <rFont val="Arial"/>
        <family val="2"/>
      </rPr>
      <t>3</t>
    </r>
    <r>
      <rPr>
        <b/>
        <sz val="10"/>
        <color rgb="FF0000FF"/>
        <rFont val="Arial"/>
        <family val="2"/>
      </rPr>
      <t>, Q</t>
    </r>
    <r>
      <rPr>
        <b/>
        <vertAlign val="subscript"/>
        <sz val="10"/>
        <color rgb="FF0000FF"/>
        <rFont val="Arial"/>
        <family val="2"/>
      </rPr>
      <t>4</t>
    </r>
    <r>
      <rPr>
        <b/>
        <sz val="10"/>
        <color rgb="FF0000FF"/>
        <rFont val="Arial"/>
        <family val="2"/>
      </rPr>
      <t xml:space="preserve">) </t>
    </r>
  </si>
  <si>
    <t>Dual  Outputs</t>
  </si>
  <si>
    <t>Single Output – 2  Phases</t>
  </si>
  <si>
    <t>Single Output – 3  Phases</t>
  </si>
  <si>
    <t>Single Output – 4  Phases</t>
  </si>
  <si>
    <t>BODE_PLOT_TYPE</t>
  </si>
  <si>
    <r>
      <t xml:space="preserve">   ** For </t>
    </r>
    <r>
      <rPr>
        <b/>
        <sz val="10"/>
        <color rgb="FFFF0000"/>
        <rFont val="Arial"/>
        <family val="2"/>
      </rPr>
      <t>Dual-Output Operation</t>
    </r>
    <r>
      <rPr>
        <sz val="10"/>
        <rFont val="Arial"/>
        <family val="2"/>
      </rPr>
      <t>, tie FB1/FB2 to to VDDA for Fixed 3.3V, AGND for Fixed 5V Output **</t>
    </r>
  </si>
  <si>
    <t xml:space="preserve">   ** Tie MODE to VDDA for Single, AGND for Dual Outputs **</t>
  </si>
  <si>
    <t xml:space="preserve">   ** Tie DEMB to VDDA for FPWM, AGND for DCM **</t>
  </si>
  <si>
    <r>
      <t xml:space="preserve">   ** For </t>
    </r>
    <r>
      <rPr>
        <b/>
        <sz val="10"/>
        <color rgb="FFFF0000"/>
        <rFont val="Arial"/>
        <family val="2"/>
      </rPr>
      <t>Single-Output Operation in 2-Phase Mode</t>
    </r>
    <r>
      <rPr>
        <sz val="10"/>
        <rFont val="Arial"/>
        <family val="2"/>
      </rPr>
      <t>, tie MODE to VDDA and use FB1 to set VOUT. Connect FB2 to AGND to disable EA of channel 2 **</t>
    </r>
  </si>
  <si>
    <r>
      <t xml:space="preserve">   ** For </t>
    </r>
    <r>
      <rPr>
        <b/>
        <sz val="10"/>
        <color rgb="FFFF0000"/>
        <rFont val="Arial"/>
        <family val="2"/>
      </rPr>
      <t>Single-Output Operation in 3-Phase or 4-Phase Mode</t>
    </r>
    <r>
      <rPr>
        <sz val="10"/>
        <rFont val="Arial"/>
        <family val="2"/>
      </rPr>
      <t>, tie all MODE pins to VDDA. Use FB1 of master IC to set VOUT. Connect FB2 of master IC to AGND. Connect FB2 of slave IC to VDDA to configure it as a slave **</t>
    </r>
  </si>
  <si>
    <r>
      <t>Ambient Temperature, T</t>
    </r>
    <r>
      <rPr>
        <b/>
        <vertAlign val="subscript"/>
        <sz val="10"/>
        <rFont val="Arial"/>
        <family val="2"/>
      </rPr>
      <t>A</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</si>
  <si>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</si>
  <si>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</si>
  <si>
    <r>
      <t>Input Voltage – Max, V</t>
    </r>
    <r>
      <rPr>
        <b/>
        <vertAlign val="subscript"/>
        <sz val="10"/>
        <color theme="1"/>
        <rFont val="Arial"/>
        <family val="2"/>
      </rPr>
      <t>IN(max)</t>
    </r>
  </si>
  <si>
    <r>
      <t>Switching Frequency, F</t>
    </r>
    <r>
      <rPr>
        <b/>
        <vertAlign val="subscript"/>
        <sz val="10"/>
        <color theme="1"/>
        <rFont val="Arial"/>
        <family val="2"/>
      </rPr>
      <t>SW</t>
    </r>
  </si>
  <si>
    <t>Number of Phases</t>
  </si>
  <si>
    <t>SINGLE OUTPUT (1 = YES)</t>
  </si>
  <si>
    <t>MODE (Single/Dual), DUAL = 1, SINGLE = 2</t>
  </si>
  <si>
    <t>Buck modulator gain</t>
  </si>
  <si>
    <t>Scaling factor to calculate Rcomp - buck</t>
  </si>
  <si>
    <r>
      <t>R</t>
    </r>
    <r>
      <rPr>
        <vertAlign val="subscript"/>
        <sz val="10"/>
        <rFont val="Arial"/>
        <family val="2"/>
      </rPr>
      <t>DEMB</t>
    </r>
  </si>
  <si>
    <r>
      <t>R</t>
    </r>
    <r>
      <rPr>
        <vertAlign val="subscript"/>
        <sz val="10"/>
        <rFont val="Arial"/>
        <family val="2"/>
      </rPr>
      <t>PG1</t>
    </r>
    <r>
      <rPr>
        <sz val="10"/>
        <rFont val="Arial"/>
        <family val="2"/>
      </rPr>
      <t>, R</t>
    </r>
    <r>
      <rPr>
        <vertAlign val="subscript"/>
        <sz val="10"/>
        <rFont val="Arial"/>
        <family val="2"/>
      </rPr>
      <t>PG2</t>
    </r>
  </si>
  <si>
    <t>Schottky Diode, 60V, 200mA</t>
  </si>
  <si>
    <r>
      <t>Output Voltage, V</t>
    </r>
    <r>
      <rPr>
        <b/>
        <vertAlign val="subscript"/>
        <sz val="10"/>
        <color theme="1"/>
        <rFont val="Arial"/>
        <family val="2"/>
      </rPr>
      <t>OUT</t>
    </r>
    <r>
      <rPr>
        <b/>
        <sz val="10"/>
        <color theme="1"/>
        <rFont val="Arial"/>
        <family val="2"/>
      </rPr>
      <t xml:space="preserve"> </t>
    </r>
  </si>
  <si>
    <r>
      <t>Full Load Output Current, I</t>
    </r>
    <r>
      <rPr>
        <b/>
        <vertAlign val="subscript"/>
        <sz val="10"/>
        <color theme="1"/>
        <rFont val="Arial"/>
        <family val="2"/>
      </rPr>
      <t xml:space="preserve">OUT </t>
    </r>
  </si>
  <si>
    <t>Step 9: IC Power Loss</t>
  </si>
  <si>
    <t>IC Junction Temperature (estimate)</t>
  </si>
  <si>
    <t>Junction temperature</t>
  </si>
  <si>
    <t>VCCX Connected</t>
  </si>
  <si>
    <t>No External VCC</t>
  </si>
  <si>
    <t>Ext_VCC</t>
  </si>
  <si>
    <t>Fp2</t>
  </si>
  <si>
    <t>Chosen output capacitance</t>
  </si>
  <si>
    <t>Minimum output capacitnace</t>
  </si>
  <si>
    <t>Css2</t>
  </si>
  <si>
    <t>I_VCC</t>
  </si>
  <si>
    <t>LDO Loss Saved from Gate Drive Current (ext VCC)</t>
  </si>
  <si>
    <t>IC Power Dissipation</t>
  </si>
  <si>
    <t>Step 2: Current Sense Resistors</t>
  </si>
  <si>
    <t>Step 3: Buck Inductances</t>
  </si>
  <si>
    <r>
      <t>Output Capacitance, C</t>
    </r>
    <r>
      <rPr>
        <b/>
        <vertAlign val="subscript"/>
        <sz val="10"/>
        <rFont val="Arial"/>
        <family val="2"/>
      </rPr>
      <t>OSS</t>
    </r>
    <r>
      <rPr>
        <b/>
        <sz val="10"/>
        <rFont val="Arial"/>
        <family val="2"/>
      </rPr>
      <t xml:space="preserve"> </t>
    </r>
  </si>
  <si>
    <r>
      <t>Output Charge, Q</t>
    </r>
    <r>
      <rPr>
        <b/>
        <vertAlign val="subscript"/>
        <sz val="10"/>
        <rFont val="Arial"/>
        <family val="2"/>
      </rPr>
      <t>OSS</t>
    </r>
    <r>
      <rPr>
        <b/>
        <sz val="10"/>
        <rFont val="Arial"/>
        <family val="2"/>
      </rPr>
      <t xml:space="preserve"> </t>
    </r>
  </si>
  <si>
    <t>Qoss</t>
  </si>
  <si>
    <t>Coss</t>
  </si>
  <si>
    <t>Output Charge</t>
  </si>
  <si>
    <t>Output Capacitance</t>
  </si>
  <si>
    <t>Gate to Source Charge</t>
  </si>
  <si>
    <t>Tsw</t>
  </si>
  <si>
    <t>Transition Loss (not including capacitive loss)</t>
  </si>
  <si>
    <t>MOSFET Output Capacitance Loss</t>
  </si>
  <si>
    <t>Peak Inductor Current</t>
  </si>
  <si>
    <t>Valley Inductor Current</t>
  </si>
  <si>
    <t>SW node voltage at Q1 turn-on</t>
  </si>
  <si>
    <t>Maximum Permitted ESR</t>
  </si>
  <si>
    <t>Resulting Input Voltage Ripple (max)</t>
  </si>
  <si>
    <t>Icinrms_VINmax</t>
  </si>
  <si>
    <t>Two channels operating at full load</t>
  </si>
  <si>
    <t>Calculate input cap rms current with one output unloaded</t>
  </si>
  <si>
    <t>N*D</t>
  </si>
  <si>
    <t>floor(N*D)</t>
  </si>
  <si>
    <t>Icinrms - multiphase</t>
  </si>
  <si>
    <t>Final result</t>
  </si>
  <si>
    <t>Icinrms - multiphase - max</t>
  </si>
  <si>
    <t>Valley inductor Current</t>
  </si>
  <si>
    <t>SW node voltage at Q3 turn-on</t>
  </si>
  <si>
    <t>14ns for LM513-Q1</t>
  </si>
  <si>
    <t>Tsw (us)</t>
  </si>
  <si>
    <t>Slope comp amplitude</t>
  </si>
  <si>
    <r>
      <t>Output Capacitance (derated), C</t>
    </r>
    <r>
      <rPr>
        <b/>
        <vertAlign val="subscript"/>
        <sz val="10"/>
        <rFont val="Arial"/>
        <family val="2"/>
      </rPr>
      <t>OUT</t>
    </r>
    <r>
      <rPr>
        <b/>
        <sz val="10"/>
        <rFont val="Arial"/>
        <family val="2"/>
      </rPr>
      <t xml:space="preserve"> </t>
    </r>
  </si>
  <si>
    <r>
      <t>Ch2 Output Cap (derated), C</t>
    </r>
    <r>
      <rPr>
        <b/>
        <vertAlign val="subscript"/>
        <sz val="10"/>
        <rFont val="Arial"/>
        <family val="2"/>
      </rPr>
      <t>OUT2</t>
    </r>
    <r>
      <rPr>
        <b/>
        <sz val="10"/>
        <rFont val="Arial"/>
        <family val="2"/>
      </rPr>
      <t xml:space="preserve"> </t>
    </r>
  </si>
  <si>
    <t xml:space="preserve">                        LM(2)5143/-Q1 Synchronous Buck Controller Design Tool</t>
  </si>
  <si>
    <t>VARIANT</t>
  </si>
  <si>
    <t>VIN-MAX</t>
  </si>
  <si>
    <t>LM5143</t>
  </si>
  <si>
    <t>LM25143-Q1</t>
  </si>
  <si>
    <t>LM25143</t>
  </si>
  <si>
    <t>VOUT-MAX</t>
  </si>
  <si>
    <t xml:space="preserve"> LM(2)5143/-Q1 Quickstart Design Tool</t>
  </si>
  <si>
    <t>Shunt current sensing</t>
  </si>
  <si>
    <t>Inductor DCR current sensing</t>
  </si>
  <si>
    <t>SENSING_TYPE</t>
  </si>
  <si>
    <t>LM5143A-Q1</t>
  </si>
  <si>
    <t>NVMFS5H663, NVMFS5C628NL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</si>
</sst>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43" formatCode="_(* #,##0.00_);_(* \(#,##0.00\);_(* &quot;-&quot;??_);_(@_)"/>
    <numFmt numFmtId="164" formatCode="0.000000"/>
    <numFmt numFmtId="165" formatCode="0.00000"/>
    <numFmt numFmtId="166" formatCode="0.0000"/>
    <numFmt numFmtId="167" formatCode="0.000"/>
    <numFmt numFmtId="168" formatCode="0.0"/>
    <numFmt numFmtId="169" formatCode="0.000E+00"/>
    <numFmt numFmtId="170" formatCode="0.00000000"/>
    <numFmt numFmtId="171" formatCode="#0.0#"/>
    <numFmt numFmtId="172" formatCode="General&quot;nF&quot;"/>
    <numFmt numFmtId="173" formatCode="General&quot;k&quot;"/>
    <numFmt numFmtId="174" formatCode="General&quot;pF&quot;"/>
    <numFmt numFmtId="175" formatCode="General&quot;µF&quot;"/>
    <numFmt numFmtId="176" formatCode="&quot;Capacitor, Ceramic, &quot;General&quot;-µF, 25V, X5R, 20%&quot;"/>
    <numFmt numFmtId="177" formatCode="&quot;Capacitor, Ceramic, &quot;General&quot;-pF, 50V, NP0, 5%&quot;"/>
    <numFmt numFmtId="178" formatCode="&quot;Capacitor, Ceramic, &quot;General&quot;-nF, 16V, X7R, 10%&quot;"/>
    <numFmt numFmtId="179" formatCode="&quot;Capacitor, Ceramic, &quot;General&quot;-µF, 25V, X7R, 20%&quot;"/>
    <numFmt numFmtId="180" formatCode="General&quot;µH&quot;"/>
    <numFmt numFmtId="181" formatCode="&quot;Inductor, &quot;General&quot;-µH, 10%&quot;"/>
    <numFmt numFmtId="182" formatCode="&quot;Resistor, Chip, &quot;General&quot;-kΩ, 1/16W, 1%&quot;"/>
    <numFmt numFmtId="183" formatCode="&quot;Resistor, Chip, &quot;General&quot;-Ω, 1/16W, 1%&quot;"/>
    <numFmt numFmtId="184" formatCode="0.0%"/>
    <numFmt numFmtId="185" formatCode="0.0E+00"/>
    <numFmt numFmtId="186" formatCode="General&quot;m&quot;"/>
    <numFmt numFmtId="187" formatCode="&quot;Capacitor, Ceramic, &quot;General&quot;-µF, 50V, X7R, 20%&quot;"/>
    <numFmt numFmtId="188" formatCode="&quot;Resistor, Chip, &quot;General&quot;-mΩ, 2W, 1%&quot;"/>
    <numFmt numFmtId="189" formatCode="0.0.E+00"/>
    <numFmt numFmtId="190" formatCode="&quot;MOSFET, N-CH, 40V, &quot;General&quot;mΩ&quot;"/>
    <numFmt numFmtId="191" formatCode="&quot;Capacitor, Ceramic, &quot;General&quot;-µF, 10V, X7R, 20%&quot;"/>
  </numFmts>
  <fonts count="90" x14ac:knownFonts="1">
    <font>
      <sz val="10"/>
      <name val="Arial"/>
    </font>
    <font>
      <sz val="11"/>
      <color theme="1"/>
      <name val="Calibri"/>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sz val="10"/>
      <color indexed="13"/>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sz val="8"/>
      <color indexed="10"/>
      <name val="Tahoma"/>
      <family val="2"/>
    </font>
    <font>
      <b/>
      <vertAlign val="subscript"/>
      <sz val="10"/>
      <color indexed="81"/>
      <name val="Tahoma"/>
      <family val="2"/>
    </font>
    <font>
      <vertAlign val="subscript"/>
      <sz val="10"/>
      <color indexed="81"/>
      <name val="Tahoma"/>
      <family val="2"/>
    </font>
    <font>
      <sz val="36"/>
      <color rgb="FFFF0000"/>
      <name val="Arial"/>
      <family val="2"/>
    </font>
    <font>
      <b/>
      <u/>
      <sz val="11"/>
      <color indexed="10"/>
      <name val="Tahoma"/>
      <family val="2"/>
    </font>
    <font>
      <sz val="32"/>
      <color theme="0"/>
      <name val="Arial"/>
      <family val="2"/>
    </font>
    <font>
      <sz val="16"/>
      <color theme="0"/>
      <name val="Arial"/>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vertAlign val="superscript"/>
      <sz val="10"/>
      <name val="Arial"/>
      <family val="2"/>
    </font>
    <font>
      <vertAlign val="subscript"/>
      <sz val="10"/>
      <color theme="1"/>
      <name val="Arial"/>
      <family val="2"/>
    </font>
    <font>
      <b/>
      <sz val="11"/>
      <name val="Arial"/>
      <family val="2"/>
    </font>
    <font>
      <sz val="10"/>
      <color rgb="FFFF0000"/>
      <name val="Arial"/>
      <family val="2"/>
    </font>
    <font>
      <vertAlign val="subscript"/>
      <sz val="10"/>
      <color rgb="FFFF0000"/>
      <name val="Arial"/>
      <family val="2"/>
    </font>
    <font>
      <b/>
      <sz val="10"/>
      <name val="Symbol"/>
      <family val="1"/>
      <charset val="2"/>
    </font>
    <font>
      <u/>
      <sz val="10"/>
      <color theme="0" tint="-0.499984740745262"/>
      <name val="Arial"/>
      <family val="2"/>
    </font>
    <font>
      <b/>
      <sz val="12"/>
      <color indexed="10"/>
      <name val="Tahoma"/>
      <family val="2"/>
    </font>
    <font>
      <b/>
      <sz val="10"/>
      <color rgb="FFC00000"/>
      <name val="Arial"/>
      <family val="2"/>
    </font>
    <font>
      <b/>
      <vertAlign val="subscript"/>
      <sz val="9"/>
      <color indexed="10"/>
      <name val="Tahoma"/>
      <family val="2"/>
    </font>
    <font>
      <b/>
      <sz val="9"/>
      <color indexed="14"/>
      <name val="Tahoma"/>
      <family val="2"/>
    </font>
    <font>
      <b/>
      <sz val="10"/>
      <color rgb="FFCC00FF"/>
      <name val="Arial"/>
      <family val="2"/>
    </font>
    <font>
      <b/>
      <sz val="9"/>
      <color rgb="FF000000"/>
      <name val="Arial"/>
      <family val="2"/>
    </font>
  </fonts>
  <fills count="28">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rgb="FFFF9900"/>
        <bgColor indexed="64"/>
      </patternFill>
    </fill>
    <fill>
      <patternFill patternType="solid">
        <fgColor rgb="FF99CC00"/>
        <bgColor indexed="64"/>
      </patternFill>
    </fill>
    <fill>
      <patternFill patternType="solid">
        <fgColor rgb="FFC0C0C0"/>
        <bgColor indexed="64"/>
      </patternFill>
    </fill>
    <fill>
      <patternFill patternType="solid">
        <fgColor theme="0" tint="-0.499984740745262"/>
        <bgColor indexed="64"/>
      </patternFill>
    </fill>
    <fill>
      <patternFill patternType="solid">
        <fgColor rgb="FFFFFFCC"/>
        <bgColor indexed="64"/>
      </patternFill>
    </fill>
    <fill>
      <patternFill patternType="solid">
        <fgColor rgb="FF92D050"/>
        <bgColor indexed="64"/>
      </patternFill>
    </fill>
  </fills>
  <borders count="8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medium">
        <color auto="1"/>
      </left>
      <right/>
      <top/>
      <bottom/>
      <diagonal/>
    </border>
    <border>
      <left/>
      <right/>
      <top style="medium">
        <color auto="1"/>
      </top>
      <bottom style="medium">
        <color auto="1"/>
      </bottom>
      <diagonal/>
    </border>
    <border>
      <left/>
      <right/>
      <top style="thin">
        <color indexed="64"/>
      </top>
      <bottom style="medium">
        <color indexed="64"/>
      </bottom>
      <diagonal/>
    </border>
    <border>
      <left/>
      <right/>
      <top style="medium">
        <color indexed="64"/>
      </top>
      <bottom style="thin">
        <color indexed="64"/>
      </bottom>
      <diagonal/>
    </border>
  </borders>
  <cellStyleXfs count="6">
    <xf numFmtId="0" fontId="0" fillId="0" borderId="0"/>
    <xf numFmtId="43" fontId="2" fillId="0" borderId="0" applyFont="0" applyFill="0" applyBorder="0" applyAlignment="0" applyProtection="0"/>
    <xf numFmtId="0" fontId="10" fillId="0" borderId="0" applyNumberFormat="0" applyFill="0" applyBorder="0" applyAlignment="0" applyProtection="0">
      <alignment vertical="top"/>
      <protection locked="0"/>
    </xf>
    <xf numFmtId="0" fontId="2" fillId="0" borderId="0"/>
    <xf numFmtId="0" fontId="1" fillId="0" borderId="0"/>
    <xf numFmtId="43" fontId="1" fillId="0" borderId="0" applyFont="0" applyFill="0" applyBorder="0" applyAlignment="0" applyProtection="0"/>
  </cellStyleXfs>
  <cellXfs count="769">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169" fontId="0" fillId="0" borderId="0" xfId="0" applyNumberFormat="1"/>
    <xf numFmtId="10" fontId="0" fillId="0" borderId="0" xfId="0" applyNumberFormat="1"/>
    <xf numFmtId="0" fontId="14" fillId="3" borderId="0" xfId="0" applyFont="1" applyFill="1" applyAlignment="1">
      <alignment horizontal="right"/>
    </xf>
    <xf numFmtId="0" fontId="14" fillId="3" borderId="0" xfId="0" applyFont="1" applyFill="1"/>
    <xf numFmtId="0" fontId="0" fillId="4" borderId="2" xfId="0" applyFill="1" applyBorder="1"/>
    <xf numFmtId="0" fontId="16" fillId="3" borderId="4" xfId="0" applyFont="1" applyFill="1" applyBorder="1"/>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2"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15" fillId="0" borderId="0" xfId="0" applyFont="1"/>
    <xf numFmtId="0" fontId="0" fillId="10" borderId="0" xfId="0" applyFill="1"/>
    <xf numFmtId="0" fontId="0" fillId="0" borderId="0" xfId="0" applyAlignment="1">
      <alignment horizontal="right"/>
    </xf>
    <xf numFmtId="0" fontId="17" fillId="0" borderId="0" xfId="0" applyFont="1"/>
    <xf numFmtId="11" fontId="7" fillId="0" borderId="0" xfId="0" applyNumberFormat="1" applyFont="1"/>
    <xf numFmtId="0" fontId="0" fillId="11" borderId="0" xfId="0" applyFill="1"/>
    <xf numFmtId="168" fontId="0" fillId="0" borderId="0" xfId="0" applyNumberFormat="1"/>
    <xf numFmtId="0" fontId="3" fillId="0" borderId="0" xfId="0" applyFont="1" applyAlignment="1">
      <alignment horizontal="center"/>
    </xf>
    <xf numFmtId="0" fontId="3" fillId="4" borderId="0" xfId="0" applyFont="1" applyFill="1" applyAlignment="1">
      <alignment horizontal="center"/>
    </xf>
    <xf numFmtId="0" fontId="3" fillId="12" borderId="0" xfId="0" applyFont="1" applyFill="1" applyAlignment="1">
      <alignment horizontal="center"/>
    </xf>
    <xf numFmtId="0" fontId="3" fillId="13" borderId="0" xfId="0" applyFont="1" applyFill="1" applyAlignment="1">
      <alignment horizontal="center"/>
    </xf>
    <xf numFmtId="165" fontId="0" fillId="0" borderId="0" xfId="0" applyNumberFormat="1"/>
    <xf numFmtId="171" fontId="17" fillId="3" borderId="0" xfId="0" applyNumberFormat="1" applyFont="1" applyFill="1" applyAlignment="1">
      <alignment horizontal="center"/>
    </xf>
    <xf numFmtId="171" fontId="25" fillId="3" borderId="0" xfId="0" applyNumberFormat="1" applyFont="1" applyFill="1" applyAlignment="1">
      <alignment horizontal="center"/>
    </xf>
    <xf numFmtId="0" fontId="0" fillId="0" borderId="28" xfId="0" applyBorder="1"/>
    <xf numFmtId="0" fontId="0" fillId="0" borderId="29" xfId="0" applyBorder="1"/>
    <xf numFmtId="0" fontId="8" fillId="0" borderId="28" xfId="0" applyFont="1" applyBorder="1"/>
    <xf numFmtId="0" fontId="0" fillId="13" borderId="0" xfId="0" applyFill="1"/>
    <xf numFmtId="0" fontId="0" fillId="0" borderId="30" xfId="0" applyBorder="1"/>
    <xf numFmtId="0" fontId="0" fillId="0" borderId="31" xfId="0" applyBorder="1"/>
    <xf numFmtId="0" fontId="0" fillId="0" borderId="32" xfId="0" applyBorder="1"/>
    <xf numFmtId="0" fontId="0" fillId="0" borderId="2" xfId="0" applyBorder="1"/>
    <xf numFmtId="0" fontId="0" fillId="0" borderId="3" xfId="0" applyBorder="1"/>
    <xf numFmtId="0" fontId="7" fillId="0" borderId="28" xfId="0" applyFont="1" applyBorder="1"/>
    <xf numFmtId="0" fontId="3" fillId="0" borderId="28" xfId="0" applyFont="1" applyBorder="1"/>
    <xf numFmtId="11" fontId="0" fillId="13" borderId="0" xfId="0" applyNumberFormat="1" applyFill="1"/>
    <xf numFmtId="0" fontId="0" fillId="12" borderId="0" xfId="0" applyFill="1"/>
    <xf numFmtId="11" fontId="0" fillId="12" borderId="0" xfId="0" applyNumberFormat="1" applyFill="1"/>
    <xf numFmtId="0" fontId="0" fillId="0" borderId="31" xfId="0" applyBorder="1" applyAlignment="1">
      <alignment horizontal="right"/>
    </xf>
    <xf numFmtId="11" fontId="7" fillId="0" borderId="31"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9" borderId="0" xfId="0" applyFill="1"/>
    <xf numFmtId="0" fontId="0" fillId="0" borderId="8" xfId="0" applyBorder="1"/>
    <xf numFmtId="0" fontId="0" fillId="4" borderId="13" xfId="0" applyFill="1" applyBorder="1"/>
    <xf numFmtId="0" fontId="8" fillId="9" borderId="11" xfId="0" applyFont="1" applyFill="1" applyBorder="1"/>
    <xf numFmtId="0" fontId="17" fillId="3" borderId="0" xfId="0" applyFont="1" applyFill="1"/>
    <xf numFmtId="0" fontId="18" fillId="9" borderId="0" xfId="0" applyFont="1" applyFill="1"/>
    <xf numFmtId="0" fontId="17" fillId="9" borderId="0" xfId="0" applyFont="1" applyFill="1" applyAlignment="1">
      <alignment horizontal="right"/>
    </xf>
    <xf numFmtId="0" fontId="18" fillId="9" borderId="0" xfId="0" applyFont="1" applyFill="1" applyAlignment="1">
      <alignment horizontal="right"/>
    </xf>
    <xf numFmtId="0" fontId="17" fillId="9" borderId="0" xfId="0" applyFont="1" applyFill="1"/>
    <xf numFmtId="0" fontId="25" fillId="15" borderId="19" xfId="0" applyFont="1" applyFill="1" applyBorder="1"/>
    <xf numFmtId="0" fontId="25" fillId="15" borderId="20" xfId="0" applyFont="1" applyFill="1" applyBorder="1"/>
    <xf numFmtId="0" fontId="25" fillId="3" borderId="0" xfId="0" applyFont="1" applyFill="1"/>
    <xf numFmtId="0" fontId="17" fillId="9" borderId="0" xfId="0" applyFont="1" applyFill="1" applyAlignment="1">
      <alignment horizontal="center"/>
    </xf>
    <xf numFmtId="0" fontId="17" fillId="9" borderId="0" xfId="0" applyFont="1" applyFill="1" applyAlignment="1">
      <alignment horizontal="left"/>
    </xf>
    <xf numFmtId="0" fontId="21" fillId="0" borderId="0" xfId="0" applyFont="1"/>
    <xf numFmtId="0" fontId="0" fillId="0" borderId="1" xfId="0" applyBorder="1"/>
    <xf numFmtId="0" fontId="3" fillId="0" borderId="1" xfId="0" applyFont="1" applyBorder="1"/>
    <xf numFmtId="0" fontId="22" fillId="0" borderId="0" xfId="0" applyFont="1"/>
    <xf numFmtId="0" fontId="30" fillId="0" borderId="0" xfId="0" applyFont="1"/>
    <xf numFmtId="0" fontId="30" fillId="4" borderId="0" xfId="0" applyFont="1" applyFill="1"/>
    <xf numFmtId="0" fontId="21" fillId="0" borderId="38" xfId="0" applyFont="1" applyBorder="1"/>
    <xf numFmtId="0" fontId="0" fillId="0" borderId="33" xfId="0" applyBorder="1"/>
    <xf numFmtId="0" fontId="0" fillId="0" borderId="35" xfId="0" applyBorder="1"/>
    <xf numFmtId="0" fontId="8" fillId="0" borderId="39" xfId="0" applyFont="1" applyBorder="1"/>
    <xf numFmtId="0" fontId="0" fillId="0" borderId="36" xfId="0" applyBorder="1"/>
    <xf numFmtId="0" fontId="30" fillId="0" borderId="39" xfId="0" applyFont="1" applyBorder="1"/>
    <xf numFmtId="0" fontId="30" fillId="0" borderId="40" xfId="0" applyFont="1" applyBorder="1"/>
    <xf numFmtId="0" fontId="30" fillId="0" borderId="34" xfId="0" applyFont="1" applyBorder="1"/>
    <xf numFmtId="0" fontId="0" fillId="0" borderId="34" xfId="0" applyBorder="1"/>
    <xf numFmtId="0" fontId="0" fillId="0" borderId="37" xfId="0" applyBorder="1"/>
    <xf numFmtId="0" fontId="8" fillId="0" borderId="31" xfId="0" applyFont="1" applyBorder="1"/>
    <xf numFmtId="0" fontId="8" fillId="13" borderId="0" xfId="0" applyFont="1" applyFill="1"/>
    <xf numFmtId="0" fontId="17" fillId="9" borderId="29" xfId="0" applyFont="1" applyFill="1" applyBorder="1"/>
    <xf numFmtId="0" fontId="19" fillId="9" borderId="0" xfId="0" applyFont="1" applyFill="1"/>
    <xf numFmtId="167" fontId="17" fillId="9" borderId="0" xfId="0" applyNumberFormat="1" applyFont="1" applyFill="1"/>
    <xf numFmtId="170" fontId="17" fillId="9" borderId="0" xfId="0" applyNumberFormat="1" applyFont="1" applyFill="1"/>
    <xf numFmtId="166" fontId="17" fillId="9" borderId="0" xfId="0" applyNumberFormat="1" applyFont="1" applyFill="1"/>
    <xf numFmtId="2" fontId="30" fillId="12" borderId="0" xfId="0" applyNumberFormat="1" applyFont="1" applyFill="1"/>
    <xf numFmtId="0" fontId="17" fillId="16"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1" xfId="0" applyFont="1" applyBorder="1"/>
    <xf numFmtId="0" fontId="33" fillId="9" borderId="0" xfId="0" applyFont="1" applyFill="1"/>
    <xf numFmtId="0" fontId="20" fillId="19" borderId="0" xfId="0" applyFont="1" applyFill="1" applyAlignment="1">
      <alignment vertical="center"/>
    </xf>
    <xf numFmtId="0" fontId="0" fillId="18" borderId="0" xfId="0" applyFill="1"/>
    <xf numFmtId="0" fontId="54" fillId="18" borderId="0" xfId="0" applyFont="1" applyFill="1"/>
    <xf numFmtId="0" fontId="23" fillId="9" borderId="0" xfId="0" applyFont="1" applyFill="1" applyAlignment="1">
      <alignment horizontal="right"/>
    </xf>
    <xf numFmtId="0" fontId="3" fillId="9" borderId="0" xfId="0" applyFont="1" applyFill="1" applyAlignment="1">
      <alignment horizontal="right"/>
    </xf>
    <xf numFmtId="0" fontId="2" fillId="9" borderId="0" xfId="0" applyFont="1" applyFill="1" applyAlignment="1">
      <alignment horizontal="right"/>
    </xf>
    <xf numFmtId="0" fontId="2" fillId="9" borderId="31" xfId="0" applyFont="1" applyFill="1" applyBorder="1" applyAlignment="1">
      <alignment horizontal="right"/>
    </xf>
    <xf numFmtId="0" fontId="2" fillId="9" borderId="28" xfId="0" applyFont="1" applyFill="1" applyBorder="1"/>
    <xf numFmtId="0" fontId="2" fillId="9" borderId="0" xfId="0" applyFont="1" applyFill="1"/>
    <xf numFmtId="0" fontId="3" fillId="19" borderId="0" xfId="0" applyFont="1" applyFill="1" applyProtection="1">
      <protection locked="0"/>
    </xf>
    <xf numFmtId="0" fontId="57" fillId="9" borderId="0" xfId="0" applyFont="1" applyFill="1"/>
    <xf numFmtId="1" fontId="3" fillId="19" borderId="0" xfId="0" applyNumberFormat="1" applyFont="1" applyFill="1" applyProtection="1">
      <protection locked="0"/>
    </xf>
    <xf numFmtId="0" fontId="59" fillId="9" borderId="0" xfId="0" applyFont="1" applyFill="1"/>
    <xf numFmtId="0" fontId="3" fillId="9" borderId="0" xfId="0" applyFont="1" applyFill="1"/>
    <xf numFmtId="168" fontId="3" fillId="9" borderId="0" xfId="0" applyNumberFormat="1" applyFont="1" applyFill="1"/>
    <xf numFmtId="0" fontId="2" fillId="16" borderId="0" xfId="0" applyFont="1" applyFill="1"/>
    <xf numFmtId="0" fontId="3" fillId="9" borderId="28" xfId="0" applyFont="1" applyFill="1" applyBorder="1"/>
    <xf numFmtId="0" fontId="59" fillId="16" borderId="0" xfId="0" applyFont="1" applyFill="1"/>
    <xf numFmtId="1" fontId="56" fillId="9" borderId="0" xfId="0" applyNumberFormat="1" applyFont="1" applyFill="1" applyAlignment="1">
      <alignment horizontal="right"/>
    </xf>
    <xf numFmtId="0" fontId="61" fillId="15" borderId="19" xfId="0" applyFont="1" applyFill="1" applyBorder="1"/>
    <xf numFmtId="0" fontId="59" fillId="9" borderId="0" xfId="0" applyFont="1" applyFill="1" applyAlignment="1">
      <alignment vertical="center"/>
    </xf>
    <xf numFmtId="0" fontId="7" fillId="9" borderId="0" xfId="0" applyFont="1" applyFill="1" applyAlignment="1">
      <alignment horizontal="right"/>
    </xf>
    <xf numFmtId="168" fontId="7" fillId="9" borderId="0" xfId="0" applyNumberFormat="1" applyFont="1" applyFill="1"/>
    <xf numFmtId="0" fontId="7" fillId="9" borderId="0" xfId="0" applyFont="1" applyFill="1"/>
    <xf numFmtId="0" fontId="2" fillId="16" borderId="0" xfId="0" applyFont="1" applyFill="1" applyAlignment="1">
      <alignment horizontal="left"/>
    </xf>
    <xf numFmtId="1" fontId="2" fillId="16" borderId="0" xfId="0" applyNumberFormat="1" applyFont="1" applyFill="1" applyAlignment="1">
      <alignment horizontal="right"/>
    </xf>
    <xf numFmtId="0" fontId="3" fillId="9" borderId="0" xfId="0" applyFont="1" applyFill="1" applyAlignment="1">
      <alignment horizontal="left"/>
    </xf>
    <xf numFmtId="0" fontId="62" fillId="9" borderId="0" xfId="0" applyFont="1" applyFill="1"/>
    <xf numFmtId="0" fontId="2" fillId="9" borderId="0" xfId="0" applyFont="1" applyFill="1" applyAlignment="1">
      <alignment horizontal="left"/>
    </xf>
    <xf numFmtId="0" fontId="60" fillId="19" borderId="0" xfId="0" applyFont="1" applyFill="1" applyAlignment="1" applyProtection="1">
      <alignment horizontal="right"/>
      <protection locked="0" hidden="1"/>
    </xf>
    <xf numFmtId="0" fontId="63" fillId="15" borderId="19" xfId="0" applyFont="1" applyFill="1" applyBorder="1"/>
    <xf numFmtId="0" fontId="22" fillId="9" borderId="28" xfId="0" applyFont="1" applyFill="1" applyBorder="1"/>
    <xf numFmtId="1" fontId="2" fillId="9" borderId="0" xfId="0" applyNumberFormat="1" applyFont="1" applyFill="1"/>
    <xf numFmtId="0" fontId="65" fillId="9" borderId="0" xfId="0" applyFont="1" applyFill="1" applyAlignment="1">
      <alignment horizontal="right"/>
    </xf>
    <xf numFmtId="0" fontId="2" fillId="9" borderId="2" xfId="0" applyFont="1" applyFill="1" applyBorder="1"/>
    <xf numFmtId="0" fontId="2" fillId="9" borderId="2" xfId="0" applyFont="1" applyFill="1" applyBorder="1" applyAlignment="1">
      <alignment horizontal="right"/>
    </xf>
    <xf numFmtId="0" fontId="65" fillId="9" borderId="2" xfId="0" applyFont="1" applyFill="1" applyBorder="1" applyAlignment="1">
      <alignment horizontal="right"/>
    </xf>
    <xf numFmtId="0" fontId="3" fillId="9" borderId="3" xfId="0" applyFont="1" applyFill="1" applyBorder="1"/>
    <xf numFmtId="0" fontId="3" fillId="9" borderId="29" xfId="0" applyFont="1" applyFill="1" applyBorder="1"/>
    <xf numFmtId="0" fontId="2" fillId="9" borderId="30" xfId="0" applyFont="1" applyFill="1" applyBorder="1"/>
    <xf numFmtId="0" fontId="2" fillId="9" borderId="31" xfId="0" applyFont="1" applyFill="1" applyBorder="1"/>
    <xf numFmtId="0" fontId="2" fillId="9" borderId="32" xfId="0" applyFont="1" applyFill="1" applyBorder="1"/>
    <xf numFmtId="0" fontId="2" fillId="9" borderId="3" xfId="0" applyFont="1" applyFill="1" applyBorder="1"/>
    <xf numFmtId="0" fontId="2" fillId="9" borderId="29" xfId="0" applyFont="1" applyFill="1" applyBorder="1"/>
    <xf numFmtId="0" fontId="3" fillId="9" borderId="2" xfId="0" applyFont="1" applyFill="1" applyBorder="1"/>
    <xf numFmtId="0" fontId="3" fillId="9" borderId="2" xfId="0" applyFont="1" applyFill="1" applyBorder="1" applyAlignment="1">
      <alignment horizontal="right"/>
    </xf>
    <xf numFmtId="1" fontId="3" fillId="19" borderId="2" xfId="0" applyNumberFormat="1" applyFont="1" applyFill="1" applyBorder="1" applyProtection="1">
      <protection locked="0"/>
    </xf>
    <xf numFmtId="0" fontId="2" fillId="16" borderId="41" xfId="0" applyFont="1" applyFill="1" applyBorder="1" applyAlignment="1">
      <alignment horizontal="left"/>
    </xf>
    <xf numFmtId="0" fontId="60" fillId="19" borderId="41" xfId="0" applyFont="1" applyFill="1" applyBorder="1" applyAlignment="1" applyProtection="1">
      <alignment horizontal="right"/>
      <protection locked="0" hidden="1"/>
    </xf>
    <xf numFmtId="0" fontId="60" fillId="9" borderId="42" xfId="0" applyFont="1" applyFill="1" applyBorder="1" applyAlignment="1">
      <alignment horizontal="left"/>
    </xf>
    <xf numFmtId="0" fontId="60" fillId="9" borderId="29" xfId="0" applyFont="1" applyFill="1" applyBorder="1" applyAlignment="1">
      <alignment horizontal="left"/>
    </xf>
    <xf numFmtId="0" fontId="3" fillId="9" borderId="43" xfId="0" applyFont="1" applyFill="1" applyBorder="1" applyAlignment="1">
      <alignment horizontal="center"/>
    </xf>
    <xf numFmtId="0" fontId="3" fillId="9" borderId="28" xfId="0" applyFont="1" applyFill="1" applyBorder="1" applyAlignment="1">
      <alignment horizontal="center"/>
    </xf>
    <xf numFmtId="0" fontId="3" fillId="9" borderId="43" xfId="0" applyFont="1" applyFill="1" applyBorder="1"/>
    <xf numFmtId="0" fontId="3" fillId="9" borderId="41" xfId="0" applyFont="1" applyFill="1" applyBorder="1"/>
    <xf numFmtId="0" fontId="2" fillId="9" borderId="41" xfId="0" applyFont="1" applyFill="1" applyBorder="1"/>
    <xf numFmtId="0" fontId="2" fillId="9" borderId="45" xfId="0" applyFont="1" applyFill="1" applyBorder="1"/>
    <xf numFmtId="0" fontId="3" fillId="9" borderId="45" xfId="0" applyFont="1" applyFill="1" applyBorder="1" applyAlignment="1">
      <alignment horizontal="right"/>
    </xf>
    <xf numFmtId="0" fontId="2" fillId="9" borderId="46" xfId="0" applyFont="1" applyFill="1" applyBorder="1"/>
    <xf numFmtId="0" fontId="2" fillId="16" borderId="45" xfId="0" applyFont="1" applyFill="1" applyBorder="1" applyAlignment="1">
      <alignment horizontal="left"/>
    </xf>
    <xf numFmtId="0" fontId="60" fillId="19" borderId="45" xfId="0" applyFont="1" applyFill="1" applyBorder="1" applyAlignment="1" applyProtection="1">
      <alignment horizontal="right"/>
      <protection locked="0" hidden="1"/>
    </xf>
    <xf numFmtId="0" fontId="60" fillId="9" borderId="46" xfId="0" applyFont="1" applyFill="1" applyBorder="1" applyAlignment="1">
      <alignment horizontal="left"/>
    </xf>
    <xf numFmtId="168" fontId="2" fillId="9" borderId="41" xfId="0" applyNumberFormat="1" applyFont="1" applyFill="1" applyBorder="1" applyAlignment="1">
      <alignment horizontal="left" vertical="center"/>
    </xf>
    <xf numFmtId="1" fontId="2" fillId="9" borderId="45" xfId="0" applyNumberFormat="1" applyFont="1" applyFill="1" applyBorder="1" applyAlignment="1">
      <alignment horizontal="left" vertical="center"/>
    </xf>
    <xf numFmtId="0" fontId="22" fillId="9" borderId="28" xfId="0" applyFont="1" applyFill="1" applyBorder="1" applyAlignment="1">
      <alignment vertical="center"/>
    </xf>
    <xf numFmtId="0" fontId="2" fillId="9" borderId="43" xfId="0" applyFont="1" applyFill="1" applyBorder="1"/>
    <xf numFmtId="0" fontId="2" fillId="16" borderId="28" xfId="0" applyFont="1" applyFill="1" applyBorder="1"/>
    <xf numFmtId="1" fontId="3" fillId="16" borderId="28" xfId="0" applyNumberFormat="1" applyFont="1" applyFill="1" applyBorder="1" applyAlignment="1">
      <alignment horizontal="right" vertical="center"/>
    </xf>
    <xf numFmtId="0" fontId="61" fillId="15" borderId="47" xfId="0" applyFont="1" applyFill="1" applyBorder="1"/>
    <xf numFmtId="0" fontId="17" fillId="3" borderId="28" xfId="0" applyFont="1" applyFill="1" applyBorder="1"/>
    <xf numFmtId="171" fontId="17" fillId="18" borderId="0" xfId="0" applyNumberFormat="1" applyFont="1" applyFill="1" applyAlignment="1">
      <alignment horizontal="center"/>
    </xf>
    <xf numFmtId="0" fontId="17" fillId="18" borderId="0" xfId="0" applyFont="1" applyFill="1"/>
    <xf numFmtId="171" fontId="25" fillId="18" borderId="0" xfId="0" applyNumberFormat="1" applyFont="1" applyFill="1" applyAlignment="1">
      <alignment horizontal="center"/>
    </xf>
    <xf numFmtId="0" fontId="25" fillId="18" borderId="0" xfId="0" applyFont="1" applyFill="1"/>
    <xf numFmtId="0" fontId="2" fillId="16" borderId="0" xfId="0" applyFont="1" applyFill="1" applyProtection="1">
      <protection locked="0"/>
    </xf>
    <xf numFmtId="0" fontId="2" fillId="9" borderId="44" xfId="0" applyFont="1" applyFill="1" applyBorder="1"/>
    <xf numFmtId="0" fontId="3" fillId="9" borderId="45" xfId="0" applyFont="1" applyFill="1" applyBorder="1"/>
    <xf numFmtId="0" fontId="2" fillId="9" borderId="48" xfId="0" applyFont="1" applyFill="1" applyBorder="1"/>
    <xf numFmtId="0" fontId="69" fillId="9" borderId="0" xfId="0" applyFont="1" applyFill="1"/>
    <xf numFmtId="0" fontId="69" fillId="9" borderId="29" xfId="0" applyFont="1" applyFill="1" applyBorder="1"/>
    <xf numFmtId="171" fontId="69" fillId="18" borderId="0" xfId="0" applyNumberFormat="1" applyFont="1" applyFill="1" applyAlignment="1">
      <alignment horizontal="center"/>
    </xf>
    <xf numFmtId="0" fontId="69" fillId="18" borderId="0" xfId="0" applyFont="1" applyFill="1"/>
    <xf numFmtId="171" fontId="69" fillId="3" borderId="0" xfId="0" applyNumberFormat="1" applyFont="1" applyFill="1" applyAlignment="1">
      <alignment horizontal="center"/>
    </xf>
    <xf numFmtId="0" fontId="69" fillId="3" borderId="0" xfId="0" applyFont="1" applyFill="1"/>
    <xf numFmtId="0" fontId="67" fillId="9" borderId="41" xfId="0" applyFont="1" applyFill="1" applyBorder="1" applyAlignment="1">
      <alignment horizontal="right"/>
    </xf>
    <xf numFmtId="0" fontId="2" fillId="16" borderId="31" xfId="0" applyFont="1" applyFill="1" applyBorder="1"/>
    <xf numFmtId="0" fontId="17" fillId="9" borderId="31" xfId="0" applyFont="1" applyFill="1" applyBorder="1"/>
    <xf numFmtId="0" fontId="17" fillId="9" borderId="32" xfId="0" applyFont="1" applyFill="1" applyBorder="1"/>
    <xf numFmtId="0" fontId="68" fillId="9" borderId="28" xfId="0" applyFont="1" applyFill="1" applyBorder="1" applyAlignment="1">
      <alignment vertical="center"/>
    </xf>
    <xf numFmtId="0" fontId="67" fillId="9" borderId="0" xfId="0" applyFont="1" applyFill="1" applyAlignment="1">
      <alignment horizontal="right" vertical="center"/>
    </xf>
    <xf numFmtId="0" fontId="67" fillId="0" borderId="0" xfId="0" applyFont="1" applyAlignment="1">
      <alignment horizontal="left" vertical="center"/>
    </xf>
    <xf numFmtId="0" fontId="2" fillId="0" borderId="1" xfId="0" applyFont="1" applyBorder="1"/>
    <xf numFmtId="0" fontId="2" fillId="0" borderId="28" xfId="0" applyFont="1" applyBorder="1"/>
    <xf numFmtId="0" fontId="72" fillId="0" borderId="0" xfId="0" applyFont="1"/>
    <xf numFmtId="0" fontId="2" fillId="9" borderId="0" xfId="3" applyFill="1"/>
    <xf numFmtId="49" fontId="2" fillId="9" borderId="0" xfId="3" applyNumberFormat="1" applyFill="1"/>
    <xf numFmtId="0" fontId="11" fillId="9" borderId="0" xfId="3" applyFont="1" applyFill="1" applyAlignment="1">
      <alignment vertical="center"/>
    </xf>
    <xf numFmtId="0" fontId="2" fillId="20" borderId="18" xfId="3" applyFill="1" applyBorder="1" applyAlignment="1">
      <alignment horizontal="center" vertical="center"/>
    </xf>
    <xf numFmtId="0" fontId="2" fillId="9" borderId="18" xfId="3" applyFill="1" applyBorder="1" applyAlignment="1">
      <alignment horizontal="center" vertical="center"/>
    </xf>
    <xf numFmtId="0" fontId="2" fillId="9" borderId="11" xfId="3" applyFill="1" applyBorder="1" applyAlignment="1">
      <alignment vertical="center" wrapText="1"/>
    </xf>
    <xf numFmtId="0" fontId="2" fillId="9" borderId="11" xfId="3" applyFill="1" applyBorder="1" applyAlignment="1">
      <alignment horizontal="left" vertical="center"/>
    </xf>
    <xf numFmtId="0" fontId="2" fillId="9" borderId="0" xfId="3" applyFill="1" applyAlignment="1">
      <alignment vertical="center"/>
    </xf>
    <xf numFmtId="49" fontId="2" fillId="9" borderId="0" xfId="3" applyNumberFormat="1" applyFill="1" applyAlignment="1">
      <alignment vertical="center"/>
    </xf>
    <xf numFmtId="0" fontId="2" fillId="21" borderId="18" xfId="3" applyFill="1" applyBorder="1" applyAlignment="1">
      <alignment horizontal="center" vertical="center"/>
    </xf>
    <xf numFmtId="0" fontId="2" fillId="21" borderId="11" xfId="3" applyFill="1" applyBorder="1" applyAlignment="1">
      <alignment vertical="center" wrapText="1"/>
    </xf>
    <xf numFmtId="173" fontId="2" fillId="21" borderId="11" xfId="3" applyNumberFormat="1" applyFill="1" applyBorder="1" applyAlignment="1">
      <alignment horizontal="center" vertical="center"/>
    </xf>
    <xf numFmtId="0" fontId="2" fillId="21" borderId="11" xfId="3" quotePrefix="1" applyFill="1" applyBorder="1" applyAlignment="1">
      <alignment horizontal="left" vertical="center"/>
    </xf>
    <xf numFmtId="0" fontId="2" fillId="21" borderId="11" xfId="3" applyFill="1" applyBorder="1" applyAlignment="1">
      <alignment horizontal="left" vertical="center"/>
    </xf>
    <xf numFmtId="0" fontId="2" fillId="16" borderId="18" xfId="3" applyFill="1" applyBorder="1" applyAlignment="1">
      <alignment horizontal="center" vertical="center"/>
    </xf>
    <xf numFmtId="0" fontId="2" fillId="16" borderId="11" xfId="3" applyFill="1" applyBorder="1" applyAlignment="1">
      <alignment vertical="center" wrapText="1"/>
    </xf>
    <xf numFmtId="173" fontId="2" fillId="16" borderId="11" xfId="3" applyNumberFormat="1" applyFill="1" applyBorder="1" applyAlignment="1">
      <alignment horizontal="center" vertical="center"/>
    </xf>
    <xf numFmtId="0" fontId="2" fillId="16" borderId="11" xfId="3" quotePrefix="1" applyFill="1" applyBorder="1" applyAlignment="1">
      <alignment horizontal="left" vertical="center"/>
    </xf>
    <xf numFmtId="0" fontId="2" fillId="16" borderId="11" xfId="3" applyFill="1" applyBorder="1" applyAlignment="1">
      <alignment horizontal="left" vertical="center"/>
    </xf>
    <xf numFmtId="175" fontId="2" fillId="9" borderId="11" xfId="3" applyNumberFormat="1" applyFill="1" applyBorder="1" applyAlignment="1">
      <alignment horizontal="center" vertical="center"/>
    </xf>
    <xf numFmtId="0" fontId="2" fillId="9" borderId="15" xfId="3" applyFill="1" applyBorder="1" applyAlignment="1">
      <alignment horizontal="left" vertical="center"/>
    </xf>
    <xf numFmtId="49" fontId="2" fillId="9" borderId="11" xfId="3" applyNumberFormat="1" applyFill="1" applyBorder="1" applyAlignment="1">
      <alignment horizontal="left" vertical="center"/>
    </xf>
    <xf numFmtId="0" fontId="2" fillId="20" borderId="11" xfId="3" applyFill="1" applyBorder="1" applyAlignment="1">
      <alignment vertical="center" wrapText="1"/>
    </xf>
    <xf numFmtId="174" fontId="2" fillId="20" borderId="11" xfId="3" applyNumberFormat="1" applyFill="1" applyBorder="1" applyAlignment="1">
      <alignment horizontal="center" vertical="center"/>
    </xf>
    <xf numFmtId="0" fontId="2" fillId="20" borderId="15" xfId="3" applyFill="1" applyBorder="1" applyAlignment="1">
      <alignment horizontal="left" vertical="center"/>
    </xf>
    <xf numFmtId="0" fontId="2" fillId="20" borderId="11" xfId="3" quotePrefix="1" applyFill="1" applyBorder="1" applyAlignment="1">
      <alignment horizontal="left" vertical="center"/>
    </xf>
    <xf numFmtId="0" fontId="2" fillId="20" borderId="11" xfId="3" applyFill="1" applyBorder="1" applyAlignment="1">
      <alignment horizontal="left" vertical="center"/>
    </xf>
    <xf numFmtId="0" fontId="2" fillId="16" borderId="15" xfId="3" applyFill="1" applyBorder="1" applyAlignment="1">
      <alignment horizontal="left" vertical="center"/>
    </xf>
    <xf numFmtId="175" fontId="2" fillId="16" borderId="11" xfId="3" applyNumberFormat="1" applyFill="1" applyBorder="1" applyAlignment="1">
      <alignment horizontal="center" vertical="center"/>
    </xf>
    <xf numFmtId="175" fontId="2" fillId="20" borderId="11" xfId="3" applyNumberFormat="1" applyFill="1" applyBorder="1" applyAlignment="1">
      <alignment horizontal="center" vertical="center"/>
    </xf>
    <xf numFmtId="172" fontId="2" fillId="20" borderId="11" xfId="3" applyNumberFormat="1" applyFill="1" applyBorder="1" applyAlignment="1">
      <alignment horizontal="center" vertical="center"/>
    </xf>
    <xf numFmtId="0" fontId="2" fillId="16" borderId="11" xfId="3" applyFill="1" applyBorder="1" applyAlignment="1">
      <alignment horizontal="center" vertical="center"/>
    </xf>
    <xf numFmtId="49" fontId="2" fillId="16" borderId="11" xfId="3" applyNumberFormat="1" applyFill="1" applyBorder="1" applyAlignment="1">
      <alignment horizontal="left" vertical="center"/>
    </xf>
    <xf numFmtId="180" fontId="2" fillId="20" borderId="11" xfId="3" applyNumberFormat="1" applyFill="1" applyBorder="1" applyAlignment="1">
      <alignment horizontal="center" vertical="center"/>
    </xf>
    <xf numFmtId="0" fontId="2" fillId="16" borderId="0" xfId="3" applyFill="1"/>
    <xf numFmtId="49" fontId="2" fillId="16" borderId="0" xfId="3" applyNumberFormat="1" applyFill="1"/>
    <xf numFmtId="0" fontId="3" fillId="19" borderId="45" xfId="0" applyFont="1" applyFill="1" applyBorder="1" applyProtection="1">
      <protection locked="0"/>
    </xf>
    <xf numFmtId="0" fontId="3" fillId="19" borderId="0" xfId="0" applyFont="1" applyFill="1" applyAlignment="1" applyProtection="1">
      <alignment horizontal="right"/>
      <protection locked="0"/>
    </xf>
    <xf numFmtId="0" fontId="3" fillId="19" borderId="45" xfId="0" applyFont="1" applyFill="1" applyBorder="1" applyAlignment="1" applyProtection="1">
      <alignment horizontal="right"/>
      <protection locked="0"/>
    </xf>
    <xf numFmtId="0" fontId="74" fillId="16" borderId="0" xfId="0" applyFont="1" applyFill="1"/>
    <xf numFmtId="168" fontId="3" fillId="19" borderId="0" xfId="0" applyNumberFormat="1" applyFont="1" applyFill="1" applyProtection="1">
      <protection locked="0"/>
    </xf>
    <xf numFmtId="0" fontId="3" fillId="9" borderId="0" xfId="3" applyFont="1" applyFill="1"/>
    <xf numFmtId="1" fontId="0" fillId="4" borderId="0" xfId="0" applyNumberFormat="1" applyFill="1"/>
    <xf numFmtId="0" fontId="2" fillId="9" borderId="0" xfId="0" applyFont="1" applyFill="1" applyAlignment="1">
      <alignment vertical="center"/>
    </xf>
    <xf numFmtId="0" fontId="2" fillId="9" borderId="28" xfId="0" applyFont="1" applyFill="1" applyBorder="1" applyAlignment="1">
      <alignment vertical="center"/>
    </xf>
    <xf numFmtId="0" fontId="2" fillId="9" borderId="0" xfId="0" applyFont="1" applyFill="1" applyAlignment="1">
      <alignment horizontal="right" vertical="center"/>
    </xf>
    <xf numFmtId="168" fontId="2" fillId="9" borderId="0" xfId="0" applyNumberFormat="1" applyFont="1" applyFill="1" applyAlignment="1">
      <alignment vertical="center"/>
    </xf>
    <xf numFmtId="0" fontId="2" fillId="9" borderId="29" xfId="0" applyFont="1" applyFill="1" applyBorder="1" applyAlignment="1">
      <alignment vertical="center"/>
    </xf>
    <xf numFmtId="1" fontId="2" fillId="9" borderId="0" xfId="0" applyNumberFormat="1" applyFont="1" applyFill="1" applyAlignment="1">
      <alignment vertical="center"/>
    </xf>
    <xf numFmtId="0" fontId="2" fillId="9" borderId="30" xfId="0" applyFont="1" applyFill="1" applyBorder="1" applyAlignment="1">
      <alignment vertical="center"/>
    </xf>
    <xf numFmtId="0" fontId="2" fillId="9" borderId="31" xfId="0" applyFont="1" applyFill="1" applyBorder="1" applyAlignment="1">
      <alignment vertical="center"/>
    </xf>
    <xf numFmtId="0" fontId="2" fillId="9" borderId="31" xfId="0" applyFont="1" applyFill="1" applyBorder="1" applyAlignment="1">
      <alignment horizontal="right" vertical="center"/>
    </xf>
    <xf numFmtId="0" fontId="2" fillId="9" borderId="32" xfId="0" applyFont="1" applyFill="1" applyBorder="1" applyAlignment="1">
      <alignment vertical="center"/>
    </xf>
    <xf numFmtId="0" fontId="2" fillId="9" borderId="43" xfId="0" applyFont="1" applyFill="1" applyBorder="1" applyAlignment="1">
      <alignment vertical="center"/>
    </xf>
    <xf numFmtId="0" fontId="2" fillId="9" borderId="2" xfId="0" applyFont="1" applyFill="1" applyBorder="1" applyAlignment="1">
      <alignment vertical="center"/>
    </xf>
    <xf numFmtId="0" fontId="2" fillId="9" borderId="2" xfId="0" applyFont="1" applyFill="1" applyBorder="1" applyAlignment="1">
      <alignment horizontal="right" vertical="center"/>
    </xf>
    <xf numFmtId="0" fontId="3" fillId="9" borderId="3" xfId="0" applyFont="1" applyFill="1" applyBorder="1" applyAlignment="1">
      <alignment vertical="center"/>
    </xf>
    <xf numFmtId="0" fontId="65" fillId="9" borderId="0" xfId="0" applyFont="1" applyFill="1" applyAlignment="1">
      <alignment horizontal="right" vertical="center"/>
    </xf>
    <xf numFmtId="0" fontId="3" fillId="19" borderId="0" xfId="0" applyFont="1" applyFill="1" applyAlignment="1" applyProtection="1">
      <alignment vertical="center"/>
      <protection locked="0"/>
    </xf>
    <xf numFmtId="0" fontId="3" fillId="9" borderId="29" xfId="0" applyFont="1" applyFill="1" applyBorder="1" applyAlignment="1">
      <alignment vertical="center"/>
    </xf>
    <xf numFmtId="1" fontId="3" fillId="19" borderId="0" xfId="0" applyNumberFormat="1" applyFont="1" applyFill="1" applyAlignment="1" applyProtection="1">
      <alignment vertical="center"/>
      <protection locked="0"/>
    </xf>
    <xf numFmtId="0" fontId="65" fillId="16" borderId="2" xfId="0" applyFont="1" applyFill="1" applyBorder="1" applyAlignment="1">
      <alignment horizontal="right" vertical="center"/>
    </xf>
    <xf numFmtId="0" fontId="3" fillId="19" borderId="2" xfId="0" applyFont="1" applyFill="1" applyBorder="1" applyAlignment="1" applyProtection="1">
      <alignment vertical="center"/>
      <protection locked="0"/>
    </xf>
    <xf numFmtId="1" fontId="2" fillId="9" borderId="0" xfId="0" applyNumberFormat="1" applyFont="1" applyFill="1" applyAlignment="1">
      <alignment horizontal="right" vertical="center"/>
    </xf>
    <xf numFmtId="0" fontId="65" fillId="16" borderId="0" xfId="0" applyFont="1" applyFill="1" applyAlignment="1">
      <alignment horizontal="right" vertical="center"/>
    </xf>
    <xf numFmtId="0" fontId="3" fillId="9" borderId="0" xfId="0" applyFont="1" applyFill="1" applyAlignment="1">
      <alignment vertical="center"/>
    </xf>
    <xf numFmtId="0" fontId="3" fillId="9" borderId="0" xfId="0" applyFont="1" applyFill="1" applyAlignment="1">
      <alignment horizontal="right" vertical="center"/>
    </xf>
    <xf numFmtId="0" fontId="2" fillId="9" borderId="45" xfId="0" applyFont="1" applyFill="1" applyBorder="1" applyAlignment="1">
      <alignment horizontal="right" vertical="center"/>
    </xf>
    <xf numFmtId="0" fontId="2" fillId="9" borderId="44" xfId="0" applyFont="1" applyFill="1" applyBorder="1" applyAlignment="1">
      <alignment vertical="center"/>
    </xf>
    <xf numFmtId="0" fontId="2" fillId="9" borderId="45" xfId="0" applyFont="1" applyFill="1" applyBorder="1" applyAlignment="1">
      <alignment vertical="center"/>
    </xf>
    <xf numFmtId="0" fontId="2" fillId="9" borderId="46" xfId="0" applyFont="1" applyFill="1" applyBorder="1" applyAlignment="1">
      <alignment vertical="center"/>
    </xf>
    <xf numFmtId="0" fontId="2" fillId="9" borderId="3" xfId="0" applyFont="1" applyFill="1" applyBorder="1" applyAlignment="1">
      <alignment vertical="center"/>
    </xf>
    <xf numFmtId="1" fontId="65" fillId="19" borderId="0" xfId="0" applyNumberFormat="1" applyFont="1" applyFill="1" applyAlignment="1" applyProtection="1">
      <alignment horizontal="right" vertical="center"/>
      <protection locked="0"/>
    </xf>
    <xf numFmtId="0" fontId="3" fillId="9" borderId="29" xfId="0" applyFont="1" applyFill="1" applyBorder="1" applyAlignment="1">
      <alignment horizontal="left" vertical="center"/>
    </xf>
    <xf numFmtId="0" fontId="65" fillId="19" borderId="0" xfId="0" applyFont="1" applyFill="1" applyAlignment="1" applyProtection="1">
      <alignment vertical="center"/>
      <protection locked="0"/>
    </xf>
    <xf numFmtId="2" fontId="7" fillId="12" borderId="2" xfId="0" applyNumberFormat="1" applyFont="1" applyFill="1" applyBorder="1"/>
    <xf numFmtId="2" fontId="7" fillId="12" borderId="0" xfId="0" applyNumberFormat="1" applyFont="1" applyFill="1"/>
    <xf numFmtId="11" fontId="7" fillId="12" borderId="0" xfId="0" applyNumberFormat="1" applyFont="1" applyFill="1"/>
    <xf numFmtId="0" fontId="0" fillId="0" borderId="41" xfId="0" applyBorder="1"/>
    <xf numFmtId="0" fontId="0" fillId="22" borderId="0" xfId="0" applyFill="1"/>
    <xf numFmtId="0" fontId="2" fillId="0" borderId="0" xfId="0" applyFont="1" applyAlignment="1">
      <alignment horizontal="right"/>
    </xf>
    <xf numFmtId="0" fontId="3" fillId="0" borderId="31" xfId="0" applyFont="1" applyBorder="1" applyAlignment="1">
      <alignment horizontal="right"/>
    </xf>
    <xf numFmtId="0" fontId="3" fillId="0" borderId="0" xfId="0" applyFont="1" applyAlignment="1">
      <alignment horizontal="right"/>
    </xf>
    <xf numFmtId="0" fontId="3" fillId="0" borderId="41" xfId="0" applyFont="1" applyBorder="1"/>
    <xf numFmtId="0" fontId="3" fillId="0" borderId="31" xfId="0" applyFont="1" applyBorder="1"/>
    <xf numFmtId="0" fontId="3" fillId="0" borderId="0" xfId="0" applyFont="1" applyAlignment="1">
      <alignment horizontal="left"/>
    </xf>
    <xf numFmtId="167" fontId="7" fillId="12" borderId="0" xfId="0" applyNumberFormat="1" applyFont="1" applyFill="1"/>
    <xf numFmtId="167" fontId="8" fillId="12" borderId="0" xfId="0" applyNumberFormat="1" applyFont="1" applyFill="1"/>
    <xf numFmtId="0" fontId="3" fillId="19" borderId="2" xfId="0" applyFont="1" applyFill="1" applyBorder="1" applyProtection="1">
      <protection locked="0"/>
    </xf>
    <xf numFmtId="0" fontId="64" fillId="16" borderId="0" xfId="0" applyFont="1" applyFill="1" applyAlignment="1">
      <alignment horizontal="center"/>
    </xf>
    <xf numFmtId="168" fontId="2" fillId="9" borderId="0" xfId="0" applyNumberFormat="1" applyFont="1" applyFill="1"/>
    <xf numFmtId="2" fontId="0" fillId="22" borderId="0" xfId="0" applyNumberFormat="1" applyFill="1"/>
    <xf numFmtId="1" fontId="0" fillId="12" borderId="0" xfId="0" applyNumberFormat="1" applyFill="1"/>
    <xf numFmtId="166" fontId="0" fillId="22" borderId="0" xfId="0" applyNumberFormat="1" applyFill="1"/>
    <xf numFmtId="166" fontId="0" fillId="12" borderId="0" xfId="0" applyNumberFormat="1" applyFill="1"/>
    <xf numFmtId="1" fontId="0" fillId="0" borderId="0" xfId="0" applyNumberFormat="1"/>
    <xf numFmtId="1" fontId="0" fillId="24" borderId="0" xfId="0" applyNumberFormat="1" applyFill="1"/>
    <xf numFmtId="166" fontId="0" fillId="0" borderId="0" xfId="0" applyNumberFormat="1"/>
    <xf numFmtId="168" fontId="0" fillId="22" borderId="0" xfId="0" applyNumberFormat="1" applyFill="1"/>
    <xf numFmtId="0" fontId="2" fillId="0" borderId="41" xfId="0" applyFont="1" applyBorder="1"/>
    <xf numFmtId="0" fontId="2" fillId="0" borderId="30" xfId="0" applyFont="1" applyBorder="1"/>
    <xf numFmtId="0" fontId="7" fillId="0" borderId="31" xfId="0" applyFont="1" applyBorder="1"/>
    <xf numFmtId="0" fontId="3" fillId="0" borderId="54" xfId="0" applyFont="1" applyBorder="1"/>
    <xf numFmtId="0" fontId="0" fillId="24" borderId="0" xfId="0" applyFill="1"/>
    <xf numFmtId="0" fontId="15" fillId="0" borderId="34" xfId="0" applyFont="1" applyBorder="1"/>
    <xf numFmtId="0" fontId="2" fillId="0" borderId="0" xfId="3"/>
    <xf numFmtId="0" fontId="2" fillId="0" borderId="18" xfId="3" applyBorder="1" applyAlignment="1">
      <alignment horizontal="left"/>
    </xf>
    <xf numFmtId="0" fontId="2" fillId="0" borderId="11" xfId="3" applyBorder="1"/>
    <xf numFmtId="0" fontId="2" fillId="0" borderId="58" xfId="3" applyBorder="1"/>
    <xf numFmtId="0" fontId="2" fillId="0" borderId="18" xfId="3" applyBorder="1"/>
    <xf numFmtId="1" fontId="2" fillId="0" borderId="11" xfId="3" applyNumberFormat="1" applyBorder="1"/>
    <xf numFmtId="0" fontId="2" fillId="0" borderId="15" xfId="3" applyBorder="1"/>
    <xf numFmtId="0" fontId="2" fillId="8" borderId="18" xfId="3" applyFill="1" applyBorder="1"/>
    <xf numFmtId="0" fontId="2" fillId="8" borderId="11" xfId="3" applyFill="1" applyBorder="1"/>
    <xf numFmtId="0" fontId="2" fillId="8" borderId="58" xfId="3" applyFill="1" applyBorder="1"/>
    <xf numFmtId="168" fontId="2" fillId="0" borderId="11" xfId="3" applyNumberFormat="1" applyBorder="1"/>
    <xf numFmtId="0" fontId="7" fillId="0" borderId="5" xfId="3" applyFont="1" applyBorder="1" applyAlignment="1">
      <alignment horizontal="center"/>
    </xf>
    <xf numFmtId="0" fontId="7" fillId="0" borderId="6" xfId="3" applyFont="1" applyBorder="1" applyAlignment="1">
      <alignment horizontal="center"/>
    </xf>
    <xf numFmtId="0" fontId="7" fillId="0" borderId="7" xfId="3" applyFont="1" applyBorder="1" applyAlignment="1">
      <alignment horizontal="center"/>
    </xf>
    <xf numFmtId="0" fontId="7" fillId="0" borderId="0" xfId="3" applyFont="1" applyAlignment="1">
      <alignment horizontal="center"/>
    </xf>
    <xf numFmtId="0" fontId="7" fillId="0" borderId="18" xfId="3" applyFont="1" applyBorder="1"/>
    <xf numFmtId="0" fontId="7" fillId="0" borderId="58" xfId="3" applyFont="1" applyBorder="1"/>
    <xf numFmtId="0" fontId="2" fillId="0" borderId="66" xfId="3" applyBorder="1" applyAlignment="1">
      <alignment horizontal="center"/>
    </xf>
    <xf numFmtId="166" fontId="2" fillId="0" borderId="67" xfId="3" applyNumberFormat="1" applyBorder="1" applyAlignment="1">
      <alignment horizontal="center"/>
    </xf>
    <xf numFmtId="166" fontId="2" fillId="0" borderId="12" xfId="3" applyNumberFormat="1" applyBorder="1" applyAlignment="1">
      <alignment horizontal="center"/>
    </xf>
    <xf numFmtId="166" fontId="2" fillId="0" borderId="68" xfId="3" applyNumberFormat="1" applyBorder="1" applyAlignment="1">
      <alignment horizontal="center"/>
    </xf>
    <xf numFmtId="166" fontId="2" fillId="0" borderId="69" xfId="3" applyNumberFormat="1" applyBorder="1" applyAlignment="1">
      <alignment horizontal="center"/>
    </xf>
    <xf numFmtId="164" fontId="2" fillId="0" borderId="67" xfId="3" applyNumberFormat="1" applyBorder="1" applyAlignment="1">
      <alignment horizontal="center"/>
    </xf>
    <xf numFmtId="164" fontId="2" fillId="0" borderId="68" xfId="3" applyNumberFormat="1" applyBorder="1" applyAlignment="1">
      <alignment horizontal="center"/>
    </xf>
    <xf numFmtId="2" fontId="2" fillId="0" borderId="67" xfId="3" applyNumberFormat="1" applyBorder="1" applyAlignment="1">
      <alignment horizontal="center"/>
    </xf>
    <xf numFmtId="2" fontId="2" fillId="0" borderId="12" xfId="3" applyNumberFormat="1" applyBorder="1" applyAlignment="1">
      <alignment horizontal="center"/>
    </xf>
    <xf numFmtId="2" fontId="2" fillId="0" borderId="18" xfId="3" applyNumberFormat="1" applyBorder="1" applyAlignment="1">
      <alignment horizontal="center"/>
    </xf>
    <xf numFmtId="2" fontId="2" fillId="0" borderId="58" xfId="3" applyNumberFormat="1" applyBorder="1" applyAlignment="1">
      <alignment horizontal="center"/>
    </xf>
    <xf numFmtId="0" fontId="2" fillId="0" borderId="63" xfId="3" applyBorder="1" applyAlignment="1">
      <alignment horizontal="center"/>
    </xf>
    <xf numFmtId="166" fontId="2" fillId="0" borderId="11" xfId="3" applyNumberFormat="1" applyBorder="1" applyAlignment="1">
      <alignment horizontal="center"/>
    </xf>
    <xf numFmtId="166" fontId="2" fillId="0" borderId="58" xfId="3" applyNumberFormat="1" applyBorder="1" applyAlignment="1">
      <alignment horizontal="center"/>
    </xf>
    <xf numFmtId="0" fontId="2" fillId="0" borderId="0" xfId="3" applyAlignment="1">
      <alignment horizontal="center"/>
    </xf>
    <xf numFmtId="166" fontId="2" fillId="0" borderId="0" xfId="3" applyNumberFormat="1" applyAlignment="1">
      <alignment horizontal="center"/>
    </xf>
    <xf numFmtId="164" fontId="2" fillId="0" borderId="0" xfId="3" applyNumberFormat="1" applyAlignment="1">
      <alignment horizontal="center"/>
    </xf>
    <xf numFmtId="2" fontId="2" fillId="0" borderId="0" xfId="3" applyNumberFormat="1" applyAlignment="1">
      <alignment horizontal="center"/>
    </xf>
    <xf numFmtId="0" fontId="2" fillId="0" borderId="0" xfId="3" applyAlignment="1">
      <alignment horizontal="right"/>
    </xf>
    <xf numFmtId="166" fontId="2" fillId="0" borderId="18" xfId="3" applyNumberFormat="1" applyBorder="1" applyAlignment="1">
      <alignment horizontal="center"/>
    </xf>
    <xf numFmtId="166" fontId="2" fillId="0" borderId="8" xfId="3" applyNumberFormat="1" applyBorder="1" applyAlignment="1">
      <alignment horizontal="center"/>
    </xf>
    <xf numFmtId="2" fontId="2" fillId="0" borderId="5" xfId="3" applyNumberFormat="1" applyBorder="1" applyAlignment="1">
      <alignment horizontal="center"/>
    </xf>
    <xf numFmtId="2" fontId="2" fillId="0" borderId="7" xfId="3" applyNumberFormat="1" applyBorder="1" applyAlignment="1">
      <alignment horizontal="center"/>
    </xf>
    <xf numFmtId="2" fontId="2" fillId="0" borderId="0" xfId="3" applyNumberFormat="1"/>
    <xf numFmtId="167" fontId="0" fillId="0" borderId="0" xfId="0" applyNumberFormat="1"/>
    <xf numFmtId="1" fontId="7" fillId="12" borderId="0" xfId="0" applyNumberFormat="1" applyFont="1" applyFill="1"/>
    <xf numFmtId="0" fontId="62" fillId="0" borderId="0" xfId="0" applyFont="1"/>
    <xf numFmtId="0" fontId="2" fillId="4" borderId="70" xfId="3" applyFill="1" applyBorder="1" applyAlignment="1">
      <alignment vertical="center"/>
    </xf>
    <xf numFmtId="0" fontId="2" fillId="0" borderId="71" xfId="3" applyBorder="1" applyAlignment="1">
      <alignment horizontal="center"/>
    </xf>
    <xf numFmtId="2" fontId="2" fillId="0" borderId="11" xfId="3" applyNumberFormat="1" applyBorder="1"/>
    <xf numFmtId="2" fontId="2" fillId="0" borderId="58" xfId="3" applyNumberFormat="1" applyBorder="1"/>
    <xf numFmtId="2" fontId="7" fillId="0" borderId="7" xfId="3" applyNumberFormat="1" applyFont="1" applyBorder="1" applyAlignment="1">
      <alignment horizontal="center"/>
    </xf>
    <xf numFmtId="1" fontId="2" fillId="9" borderId="2" xfId="0" applyNumberFormat="1" applyFont="1" applyFill="1" applyBorder="1" applyAlignment="1">
      <alignment vertical="center"/>
    </xf>
    <xf numFmtId="0" fontId="3" fillId="9" borderId="44" xfId="0" applyFont="1" applyFill="1" applyBorder="1" applyAlignment="1">
      <alignment horizontal="center"/>
    </xf>
    <xf numFmtId="11" fontId="2" fillId="0" borderId="0" xfId="0" applyNumberFormat="1" applyFont="1"/>
    <xf numFmtId="1" fontId="2" fillId="0" borderId="0" xfId="0" applyNumberFormat="1" applyFont="1"/>
    <xf numFmtId="1" fontId="2" fillId="12" borderId="0" xfId="0" applyNumberFormat="1" applyFont="1" applyFill="1"/>
    <xf numFmtId="0" fontId="2" fillId="23" borderId="0" xfId="0" applyFont="1" applyFill="1"/>
    <xf numFmtId="0" fontId="2" fillId="0" borderId="75" xfId="0" applyFont="1" applyBorder="1"/>
    <xf numFmtId="167" fontId="2" fillId="0" borderId="77" xfId="0" applyNumberFormat="1" applyFont="1" applyBorder="1"/>
    <xf numFmtId="11" fontId="7" fillId="0" borderId="77" xfId="0" applyNumberFormat="1" applyFont="1" applyBorder="1"/>
    <xf numFmtId="0" fontId="72" fillId="0" borderId="77" xfId="0" applyFont="1" applyBorder="1"/>
    <xf numFmtId="1" fontId="62" fillId="0" borderId="0" xfId="0" applyNumberFormat="1" applyFont="1"/>
    <xf numFmtId="0" fontId="80" fillId="0" borderId="0" xfId="0" applyFont="1"/>
    <xf numFmtId="167" fontId="62" fillId="0" borderId="0" xfId="0" applyNumberFormat="1" applyFont="1"/>
    <xf numFmtId="0" fontId="3" fillId="0" borderId="30" xfId="0" applyFont="1" applyBorder="1"/>
    <xf numFmtId="165" fontId="3" fillId="0" borderId="0" xfId="0" applyNumberFormat="1" applyFont="1"/>
    <xf numFmtId="11" fontId="3" fillId="0" borderId="0" xfId="0" applyNumberFormat="1" applyFont="1"/>
    <xf numFmtId="0" fontId="0" fillId="0" borderId="45" xfId="0" applyBorder="1"/>
    <xf numFmtId="1" fontId="2" fillId="22" borderId="0" xfId="0" applyNumberFormat="1" applyFont="1" applyFill="1"/>
    <xf numFmtId="1" fontId="65" fillId="0" borderId="0" xfId="0" applyNumberFormat="1" applyFont="1"/>
    <xf numFmtId="0" fontId="65" fillId="0" borderId="0" xfId="0" applyFont="1"/>
    <xf numFmtId="0" fontId="72" fillId="0" borderId="58" xfId="3" applyFont="1" applyBorder="1"/>
    <xf numFmtId="167" fontId="0" fillId="12" borderId="0" xfId="0" applyNumberFormat="1" applyFill="1"/>
    <xf numFmtId="166" fontId="7" fillId="12" borderId="0" xfId="0" applyNumberFormat="1" applyFont="1" applyFill="1"/>
    <xf numFmtId="11" fontId="0" fillId="22" borderId="0" xfId="0" applyNumberFormat="1" applyFill="1" applyAlignment="1">
      <alignment horizontal="right"/>
    </xf>
    <xf numFmtId="0" fontId="0" fillId="24" borderId="0" xfId="0" applyFill="1" applyAlignment="1">
      <alignment horizontal="right"/>
    </xf>
    <xf numFmtId="167" fontId="30" fillId="22" borderId="0" xfId="0" applyNumberFormat="1" applyFont="1" applyFill="1"/>
    <xf numFmtId="166" fontId="30" fillId="22" borderId="34" xfId="0" applyNumberFormat="1" applyFont="1" applyFill="1" applyBorder="1"/>
    <xf numFmtId="167" fontId="2" fillId="0" borderId="0" xfId="0" applyNumberFormat="1" applyFont="1"/>
    <xf numFmtId="0" fontId="2" fillId="0" borderId="24" xfId="3" applyBorder="1" applyAlignment="1">
      <alignment horizontal="left"/>
    </xf>
    <xf numFmtId="0" fontId="2" fillId="0" borderId="45" xfId="3" applyBorder="1"/>
    <xf numFmtId="0" fontId="2" fillId="0" borderId="46" xfId="3" applyBorder="1"/>
    <xf numFmtId="167" fontId="2" fillId="0" borderId="45" xfId="3" applyNumberFormat="1" applyBorder="1"/>
    <xf numFmtId="0" fontId="2" fillId="8" borderId="15" xfId="3" applyFill="1" applyBorder="1"/>
    <xf numFmtId="0" fontId="3" fillId="0" borderId="55" xfId="3" applyFont="1" applyBorder="1" applyAlignment="1">
      <alignment horizontal="center"/>
    </xf>
    <xf numFmtId="11" fontId="2" fillId="0" borderId="11" xfId="3" applyNumberFormat="1" applyBorder="1"/>
    <xf numFmtId="1" fontId="2" fillId="0" borderId="45" xfId="3" applyNumberFormat="1" applyBorder="1"/>
    <xf numFmtId="167" fontId="2" fillId="0" borderId="11" xfId="3" applyNumberFormat="1" applyBorder="1"/>
    <xf numFmtId="0" fontId="2" fillId="0" borderId="0" xfId="3" applyAlignment="1">
      <alignment horizontal="left"/>
    </xf>
    <xf numFmtId="1" fontId="2" fillId="0" borderId="0" xfId="3" applyNumberFormat="1"/>
    <xf numFmtId="167" fontId="2" fillId="0" borderId="0" xfId="3" applyNumberFormat="1"/>
    <xf numFmtId="0" fontId="0" fillId="23" borderId="0" xfId="0" applyFill="1"/>
    <xf numFmtId="184" fontId="8" fillId="12" borderId="0" xfId="0" applyNumberFormat="1" applyFont="1" applyFill="1"/>
    <xf numFmtId="2" fontId="2" fillId="0" borderId="0" xfId="0" applyNumberFormat="1" applyFont="1"/>
    <xf numFmtId="167" fontId="3" fillId="0" borderId="0" xfId="0" applyNumberFormat="1" applyFont="1" applyAlignment="1">
      <alignment horizontal="right"/>
    </xf>
    <xf numFmtId="1" fontId="2" fillId="24" borderId="0" xfId="0" applyNumberFormat="1" applyFont="1" applyFill="1"/>
    <xf numFmtId="0" fontId="2" fillId="24" borderId="0" xfId="0" applyFont="1" applyFill="1"/>
    <xf numFmtId="166" fontId="2" fillId="22" borderId="31" xfId="0" applyNumberFormat="1" applyFont="1" applyFill="1" applyBorder="1"/>
    <xf numFmtId="0" fontId="2" fillId="0" borderId="8" xfId="3" applyBorder="1"/>
    <xf numFmtId="168" fontId="2" fillId="0" borderId="8" xfId="3" applyNumberFormat="1" applyBorder="1"/>
    <xf numFmtId="0" fontId="3" fillId="0" borderId="57" xfId="3" applyFont="1" applyBorder="1" applyAlignment="1">
      <alignment horizontal="center"/>
    </xf>
    <xf numFmtId="0" fontId="2" fillId="8" borderId="64" xfId="3" applyFill="1" applyBorder="1"/>
    <xf numFmtId="167" fontId="2" fillId="0" borderId="44" xfId="3" applyNumberFormat="1" applyBorder="1"/>
    <xf numFmtId="164" fontId="2" fillId="0" borderId="58" xfId="3" applyNumberFormat="1" applyBorder="1" applyAlignment="1">
      <alignment horizontal="center"/>
    </xf>
    <xf numFmtId="167" fontId="65" fillId="0" borderId="0" xfId="0" applyNumberFormat="1" applyFont="1"/>
    <xf numFmtId="185" fontId="3" fillId="12" borderId="0" xfId="0" applyNumberFormat="1" applyFont="1" applyFill="1"/>
    <xf numFmtId="185" fontId="2" fillId="4" borderId="0" xfId="0" applyNumberFormat="1" applyFont="1" applyFill="1"/>
    <xf numFmtId="185" fontId="30" fillId="4" borderId="0" xfId="0" applyNumberFormat="1" applyFont="1" applyFill="1"/>
    <xf numFmtId="185" fontId="0" fillId="12" borderId="0" xfId="0" applyNumberFormat="1" applyFill="1"/>
    <xf numFmtId="185" fontId="0" fillId="4" borderId="31" xfId="0" applyNumberFormat="1" applyFill="1" applyBorder="1"/>
    <xf numFmtId="0" fontId="2" fillId="0" borderId="8" xfId="3" applyBorder="1" applyAlignment="1">
      <alignment horizontal="left"/>
    </xf>
    <xf numFmtId="2" fontId="2" fillId="0" borderId="59" xfId="3" applyNumberFormat="1" applyBorder="1" applyAlignment="1">
      <alignment horizontal="center"/>
    </xf>
    <xf numFmtId="1" fontId="2" fillId="0" borderId="0" xfId="3" applyNumberFormat="1" applyAlignment="1">
      <alignment horizontal="right"/>
    </xf>
    <xf numFmtId="167" fontId="2" fillId="8" borderId="11" xfId="3" applyNumberFormat="1" applyFill="1" applyBorder="1"/>
    <xf numFmtId="0" fontId="2" fillId="9" borderId="76" xfId="0" applyFont="1" applyFill="1" applyBorder="1" applyAlignment="1">
      <alignment horizontal="left"/>
    </xf>
    <xf numFmtId="168" fontId="2" fillId="9" borderId="28" xfId="0" applyNumberFormat="1" applyFont="1" applyFill="1" applyBorder="1" applyAlignment="1">
      <alignment horizontal="right"/>
    </xf>
    <xf numFmtId="0" fontId="2" fillId="9" borderId="29" xfId="0" applyFont="1" applyFill="1" applyBorder="1" applyAlignment="1">
      <alignment horizontal="left"/>
    </xf>
    <xf numFmtId="0" fontId="2" fillId="9" borderId="46" xfId="0" applyFont="1" applyFill="1" applyBorder="1" applyAlignment="1">
      <alignment horizontal="left"/>
    </xf>
    <xf numFmtId="168" fontId="2" fillId="22" borderId="0" xfId="0" applyNumberFormat="1" applyFont="1" applyFill="1"/>
    <xf numFmtId="1" fontId="2" fillId="9" borderId="44" xfId="0" applyNumberFormat="1" applyFont="1" applyFill="1" applyBorder="1" applyAlignment="1">
      <alignment horizontal="right"/>
    </xf>
    <xf numFmtId="186" fontId="2" fillId="21" borderId="11" xfId="3" applyNumberFormat="1" applyFill="1" applyBorder="1" applyAlignment="1">
      <alignment horizontal="center" vertical="center"/>
    </xf>
    <xf numFmtId="172" fontId="2" fillId="21" borderId="11" xfId="3" applyNumberFormat="1" applyFill="1" applyBorder="1" applyAlignment="1">
      <alignment horizontal="center" vertical="center"/>
    </xf>
    <xf numFmtId="0" fontId="2" fillId="21" borderId="15" xfId="3" applyFill="1" applyBorder="1" applyAlignment="1">
      <alignment horizontal="left" vertical="center"/>
    </xf>
    <xf numFmtId="0" fontId="2" fillId="0" borderId="11" xfId="0" applyFont="1" applyBorder="1"/>
    <xf numFmtId="0" fontId="2" fillId="0" borderId="15" xfId="0" applyFont="1" applyBorder="1"/>
    <xf numFmtId="0" fontId="2" fillId="0" borderId="16" xfId="0" applyFont="1" applyBorder="1"/>
    <xf numFmtId="0" fontId="2" fillId="0" borderId="17" xfId="0" applyFont="1" applyBorder="1"/>
    <xf numFmtId="0" fontId="72" fillId="0" borderId="11" xfId="0" applyFont="1" applyBorder="1"/>
    <xf numFmtId="0" fontId="2" fillId="0" borderId="13" xfId="0" applyFont="1" applyBorder="1"/>
    <xf numFmtId="0" fontId="2" fillId="4" borderId="11" xfId="0" applyFont="1" applyFill="1" applyBorder="1"/>
    <xf numFmtId="2" fontId="0" fillId="2" borderId="0" xfId="0" applyNumberFormat="1" applyFill="1"/>
    <xf numFmtId="0" fontId="2" fillId="6" borderId="11" xfId="0" applyFont="1" applyFill="1" applyBorder="1"/>
    <xf numFmtId="166" fontId="15" fillId="7" borderId="0" xfId="0" applyNumberFormat="1" applyFont="1" applyFill="1"/>
    <xf numFmtId="2" fontId="15" fillId="7" borderId="0" xfId="0" applyNumberFormat="1" applyFont="1" applyFill="1"/>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7" borderId="7" xfId="0" applyFont="1" applyFill="1" applyBorder="1" applyAlignment="1">
      <alignment horizontal="center" vertical="center" wrapText="1"/>
    </xf>
    <xf numFmtId="169" fontId="3" fillId="2" borderId="6" xfId="0" applyNumberFormat="1" applyFont="1" applyFill="1" applyBorder="1" applyAlignment="1">
      <alignment horizontal="center" vertical="center" wrapText="1"/>
    </xf>
    <xf numFmtId="0" fontId="3" fillId="2" borderId="21" xfId="0" applyFont="1" applyFill="1" applyBorder="1" applyAlignment="1">
      <alignment horizontal="center" vertical="center" wrapText="1"/>
    </xf>
    <xf numFmtId="0" fontId="3" fillId="7" borderId="22"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5" xfId="0" applyFont="1" applyFill="1" applyBorder="1" applyAlignment="1">
      <alignment horizontal="center" vertical="center" wrapText="1"/>
    </xf>
    <xf numFmtId="0" fontId="3" fillId="2" borderId="26" xfId="0" applyFont="1" applyFill="1" applyBorder="1" applyAlignment="1">
      <alignment horizontal="center" vertical="center" wrapText="1"/>
    </xf>
    <xf numFmtId="0" fontId="3" fillId="7" borderId="27" xfId="0" applyFont="1" applyFill="1" applyBorder="1" applyAlignment="1">
      <alignment horizontal="center" vertical="center" wrapText="1"/>
    </xf>
    <xf numFmtId="0" fontId="3" fillId="14" borderId="5" xfId="0" applyFont="1" applyFill="1" applyBorder="1" applyAlignment="1">
      <alignment horizontal="center" vertical="center" wrapText="1"/>
    </xf>
    <xf numFmtId="2" fontId="3" fillId="14" borderId="6" xfId="0" applyNumberFormat="1" applyFont="1" applyFill="1" applyBorder="1" applyAlignment="1">
      <alignment horizontal="center" vertical="center" wrapText="1"/>
    </xf>
    <xf numFmtId="167" fontId="3" fillId="2" borderId="6" xfId="0" applyNumberFormat="1" applyFont="1" applyFill="1" applyBorder="1" applyAlignment="1">
      <alignment horizontal="center" vertical="center" wrapText="1"/>
    </xf>
    <xf numFmtId="166" fontId="3" fillId="2" borderId="5" xfId="0" applyNumberFormat="1" applyFont="1" applyFill="1" applyBorder="1" applyAlignment="1">
      <alignment horizontal="center" vertical="center" wrapText="1"/>
    </xf>
    <xf numFmtId="166" fontId="3" fillId="2" borderId="6" xfId="0" applyNumberFormat="1" applyFont="1" applyFill="1" applyBorder="1" applyAlignment="1">
      <alignment horizontal="center" vertical="center" wrapText="1"/>
    </xf>
    <xf numFmtId="0" fontId="3" fillId="4" borderId="3" xfId="0" applyFont="1" applyFill="1" applyBorder="1" applyAlignment="1">
      <alignment horizontal="center"/>
    </xf>
    <xf numFmtId="0" fontId="3" fillId="4" borderId="2" xfId="0" applyFont="1" applyFill="1" applyBorder="1" applyAlignment="1">
      <alignment horizontal="center"/>
    </xf>
    <xf numFmtId="166" fontId="3" fillId="4" borderId="2" xfId="0" applyNumberFormat="1" applyFont="1" applyFill="1" applyBorder="1" applyAlignment="1">
      <alignment horizontal="center"/>
    </xf>
    <xf numFmtId="166" fontId="3" fillId="7" borderId="23" xfId="0" applyNumberFormat="1" applyFont="1" applyFill="1" applyBorder="1" applyAlignment="1">
      <alignment horizontal="center" vertical="center" wrapText="1"/>
    </xf>
    <xf numFmtId="0" fontId="62" fillId="19" borderId="23" xfId="0" applyFont="1" applyFill="1" applyBorder="1" applyAlignment="1">
      <alignment horizontal="center" vertical="center" wrapText="1"/>
    </xf>
    <xf numFmtId="0" fontId="3" fillId="0" borderId="0" xfId="0" applyFont="1" applyProtection="1">
      <protection locked="0"/>
    </xf>
    <xf numFmtId="0" fontId="3" fillId="9" borderId="77" xfId="0" applyFont="1" applyFill="1" applyBorder="1"/>
    <xf numFmtId="0" fontId="2" fillId="9" borderId="77" xfId="0" applyFont="1" applyFill="1" applyBorder="1"/>
    <xf numFmtId="0" fontId="2" fillId="9" borderId="76" xfId="0" applyFont="1" applyFill="1" applyBorder="1"/>
    <xf numFmtId="0" fontId="79" fillId="9" borderId="28" xfId="0" applyFont="1" applyFill="1" applyBorder="1"/>
    <xf numFmtId="0" fontId="15" fillId="0" borderId="39" xfId="0" applyFont="1" applyBorder="1"/>
    <xf numFmtId="2" fontId="15" fillId="4" borderId="0" xfId="0" applyNumberFormat="1" applyFont="1" applyFill="1" applyAlignment="1">
      <alignment horizontal="right"/>
    </xf>
    <xf numFmtId="2" fontId="30" fillId="22" borderId="0" xfId="0" applyNumberFormat="1" applyFont="1" applyFill="1" applyAlignment="1">
      <alignment horizontal="right"/>
    </xf>
    <xf numFmtId="166" fontId="3" fillId="12" borderId="0" xfId="0" applyNumberFormat="1" applyFont="1" applyFill="1"/>
    <xf numFmtId="167" fontId="8" fillId="0" borderId="0" xfId="0" applyNumberFormat="1" applyFont="1"/>
    <xf numFmtId="167" fontId="0" fillId="13" borderId="0" xfId="0" applyNumberFormat="1" applyFill="1"/>
    <xf numFmtId="0" fontId="17" fillId="16" borderId="28" xfId="0" applyFont="1" applyFill="1" applyBorder="1"/>
    <xf numFmtId="0" fontId="2" fillId="9" borderId="0" xfId="0" applyFont="1" applyFill="1" applyAlignment="1">
      <alignment horizontal="right" vertical="top"/>
    </xf>
    <xf numFmtId="168" fontId="2" fillId="9" borderId="0" xfId="0" applyNumberFormat="1" applyFont="1" applyFill="1" applyAlignment="1">
      <alignment horizontal="left" vertical="center"/>
    </xf>
    <xf numFmtId="0" fontId="67" fillId="9" borderId="77" xfId="0" applyFont="1" applyFill="1" applyBorder="1" applyAlignment="1">
      <alignment horizontal="left"/>
    </xf>
    <xf numFmtId="0" fontId="3" fillId="4" borderId="0" xfId="0" applyFont="1" applyFill="1"/>
    <xf numFmtId="0" fontId="73" fillId="3" borderId="49" xfId="3" applyFont="1" applyFill="1" applyBorder="1" applyAlignment="1">
      <alignment horizontal="center" vertical="center"/>
    </xf>
    <xf numFmtId="0" fontId="73" fillId="3" borderId="50" xfId="3" applyFont="1" applyFill="1" applyBorder="1" applyAlignment="1">
      <alignment horizontal="center" vertical="center"/>
    </xf>
    <xf numFmtId="0" fontId="73" fillId="3" borderId="50" xfId="3" applyFont="1" applyFill="1" applyBorder="1" applyAlignment="1">
      <alignment horizontal="left" vertical="center"/>
    </xf>
    <xf numFmtId="0" fontId="2" fillId="9" borderId="0" xfId="0" applyFont="1" applyFill="1" applyAlignment="1">
      <alignment horizontal="left" vertical="top"/>
    </xf>
    <xf numFmtId="0" fontId="2" fillId="9" borderId="0" xfId="0" applyFont="1" applyFill="1" applyAlignment="1">
      <alignment horizontal="right" vertical="top" readingOrder="1"/>
    </xf>
    <xf numFmtId="168" fontId="0" fillId="0" borderId="0" xfId="0" applyNumberFormat="1" applyAlignment="1">
      <alignment horizontal="left"/>
    </xf>
    <xf numFmtId="0" fontId="67" fillId="0" borderId="0" xfId="0" applyFont="1"/>
    <xf numFmtId="167" fontId="3" fillId="9" borderId="0" xfId="0" applyNumberFormat="1" applyFont="1" applyFill="1" applyAlignment="1">
      <alignment horizontal="center"/>
    </xf>
    <xf numFmtId="0" fontId="3" fillId="5" borderId="69" xfId="0" applyFont="1" applyFill="1" applyBorder="1"/>
    <xf numFmtId="0" fontId="20" fillId="25" borderId="43" xfId="0" applyFont="1" applyFill="1" applyBorder="1"/>
    <xf numFmtId="0" fontId="20" fillId="25" borderId="41" xfId="0" applyFont="1" applyFill="1" applyBorder="1"/>
    <xf numFmtId="0" fontId="17" fillId="25" borderId="41" xfId="0" applyFont="1" applyFill="1" applyBorder="1"/>
    <xf numFmtId="171" fontId="17" fillId="25" borderId="0" xfId="0" applyNumberFormat="1" applyFont="1" applyFill="1" applyAlignment="1">
      <alignment horizontal="center"/>
    </xf>
    <xf numFmtId="0" fontId="17" fillId="25" borderId="0" xfId="0" applyFont="1" applyFill="1"/>
    <xf numFmtId="171" fontId="69" fillId="25" borderId="0" xfId="0" applyNumberFormat="1" applyFont="1" applyFill="1" applyAlignment="1">
      <alignment horizontal="center"/>
    </xf>
    <xf numFmtId="171" fontId="25" fillId="25" borderId="0" xfId="0" applyNumberFormat="1" applyFont="1" applyFill="1" applyAlignment="1">
      <alignment horizontal="center"/>
    </xf>
    <xf numFmtId="0" fontId="26" fillId="25" borderId="28" xfId="0" applyFont="1" applyFill="1" applyBorder="1" applyAlignment="1">
      <alignment horizontal="left"/>
    </xf>
    <xf numFmtId="0" fontId="26" fillId="25" borderId="0" xfId="0" applyFont="1" applyFill="1" applyAlignment="1">
      <alignment horizontal="left"/>
    </xf>
    <xf numFmtId="0" fontId="24" fillId="25" borderId="28" xfId="0" applyFont="1" applyFill="1" applyBorder="1" applyAlignment="1">
      <alignment horizontal="left" vertical="center"/>
    </xf>
    <xf numFmtId="0" fontId="24" fillId="25" borderId="0" xfId="0" applyFont="1" applyFill="1" applyAlignment="1">
      <alignment horizontal="left" vertical="center"/>
    </xf>
    <xf numFmtId="0" fontId="71" fillId="25" borderId="0" xfId="0" applyFont="1" applyFill="1" applyAlignment="1">
      <alignment horizontal="left" vertical="center"/>
    </xf>
    <xf numFmtId="0" fontId="31" fillId="25" borderId="30" xfId="0" applyFont="1" applyFill="1" applyBorder="1"/>
    <xf numFmtId="0" fontId="31" fillId="25" borderId="31" xfId="0" applyFont="1" applyFill="1" applyBorder="1"/>
    <xf numFmtId="0" fontId="20" fillId="25" borderId="31" xfId="0" applyFont="1" applyFill="1" applyBorder="1"/>
    <xf numFmtId="0" fontId="24" fillId="25" borderId="0" xfId="0" quotePrefix="1" applyFont="1" applyFill="1" applyAlignment="1">
      <alignment vertical="center"/>
    </xf>
    <xf numFmtId="0" fontId="20" fillId="25" borderId="0" xfId="0" applyFont="1" applyFill="1" applyAlignment="1">
      <alignment vertical="center"/>
    </xf>
    <xf numFmtId="0" fontId="29" fillId="25" borderId="0" xfId="0" applyFont="1" applyFill="1" applyAlignment="1">
      <alignment vertical="center"/>
    </xf>
    <xf numFmtId="0" fontId="29" fillId="25" borderId="0" xfId="0" applyFont="1" applyFill="1"/>
    <xf numFmtId="0" fontId="27" fillId="25" borderId="31" xfId="0" applyFont="1" applyFill="1" applyBorder="1"/>
    <xf numFmtId="0" fontId="27" fillId="25" borderId="45" xfId="0" applyFont="1" applyFill="1" applyBorder="1"/>
    <xf numFmtId="0" fontId="83" fillId="25" borderId="0" xfId="2" applyFont="1" applyFill="1" applyBorder="1" applyAlignment="1" applyProtection="1">
      <alignment horizontal="left" vertical="center"/>
    </xf>
    <xf numFmtId="0" fontId="83" fillId="25" borderId="0" xfId="2" applyFont="1" applyFill="1" applyAlignment="1" applyProtection="1"/>
    <xf numFmtId="1" fontId="2" fillId="9" borderId="75" xfId="0" applyNumberFormat="1" applyFont="1" applyFill="1" applyBorder="1" applyAlignment="1">
      <alignment horizontal="right"/>
    </xf>
    <xf numFmtId="167" fontId="0" fillId="22" borderId="0" xfId="0" applyNumberFormat="1" applyFill="1"/>
    <xf numFmtId="2" fontId="8" fillId="12" borderId="0" xfId="0" applyNumberFormat="1" applyFont="1" applyFill="1"/>
    <xf numFmtId="168" fontId="15" fillId="4" borderId="0" xfId="0" applyNumberFormat="1" applyFont="1" applyFill="1" applyAlignment="1">
      <alignment horizontal="right"/>
    </xf>
    <xf numFmtId="185" fontId="3" fillId="0" borderId="0" xfId="0" applyNumberFormat="1" applyFont="1"/>
    <xf numFmtId="2" fontId="30" fillId="0" borderId="0" xfId="0" applyNumberFormat="1" applyFont="1"/>
    <xf numFmtId="0" fontId="74" fillId="0" borderId="0" xfId="0" applyFont="1"/>
    <xf numFmtId="168" fontId="2" fillId="9" borderId="0" xfId="0" applyNumberFormat="1" applyFont="1" applyFill="1" applyAlignment="1">
      <alignment horizontal="right"/>
    </xf>
    <xf numFmtId="168" fontId="2" fillId="9" borderId="0" xfId="0" applyNumberFormat="1" applyFont="1" applyFill="1" applyAlignment="1">
      <alignment horizontal="right" vertical="center"/>
    </xf>
    <xf numFmtId="11" fontId="64" fillId="22" borderId="0" xfId="0" applyNumberFormat="1" applyFont="1" applyFill="1"/>
    <xf numFmtId="0" fontId="64" fillId="9" borderId="0" xfId="0" applyFont="1" applyFill="1" applyAlignment="1">
      <alignment horizontal="right"/>
    </xf>
    <xf numFmtId="2" fontId="2" fillId="16" borderId="0" xfId="0" applyNumberFormat="1" applyFont="1" applyFill="1"/>
    <xf numFmtId="11" fontId="30" fillId="22" borderId="0" xfId="0" applyNumberFormat="1" applyFont="1" applyFill="1" applyAlignment="1">
      <alignment horizontal="right"/>
    </xf>
    <xf numFmtId="11" fontId="0" fillId="22" borderId="0" xfId="0" applyNumberFormat="1" applyFill="1"/>
    <xf numFmtId="167" fontId="30" fillId="0" borderId="0" xfId="0" applyNumberFormat="1" applyFont="1"/>
    <xf numFmtId="0" fontId="74" fillId="0" borderId="0" xfId="0" applyFont="1" applyAlignment="1">
      <alignment horizontal="left"/>
    </xf>
    <xf numFmtId="0" fontId="62" fillId="0" borderId="0" xfId="0" applyFont="1" applyAlignment="1">
      <alignment horizontal="right"/>
    </xf>
    <xf numFmtId="0" fontId="62" fillId="0" borderId="0" xfId="0" applyFont="1" applyAlignment="1">
      <alignment horizontal="left"/>
    </xf>
    <xf numFmtId="0" fontId="0" fillId="16" borderId="0" xfId="0" applyFill="1"/>
    <xf numFmtId="0" fontId="3" fillId="2" borderId="23" xfId="0" applyFont="1" applyFill="1" applyBorder="1" applyAlignment="1">
      <alignment horizontal="center" vertical="center" wrapText="1"/>
    </xf>
    <xf numFmtId="2" fontId="3" fillId="2" borderId="5" xfId="0" applyNumberFormat="1" applyFont="1" applyFill="1" applyBorder="1" applyAlignment="1">
      <alignment horizontal="center" vertical="center" wrapText="1"/>
    </xf>
    <xf numFmtId="2" fontId="3" fillId="2" borderId="7" xfId="0" applyNumberFormat="1" applyFont="1" applyFill="1" applyBorder="1" applyAlignment="1">
      <alignment horizontal="center" vertical="center" wrapText="1"/>
    </xf>
    <xf numFmtId="167" fontId="0" fillId="0" borderId="0" xfId="0" applyNumberFormat="1" applyAlignment="1">
      <alignment horizontal="right"/>
    </xf>
    <xf numFmtId="184" fontId="0" fillId="0" borderId="0" xfId="0" applyNumberFormat="1"/>
    <xf numFmtId="0" fontId="3" fillId="0" borderId="28" xfId="0" applyFont="1" applyBorder="1" applyAlignment="1">
      <alignment horizontal="center"/>
    </xf>
    <xf numFmtId="167" fontId="82" fillId="26" borderId="0" xfId="0" applyNumberFormat="1" applyFont="1" applyFill="1" applyAlignment="1">
      <alignment horizontal="center" vertical="center"/>
    </xf>
    <xf numFmtId="166" fontId="3" fillId="26" borderId="0" xfId="0" applyNumberFormat="1" applyFont="1" applyFill="1" applyAlignment="1">
      <alignment horizontal="center" vertical="center" wrapText="1"/>
    </xf>
    <xf numFmtId="0" fontId="3" fillId="2" borderId="23" xfId="0" applyFont="1" applyFill="1" applyBorder="1" applyAlignment="1">
      <alignment horizontal="center" wrapText="1"/>
    </xf>
    <xf numFmtId="0" fontId="0" fillId="0" borderId="0" xfId="0" applyAlignment="1">
      <alignment horizontal="center"/>
    </xf>
    <xf numFmtId="2" fontId="0" fillId="0" borderId="0" xfId="0" applyNumberFormat="1" applyAlignment="1">
      <alignment horizontal="center"/>
    </xf>
    <xf numFmtId="1" fontId="3" fillId="16" borderId="0" xfId="0" applyNumberFormat="1" applyFont="1" applyFill="1" applyAlignment="1" applyProtection="1">
      <alignment horizontal="right" vertical="center"/>
      <protection hidden="1"/>
    </xf>
    <xf numFmtId="0" fontId="62" fillId="2" borderId="6" xfId="0" applyFont="1" applyFill="1" applyBorder="1" applyAlignment="1">
      <alignment horizontal="center" vertical="center" wrapText="1"/>
    </xf>
    <xf numFmtId="168" fontId="80" fillId="0" borderId="0" xfId="0" applyNumberFormat="1" applyFont="1"/>
    <xf numFmtId="10" fontId="80" fillId="0" borderId="0" xfId="0" applyNumberFormat="1" applyFont="1" applyAlignment="1">
      <alignment horizontal="center"/>
    </xf>
    <xf numFmtId="0" fontId="10" fillId="9" borderId="0" xfId="2" applyFill="1" applyAlignment="1" applyProtection="1"/>
    <xf numFmtId="0" fontId="3" fillId="19" borderId="0" xfId="0" applyFont="1" applyFill="1" applyAlignment="1" applyProtection="1">
      <alignment horizontal="right" vertical="center"/>
      <protection locked="0"/>
    </xf>
    <xf numFmtId="168" fontId="2" fillId="16" borderId="0" xfId="0" applyNumberFormat="1" applyFont="1" applyFill="1"/>
    <xf numFmtId="0" fontId="3" fillId="9" borderId="45" xfId="0" applyFont="1" applyFill="1" applyBorder="1" applyAlignment="1">
      <alignment horizontal="left" vertical="center"/>
    </xf>
    <xf numFmtId="0" fontId="64" fillId="0" borderId="28" xfId="0" applyFont="1" applyBorder="1"/>
    <xf numFmtId="1" fontId="67" fillId="0" borderId="0" xfId="0" applyNumberFormat="1" applyFont="1"/>
    <xf numFmtId="167" fontId="7" fillId="0" borderId="0" xfId="0" applyNumberFormat="1" applyFont="1"/>
    <xf numFmtId="2" fontId="64" fillId="9" borderId="2" xfId="1" applyNumberFormat="1" applyFont="1" applyFill="1" applyBorder="1" applyAlignment="1" applyProtection="1">
      <alignment horizontal="right"/>
    </xf>
    <xf numFmtId="0" fontId="17" fillId="16" borderId="41" xfId="0" applyFont="1" applyFill="1" applyBorder="1"/>
    <xf numFmtId="0" fontId="17" fillId="16" borderId="42" xfId="0" applyFont="1" applyFill="1" applyBorder="1"/>
    <xf numFmtId="0" fontId="57" fillId="9" borderId="43" xfId="0" applyFont="1" applyFill="1" applyBorder="1"/>
    <xf numFmtId="0" fontId="57" fillId="9" borderId="44" xfId="0" applyFont="1" applyFill="1" applyBorder="1"/>
    <xf numFmtId="1" fontId="2" fillId="9" borderId="45" xfId="0" applyNumberFormat="1" applyFont="1" applyFill="1" applyBorder="1" applyAlignment="1">
      <alignment vertical="center"/>
    </xf>
    <xf numFmtId="0" fontId="57" fillId="9" borderId="75" xfId="0" applyFont="1" applyFill="1" applyBorder="1"/>
    <xf numFmtId="0" fontId="65" fillId="9" borderId="41" xfId="0" applyFont="1" applyFill="1" applyBorder="1" applyAlignment="1">
      <alignment horizontal="right" vertical="center"/>
    </xf>
    <xf numFmtId="0" fontId="3" fillId="19" borderId="41" xfId="0" applyFont="1" applyFill="1" applyBorder="1" applyAlignment="1" applyProtection="1">
      <alignment vertical="center"/>
      <protection locked="0"/>
    </xf>
    <xf numFmtId="0" fontId="3" fillId="9" borderId="42" xfId="0" applyFont="1" applyFill="1" applyBorder="1" applyAlignment="1">
      <alignment vertical="center"/>
    </xf>
    <xf numFmtId="0" fontId="17" fillId="16" borderId="45" xfId="0" applyFont="1" applyFill="1" applyBorder="1"/>
    <xf numFmtId="0" fontId="65" fillId="9" borderId="45" xfId="0" applyFont="1" applyFill="1" applyBorder="1" applyAlignment="1">
      <alignment horizontal="right" vertical="center"/>
    </xf>
    <xf numFmtId="0" fontId="3" fillId="19" borderId="45" xfId="0" applyFont="1" applyFill="1" applyBorder="1" applyAlignment="1" applyProtection="1">
      <alignment vertical="center"/>
      <protection locked="0"/>
    </xf>
    <xf numFmtId="0" fontId="3" fillId="9" borderId="46" xfId="0" applyFont="1" applyFill="1" applyBorder="1" applyAlignment="1">
      <alignment vertical="center"/>
    </xf>
    <xf numFmtId="0" fontId="64" fillId="16" borderId="45" xfId="0" applyFont="1" applyFill="1" applyBorder="1" applyAlignment="1">
      <alignment horizontal="center"/>
    </xf>
    <xf numFmtId="168" fontId="2" fillId="9" borderId="45" xfId="0" applyNumberFormat="1" applyFont="1" applyFill="1" applyBorder="1" applyAlignment="1">
      <alignment vertical="center"/>
    </xf>
    <xf numFmtId="0" fontId="3" fillId="0" borderId="45" xfId="0" applyFont="1" applyBorder="1"/>
    <xf numFmtId="0" fontId="0" fillId="0" borderId="46" xfId="0" applyBorder="1"/>
    <xf numFmtId="2" fontId="8" fillId="0" borderId="0" xfId="0" applyNumberFormat="1" applyFont="1"/>
    <xf numFmtId="167" fontId="3" fillId="0" borderId="2" xfId="0" applyNumberFormat="1" applyFont="1" applyBorder="1"/>
    <xf numFmtId="2" fontId="2" fillId="22" borderId="0" xfId="0" applyNumberFormat="1" applyFont="1" applyFill="1"/>
    <xf numFmtId="167" fontId="2" fillId="22" borderId="0" xfId="0" applyNumberFormat="1" applyFont="1" applyFill="1"/>
    <xf numFmtId="0" fontId="2" fillId="27" borderId="0" xfId="0" applyFont="1" applyFill="1"/>
    <xf numFmtId="184" fontId="8" fillId="0" borderId="0" xfId="0" applyNumberFormat="1" applyFont="1"/>
    <xf numFmtId="167" fontId="0" fillId="24" borderId="0" xfId="0" applyNumberFormat="1" applyFill="1"/>
    <xf numFmtId="0" fontId="2" fillId="9" borderId="75" xfId="0" applyFont="1" applyFill="1" applyBorder="1"/>
    <xf numFmtId="0" fontId="58" fillId="9" borderId="44" xfId="0" applyFont="1" applyFill="1" applyBorder="1"/>
    <xf numFmtId="0" fontId="2" fillId="16" borderId="45" xfId="0" applyFont="1" applyFill="1" applyBorder="1" applyAlignment="1">
      <alignment horizontal="right" vertical="center"/>
    </xf>
    <xf numFmtId="0" fontId="85" fillId="9" borderId="0" xfId="0" applyFont="1" applyFill="1" applyAlignment="1">
      <alignment horizontal="right" vertical="center"/>
    </xf>
    <xf numFmtId="167" fontId="0" fillId="12" borderId="2" xfId="0" applyNumberFormat="1" applyFill="1" applyBorder="1"/>
    <xf numFmtId="2" fontId="2" fillId="9" borderId="31" xfId="0" applyNumberFormat="1" applyFont="1" applyFill="1" applyBorder="1"/>
    <xf numFmtId="167" fontId="0" fillId="4" borderId="2" xfId="0" applyNumberFormat="1" applyFill="1" applyBorder="1"/>
    <xf numFmtId="185" fontId="0" fillId="4" borderId="0" xfId="0" applyNumberFormat="1" applyFill="1"/>
    <xf numFmtId="0" fontId="85" fillId="9" borderId="45" xfId="0" applyFont="1" applyFill="1" applyBorder="1" applyAlignment="1">
      <alignment horizontal="right" vertical="center"/>
    </xf>
    <xf numFmtId="0" fontId="88" fillId="0" borderId="0" xfId="0" applyFont="1" applyAlignment="1">
      <alignment horizontal="left"/>
    </xf>
    <xf numFmtId="1" fontId="2" fillId="9" borderId="0" xfId="0" applyNumberFormat="1" applyFont="1" applyFill="1" applyAlignment="1">
      <alignment horizontal="right"/>
    </xf>
    <xf numFmtId="189" fontId="0" fillId="23" borderId="0" xfId="0" applyNumberFormat="1" applyFill="1"/>
    <xf numFmtId="168" fontId="2" fillId="9" borderId="31" xfId="0" applyNumberFormat="1" applyFont="1" applyFill="1" applyBorder="1" applyAlignment="1">
      <alignment vertical="center"/>
    </xf>
    <xf numFmtId="0" fontId="88" fillId="0" borderId="0" xfId="0" applyFont="1" applyAlignment="1">
      <alignment horizontal="right"/>
    </xf>
    <xf numFmtId="0" fontId="65" fillId="0" borderId="0" xfId="0" applyFont="1" applyAlignment="1">
      <alignment horizontal="left"/>
    </xf>
    <xf numFmtId="2" fontId="2" fillId="0" borderId="68" xfId="3" applyNumberFormat="1" applyBorder="1" applyAlignment="1">
      <alignment horizontal="center"/>
    </xf>
    <xf numFmtId="0" fontId="6" fillId="9" borderId="77" xfId="0" applyFont="1" applyFill="1" applyBorder="1" applyAlignment="1">
      <alignment horizontal="right" vertical="center"/>
    </xf>
    <xf numFmtId="0" fontId="6" fillId="9" borderId="41" xfId="0" applyFont="1" applyFill="1" applyBorder="1" applyAlignment="1">
      <alignment horizontal="right" vertical="center"/>
    </xf>
    <xf numFmtId="167" fontId="8" fillId="7" borderId="11" xfId="0" applyNumberFormat="1" applyFont="1" applyFill="1" applyBorder="1"/>
    <xf numFmtId="167" fontId="15" fillId="7" borderId="11" xfId="0" applyNumberFormat="1" applyFont="1" applyFill="1" applyBorder="1"/>
    <xf numFmtId="167" fontId="0" fillId="7" borderId="11" xfId="0" applyNumberFormat="1" applyFill="1" applyBorder="1"/>
    <xf numFmtId="0" fontId="16" fillId="3" borderId="4" xfId="0" applyFont="1" applyFill="1" applyBorder="1" applyAlignment="1">
      <alignment vertical="center"/>
    </xf>
    <xf numFmtId="0" fontId="17" fillId="16" borderId="29" xfId="0" applyFont="1" applyFill="1" applyBorder="1"/>
    <xf numFmtId="0" fontId="67" fillId="9" borderId="75" xfId="0" applyFont="1" applyFill="1" applyBorder="1" applyAlignment="1">
      <alignment horizontal="left"/>
    </xf>
    <xf numFmtId="0" fontId="2" fillId="9" borderId="80" xfId="0" applyFont="1" applyFill="1" applyBorder="1" applyAlignment="1">
      <alignment vertical="center"/>
    </xf>
    <xf numFmtId="0" fontId="3" fillId="16" borderId="46" xfId="0" applyFont="1" applyFill="1" applyBorder="1" applyAlignment="1">
      <alignment vertical="center"/>
    </xf>
    <xf numFmtId="0" fontId="3" fillId="16" borderId="45" xfId="0" applyFont="1" applyFill="1" applyBorder="1" applyAlignment="1">
      <alignment horizontal="right" vertical="center"/>
    </xf>
    <xf numFmtId="168" fontId="67" fillId="9" borderId="45" xfId="0" applyNumberFormat="1" applyFont="1" applyFill="1" applyBorder="1" applyAlignment="1">
      <alignment horizontal="left" vertical="center"/>
    </xf>
    <xf numFmtId="1" fontId="3" fillId="0" borderId="0" xfId="3" applyNumberFormat="1" applyFont="1" applyAlignment="1">
      <alignment horizontal="right"/>
    </xf>
    <xf numFmtId="0" fontId="3" fillId="0" borderId="0" xfId="3" applyFont="1" applyAlignment="1">
      <alignment horizontal="right"/>
    </xf>
    <xf numFmtId="166" fontId="3" fillId="0" borderId="18" xfId="3" applyNumberFormat="1" applyFont="1" applyBorder="1" applyAlignment="1">
      <alignment horizontal="center"/>
    </xf>
    <xf numFmtId="166" fontId="3" fillId="0" borderId="11" xfId="3" applyNumberFormat="1" applyFont="1" applyBorder="1" applyAlignment="1">
      <alignment horizontal="center"/>
    </xf>
    <xf numFmtId="166" fontId="3" fillId="0" borderId="58" xfId="3" applyNumberFormat="1" applyFont="1" applyBorder="1" applyAlignment="1">
      <alignment horizontal="center"/>
    </xf>
    <xf numFmtId="166" fontId="3" fillId="0" borderId="12" xfId="3" applyNumberFormat="1" applyFont="1" applyBorder="1" applyAlignment="1">
      <alignment horizontal="center"/>
    </xf>
    <xf numFmtId="166" fontId="3" fillId="0" borderId="68" xfId="3" applyNumberFormat="1" applyFont="1" applyBorder="1" applyAlignment="1">
      <alignment horizontal="center"/>
    </xf>
    <xf numFmtId="166" fontId="3" fillId="0" borderId="8" xfId="3" applyNumberFormat="1" applyFont="1" applyBorder="1" applyAlignment="1">
      <alignment horizontal="center"/>
    </xf>
    <xf numFmtId="166" fontId="3" fillId="0" borderId="67" xfId="3" applyNumberFormat="1" applyFont="1" applyBorder="1" applyAlignment="1">
      <alignment horizontal="center"/>
    </xf>
    <xf numFmtId="166" fontId="3" fillId="0" borderId="69" xfId="3" applyNumberFormat="1" applyFont="1" applyBorder="1" applyAlignment="1">
      <alignment horizontal="center"/>
    </xf>
    <xf numFmtId="164" fontId="3" fillId="0" borderId="68" xfId="3" applyNumberFormat="1" applyFont="1" applyBorder="1" applyAlignment="1">
      <alignment horizontal="center"/>
    </xf>
    <xf numFmtId="2" fontId="3" fillId="0" borderId="67" xfId="3" applyNumberFormat="1" applyFont="1" applyBorder="1" applyAlignment="1">
      <alignment horizontal="center"/>
    </xf>
    <xf numFmtId="2" fontId="3" fillId="0" borderId="12" xfId="3" applyNumberFormat="1" applyFont="1" applyBorder="1" applyAlignment="1">
      <alignment horizontal="center"/>
    </xf>
    <xf numFmtId="2" fontId="3" fillId="0" borderId="58" xfId="3" applyNumberFormat="1" applyFont="1" applyBorder="1" applyAlignment="1">
      <alignment horizontal="center"/>
    </xf>
    <xf numFmtId="0" fontId="3" fillId="0" borderId="0" xfId="3" applyFont="1"/>
    <xf numFmtId="2" fontId="3" fillId="0" borderId="18" xfId="3" applyNumberFormat="1" applyFont="1" applyBorder="1" applyAlignment="1">
      <alignment horizontal="center"/>
    </xf>
    <xf numFmtId="0" fontId="3" fillId="0" borderId="63" xfId="3" applyFont="1" applyBorder="1" applyAlignment="1">
      <alignment horizontal="center"/>
    </xf>
    <xf numFmtId="0" fontId="3" fillId="0" borderId="71" xfId="3" applyFont="1" applyBorder="1" applyAlignment="1">
      <alignment horizontal="center"/>
    </xf>
    <xf numFmtId="164" fontId="3" fillId="0" borderId="67" xfId="3" applyNumberFormat="1" applyFont="1" applyBorder="1" applyAlignment="1">
      <alignment horizontal="center"/>
    </xf>
    <xf numFmtId="0" fontId="3" fillId="9" borderId="80" xfId="0" applyFont="1" applyFill="1" applyBorder="1"/>
    <xf numFmtId="0" fontId="67" fillId="9" borderId="0" xfId="0" applyFont="1" applyFill="1" applyAlignment="1">
      <alignment horizontal="right"/>
    </xf>
    <xf numFmtId="0" fontId="67" fillId="9" borderId="0" xfId="0" applyFont="1" applyFill="1" applyAlignment="1">
      <alignment horizontal="left"/>
    </xf>
    <xf numFmtId="0" fontId="62" fillId="9" borderId="0" xfId="0" applyFont="1" applyFill="1" applyProtection="1">
      <protection locked="0"/>
    </xf>
    <xf numFmtId="0" fontId="67" fillId="9" borderId="42" xfId="0" applyFont="1" applyFill="1" applyBorder="1" applyAlignment="1">
      <alignment horizontal="left"/>
    </xf>
    <xf numFmtId="0" fontId="67" fillId="9" borderId="42" xfId="0" applyFont="1" applyFill="1" applyBorder="1" applyAlignment="1">
      <alignment horizontal="right"/>
    </xf>
    <xf numFmtId="0" fontId="3" fillId="16" borderId="0" xfId="0" applyFont="1" applyFill="1" applyAlignment="1">
      <alignment horizontal="right"/>
    </xf>
    <xf numFmtId="0" fontId="3" fillId="16" borderId="0" xfId="0" applyFont="1" applyFill="1"/>
    <xf numFmtId="0" fontId="2" fillId="16" borderId="80" xfId="0" applyFont="1" applyFill="1" applyBorder="1"/>
    <xf numFmtId="0" fontId="2" fillId="9" borderId="80" xfId="0" applyFont="1" applyFill="1" applyBorder="1"/>
    <xf numFmtId="168" fontId="15" fillId="0" borderId="0" xfId="0" applyNumberFormat="1" applyFont="1"/>
    <xf numFmtId="0" fontId="2" fillId="0" borderId="80" xfId="0" applyFont="1" applyBorder="1"/>
    <xf numFmtId="0" fontId="3" fillId="9" borderId="0" xfId="0" applyFont="1" applyFill="1" applyAlignment="1">
      <alignment horizontal="left" vertical="center"/>
    </xf>
    <xf numFmtId="0" fontId="3" fillId="16" borderId="29" xfId="0" applyFont="1" applyFill="1" applyBorder="1"/>
    <xf numFmtId="0" fontId="3" fillId="19" borderId="45" xfId="0" applyFont="1" applyFill="1" applyBorder="1" applyAlignment="1" applyProtection="1">
      <alignment horizontal="right" vertical="center"/>
      <protection locked="0"/>
    </xf>
    <xf numFmtId="0" fontId="3" fillId="16" borderId="0" xfId="0" applyFont="1" applyFill="1" applyAlignment="1">
      <alignment horizontal="right" vertical="center"/>
    </xf>
    <xf numFmtId="0" fontId="17" fillId="16" borderId="80" xfId="0" applyFont="1" applyFill="1" applyBorder="1"/>
    <xf numFmtId="0" fontId="3" fillId="16" borderId="0" xfId="0" applyFont="1" applyFill="1" applyAlignment="1">
      <alignment vertical="center"/>
    </xf>
    <xf numFmtId="0" fontId="3" fillId="16" borderId="0" xfId="0" applyFont="1" applyFill="1" applyAlignment="1" applyProtection="1">
      <alignment horizontal="right" vertical="center"/>
      <protection locked="0"/>
    </xf>
    <xf numFmtId="0" fontId="3" fillId="4" borderId="56" xfId="0" applyFont="1" applyFill="1" applyBorder="1" applyAlignment="1">
      <alignment horizontal="center"/>
    </xf>
    <xf numFmtId="0" fontId="3" fillId="2" borderId="82" xfId="0" applyFont="1" applyFill="1" applyBorder="1" applyAlignment="1">
      <alignment horizontal="center" vertical="center" wrapText="1"/>
    </xf>
    <xf numFmtId="0" fontId="62" fillId="2" borderId="82" xfId="0" applyFont="1" applyFill="1" applyBorder="1" applyAlignment="1">
      <alignment horizontal="center" vertical="center" wrapText="1"/>
    </xf>
    <xf numFmtId="168" fontId="30" fillId="22" borderId="0" xfId="0" applyNumberFormat="1" applyFont="1" applyFill="1" applyAlignment="1">
      <alignment horizontal="right"/>
    </xf>
    <xf numFmtId="168" fontId="30" fillId="12" borderId="0" xfId="0" applyNumberFormat="1" applyFont="1" applyFill="1"/>
    <xf numFmtId="2" fontId="0" fillId="22" borderId="0" xfId="0" applyNumberFormat="1" applyFill="1" applyAlignment="1">
      <alignment horizontal="right"/>
    </xf>
    <xf numFmtId="2" fontId="0" fillId="0" borderId="0" xfId="0" applyNumberFormat="1" applyAlignment="1">
      <alignment horizontal="right"/>
    </xf>
    <xf numFmtId="168" fontId="30" fillId="0" borderId="0" xfId="0" applyNumberFormat="1" applyFont="1"/>
    <xf numFmtId="2" fontId="62" fillId="0" borderId="0" xfId="0" applyNumberFormat="1" applyFont="1"/>
    <xf numFmtId="2" fontId="2" fillId="9" borderId="31" xfId="0" applyNumberFormat="1" applyFont="1" applyFill="1" applyBorder="1" applyAlignment="1">
      <alignment vertical="center"/>
    </xf>
    <xf numFmtId="0" fontId="3" fillId="4" borderId="83" xfId="0" applyFont="1" applyFill="1" applyBorder="1" applyAlignment="1">
      <alignment horizontal="center"/>
    </xf>
    <xf numFmtId="2" fontId="3" fillId="2" borderId="82" xfId="0" applyNumberFormat="1" applyFont="1" applyFill="1" applyBorder="1" applyAlignment="1">
      <alignment horizontal="center" vertical="center" wrapText="1"/>
    </xf>
    <xf numFmtId="169" fontId="0" fillId="23" borderId="0" xfId="0" applyNumberFormat="1" applyFill="1"/>
    <xf numFmtId="0" fontId="3" fillId="24" borderId="0" xfId="0" applyFont="1" applyFill="1" applyAlignment="1">
      <alignment horizontal="right"/>
    </xf>
    <xf numFmtId="0" fontId="62" fillId="9" borderId="80" xfId="0" applyFont="1" applyFill="1" applyBorder="1" applyAlignment="1" applyProtection="1">
      <alignment horizontal="left"/>
      <protection locked="0"/>
    </xf>
    <xf numFmtId="0" fontId="62" fillId="9" borderId="0" xfId="0" applyFont="1" applyFill="1" applyAlignment="1" applyProtection="1">
      <alignment horizontal="left"/>
      <protection locked="0"/>
    </xf>
    <xf numFmtId="0" fontId="67" fillId="9" borderId="0" xfId="0" applyFont="1" applyFill="1" applyAlignment="1">
      <alignment horizontal="left" vertical="center"/>
    </xf>
    <xf numFmtId="0" fontId="24" fillId="25" borderId="0" xfId="0" applyFont="1" applyFill="1" applyAlignment="1">
      <alignment horizontal="center" vertical="center"/>
    </xf>
    <xf numFmtId="0" fontId="53" fillId="17" borderId="43" xfId="0" applyFont="1" applyFill="1" applyBorder="1" applyAlignment="1">
      <alignment horizontal="left" vertical="center"/>
    </xf>
    <xf numFmtId="0" fontId="53" fillId="17" borderId="41" xfId="0" applyFont="1" applyFill="1" applyBorder="1" applyAlignment="1">
      <alignment horizontal="left" vertical="center"/>
    </xf>
    <xf numFmtId="0" fontId="2" fillId="9" borderId="0" xfId="0" applyFont="1" applyFill="1" applyAlignment="1">
      <alignment horizontal="left" vertical="top"/>
    </xf>
    <xf numFmtId="0" fontId="2" fillId="9" borderId="29" xfId="0" applyFont="1" applyFill="1" applyBorder="1" applyAlignment="1">
      <alignment horizontal="left" vertical="top"/>
    </xf>
    <xf numFmtId="0" fontId="3" fillId="9" borderId="80" xfId="0" applyFont="1" applyFill="1" applyBorder="1" applyAlignment="1">
      <alignment horizontal="left" vertical="center" wrapText="1"/>
    </xf>
    <xf numFmtId="0" fontId="3" fillId="9" borderId="0" xfId="0" applyFont="1" applyFill="1" applyAlignment="1">
      <alignment horizontal="left" vertical="center" wrapText="1"/>
    </xf>
    <xf numFmtId="0" fontId="3" fillId="9" borderId="29" xfId="0" applyFont="1" applyFill="1" applyBorder="1" applyAlignment="1">
      <alignment horizontal="left" vertical="center" wrapText="1"/>
    </xf>
    <xf numFmtId="182" fontId="2" fillId="21" borderId="8" xfId="3" applyNumberFormat="1" applyFill="1" applyBorder="1" applyAlignment="1">
      <alignment horizontal="left" vertical="center"/>
    </xf>
    <xf numFmtId="182" fontId="2" fillId="21" borderId="9" xfId="3" applyNumberFormat="1" applyFill="1" applyBorder="1" applyAlignment="1">
      <alignment horizontal="left" vertical="center"/>
    </xf>
    <xf numFmtId="182" fontId="2" fillId="21" borderId="15" xfId="3" applyNumberFormat="1" applyFill="1" applyBorder="1" applyAlignment="1">
      <alignment horizontal="left" vertical="center"/>
    </xf>
    <xf numFmtId="177" fontId="2" fillId="20" borderId="8" xfId="3" applyNumberFormat="1" applyFill="1" applyBorder="1" applyAlignment="1">
      <alignment horizontal="left" vertical="center"/>
    </xf>
    <xf numFmtId="177" fontId="2" fillId="20" borderId="9" xfId="3" applyNumberFormat="1" applyFill="1" applyBorder="1" applyAlignment="1">
      <alignment horizontal="left" vertical="center"/>
    </xf>
    <xf numFmtId="183" fontId="2" fillId="16" borderId="8" xfId="3" applyNumberFormat="1" applyFill="1" applyBorder="1" applyAlignment="1">
      <alignment horizontal="left" vertical="center"/>
    </xf>
    <xf numFmtId="183" fontId="2" fillId="16" borderId="9" xfId="3" applyNumberFormat="1" applyFill="1" applyBorder="1" applyAlignment="1">
      <alignment horizontal="left" vertical="center"/>
    </xf>
    <xf numFmtId="183" fontId="2" fillId="16" borderId="15" xfId="3" applyNumberFormat="1" applyFill="1" applyBorder="1" applyAlignment="1">
      <alignment horizontal="left" vertical="center"/>
    </xf>
    <xf numFmtId="176" fontId="2" fillId="16" borderId="8" xfId="3" applyNumberFormat="1" applyFill="1" applyBorder="1" applyAlignment="1">
      <alignment horizontal="left" vertical="center"/>
    </xf>
    <xf numFmtId="0" fontId="0" fillId="0" borderId="9" xfId="0" applyBorder="1"/>
    <xf numFmtId="191" fontId="2" fillId="20" borderId="8" xfId="3" applyNumberFormat="1" applyFill="1" applyBorder="1" applyAlignment="1">
      <alignment horizontal="left" vertical="center"/>
    </xf>
    <xf numFmtId="191" fontId="2" fillId="20" borderId="9" xfId="3" applyNumberFormat="1" applyFill="1" applyBorder="1" applyAlignment="1">
      <alignment horizontal="left" vertical="center"/>
    </xf>
    <xf numFmtId="178" fontId="2" fillId="20" borderId="8" xfId="3" applyNumberFormat="1" applyFill="1" applyBorder="1" applyAlignment="1">
      <alignment horizontal="left" vertical="center"/>
    </xf>
    <xf numFmtId="178" fontId="2" fillId="20" borderId="9" xfId="3" applyNumberFormat="1" applyFill="1" applyBorder="1" applyAlignment="1">
      <alignment horizontal="left" vertical="center"/>
    </xf>
    <xf numFmtId="179" fontId="2" fillId="16" borderId="8" xfId="3" applyNumberFormat="1" applyFill="1" applyBorder="1" applyAlignment="1">
      <alignment horizontal="left" vertical="center"/>
    </xf>
    <xf numFmtId="179" fontId="2" fillId="16" borderId="9" xfId="3" applyNumberFormat="1" applyFill="1" applyBorder="1" applyAlignment="1">
      <alignment horizontal="left" vertical="center"/>
    </xf>
    <xf numFmtId="178" fontId="2" fillId="21" borderId="8" xfId="3" applyNumberFormat="1" applyFill="1" applyBorder="1" applyAlignment="1">
      <alignment horizontal="left" vertical="center"/>
    </xf>
    <xf numFmtId="178" fontId="2" fillId="21" borderId="9" xfId="3" applyNumberFormat="1" applyFill="1" applyBorder="1" applyAlignment="1">
      <alignment horizontal="left" vertical="center"/>
    </xf>
    <xf numFmtId="187" fontId="2" fillId="20" borderId="8" xfId="3" applyNumberFormat="1" applyFill="1" applyBorder="1" applyAlignment="1">
      <alignment horizontal="left" vertical="center"/>
    </xf>
    <xf numFmtId="187" fontId="2" fillId="20" borderId="9" xfId="3" applyNumberFormat="1" applyFill="1" applyBorder="1" applyAlignment="1">
      <alignment horizontal="left" vertical="center"/>
    </xf>
    <xf numFmtId="0" fontId="73" fillId="3" borderId="51" xfId="3" applyFont="1" applyFill="1" applyBorder="1" applyAlignment="1">
      <alignment horizontal="left" vertical="center"/>
    </xf>
    <xf numFmtId="0" fontId="73" fillId="3" borderId="52" xfId="3" applyFont="1" applyFill="1" applyBorder="1" applyAlignment="1">
      <alignment horizontal="left" vertical="center"/>
    </xf>
    <xf numFmtId="0" fontId="73" fillId="3" borderId="53" xfId="3" applyFont="1" applyFill="1" applyBorder="1" applyAlignment="1">
      <alignment horizontal="left" vertical="center"/>
    </xf>
    <xf numFmtId="182" fontId="2" fillId="16" borderId="8" xfId="3" applyNumberFormat="1" applyFill="1" applyBorder="1" applyAlignment="1">
      <alignment horizontal="left" vertical="center"/>
    </xf>
    <xf numFmtId="182" fontId="2" fillId="16" borderId="9" xfId="3" applyNumberFormat="1" applyFill="1" applyBorder="1" applyAlignment="1">
      <alignment horizontal="left" vertical="center"/>
    </xf>
    <xf numFmtId="182" fontId="2" fillId="16" borderId="15" xfId="3" applyNumberFormat="1" applyFill="1" applyBorder="1" applyAlignment="1">
      <alignment horizontal="left" vertical="center"/>
    </xf>
    <xf numFmtId="190" fontId="2" fillId="16" borderId="8" xfId="3" applyNumberFormat="1" applyFill="1" applyBorder="1" applyAlignment="1">
      <alignment horizontal="left" vertical="center"/>
    </xf>
    <xf numFmtId="190" fontId="2" fillId="16" borderId="9" xfId="3" applyNumberFormat="1" applyFill="1" applyBorder="1" applyAlignment="1">
      <alignment horizontal="left" vertical="center"/>
    </xf>
    <xf numFmtId="190" fontId="2" fillId="16" borderId="15" xfId="3" applyNumberFormat="1" applyFill="1" applyBorder="1" applyAlignment="1">
      <alignment horizontal="left" vertical="center"/>
    </xf>
    <xf numFmtId="188" fontId="2" fillId="21" borderId="8" xfId="3" applyNumberFormat="1" applyFill="1" applyBorder="1" applyAlignment="1">
      <alignment horizontal="left" vertical="center"/>
    </xf>
    <xf numFmtId="188" fontId="2" fillId="21" borderId="9" xfId="3" applyNumberFormat="1" applyFill="1" applyBorder="1" applyAlignment="1">
      <alignment horizontal="left" vertical="center"/>
    </xf>
    <xf numFmtId="188" fontId="2" fillId="21" borderId="15" xfId="3" applyNumberFormat="1" applyFill="1" applyBorder="1" applyAlignment="1">
      <alignment horizontal="left" vertical="center"/>
    </xf>
    <xf numFmtId="181" fontId="2" fillId="20" borderId="8" xfId="3" applyNumberFormat="1" applyFill="1" applyBorder="1" applyAlignment="1">
      <alignment horizontal="left" vertical="center"/>
    </xf>
    <xf numFmtId="181" fontId="2" fillId="20" borderId="9" xfId="3" applyNumberFormat="1" applyFill="1" applyBorder="1" applyAlignment="1">
      <alignment horizontal="left" vertical="center"/>
    </xf>
    <xf numFmtId="181" fontId="2" fillId="20" borderId="15" xfId="3" applyNumberFormat="1" applyFill="1" applyBorder="1" applyAlignment="1">
      <alignment horizontal="left" vertical="center"/>
    </xf>
    <xf numFmtId="179" fontId="2" fillId="9" borderId="8" xfId="3" applyNumberFormat="1" applyFill="1" applyBorder="1" applyAlignment="1">
      <alignment horizontal="left" vertical="center"/>
    </xf>
    <xf numFmtId="179" fontId="2" fillId="9" borderId="9" xfId="3" applyNumberFormat="1" applyFill="1" applyBorder="1" applyAlignment="1">
      <alignment horizontal="left" vertical="center"/>
    </xf>
    <xf numFmtId="0" fontId="3" fillId="9" borderId="79" xfId="3" applyFont="1" applyFill="1" applyBorder="1" applyAlignment="1">
      <alignment horizontal="center" vertical="center"/>
    </xf>
    <xf numFmtId="0" fontId="3" fillId="9" borderId="67" xfId="3" applyFont="1" applyFill="1" applyBorder="1" applyAlignment="1">
      <alignment horizontal="center" vertical="center"/>
    </xf>
    <xf numFmtId="0" fontId="3" fillId="9" borderId="14" xfId="3" applyFont="1" applyFill="1" applyBorder="1" applyAlignment="1">
      <alignment horizontal="left" vertical="center"/>
    </xf>
    <xf numFmtId="0" fontId="3" fillId="9" borderId="12" xfId="3" applyFont="1" applyFill="1" applyBorder="1" applyAlignment="1">
      <alignment horizontal="left" vertical="center"/>
    </xf>
    <xf numFmtId="0" fontId="3" fillId="9" borderId="78" xfId="3" applyFont="1" applyFill="1" applyBorder="1" applyAlignment="1">
      <alignment horizontal="left" vertical="center"/>
    </xf>
    <xf numFmtId="0" fontId="3" fillId="9" borderId="10" xfId="3" applyFont="1" applyFill="1" applyBorder="1" applyAlignment="1">
      <alignment horizontal="left" vertical="center"/>
    </xf>
    <xf numFmtId="0" fontId="3" fillId="9" borderId="16" xfId="3" applyFont="1" applyFill="1" applyBorder="1" applyAlignment="1">
      <alignment horizontal="left" vertical="center"/>
    </xf>
    <xf numFmtId="0" fontId="3" fillId="9" borderId="69" xfId="3" applyFont="1" applyFill="1" applyBorder="1" applyAlignment="1">
      <alignment horizontal="left" vertical="center"/>
    </xf>
    <xf numFmtId="0" fontId="3" fillId="9" borderId="4" xfId="3" applyFont="1" applyFill="1" applyBorder="1" applyAlignment="1">
      <alignment horizontal="left" vertical="center"/>
    </xf>
    <xf numFmtId="0" fontId="3" fillId="9" borderId="17" xfId="3" applyFont="1" applyFill="1" applyBorder="1" applyAlignment="1">
      <alignment horizontal="left" vertical="center"/>
    </xf>
    <xf numFmtId="0" fontId="62" fillId="9" borderId="14" xfId="3" applyFont="1" applyFill="1" applyBorder="1" applyAlignment="1">
      <alignment horizontal="center" vertical="center"/>
    </xf>
    <xf numFmtId="0" fontId="62" fillId="9" borderId="12" xfId="3" applyFont="1" applyFill="1" applyBorder="1" applyAlignment="1">
      <alignment horizontal="center" vertical="center"/>
    </xf>
    <xf numFmtId="0" fontId="3" fillId="9" borderId="14" xfId="3" applyFont="1" applyFill="1" applyBorder="1" applyAlignment="1">
      <alignment horizontal="left" vertical="center" wrapText="1"/>
    </xf>
    <xf numFmtId="0" fontId="3" fillId="9" borderId="12" xfId="3" applyFont="1" applyFill="1" applyBorder="1" applyAlignment="1">
      <alignment horizontal="left" vertical="center" wrapText="1"/>
    </xf>
    <xf numFmtId="0" fontId="51" fillId="16" borderId="28" xfId="0" applyFont="1" applyFill="1" applyBorder="1" applyAlignment="1">
      <alignment horizontal="left" vertical="center"/>
    </xf>
    <xf numFmtId="0" fontId="51" fillId="16" borderId="0" xfId="0"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79" fillId="4" borderId="74" xfId="3" applyFont="1" applyFill="1" applyBorder="1" applyAlignment="1">
      <alignment horizontal="center" vertical="center"/>
    </xf>
    <xf numFmtId="0" fontId="79" fillId="4" borderId="66" xfId="3" applyFont="1" applyFill="1" applyBorder="1" applyAlignment="1">
      <alignment horizontal="center" vertical="center"/>
    </xf>
    <xf numFmtId="0" fontId="3" fillId="0" borderId="55" xfId="3" applyFont="1" applyBorder="1" applyAlignment="1">
      <alignment horizontal="center"/>
    </xf>
    <xf numFmtId="0" fontId="3" fillId="0" borderId="56" xfId="3" applyFont="1" applyBorder="1" applyAlignment="1">
      <alignment horizontal="center"/>
    </xf>
    <xf numFmtId="0" fontId="2" fillId="0" borderId="56" xfId="3" applyBorder="1" applyAlignment="1">
      <alignment horizontal="center"/>
    </xf>
    <xf numFmtId="0" fontId="2" fillId="0" borderId="57" xfId="3" applyBorder="1" applyAlignment="1">
      <alignment horizontal="center"/>
    </xf>
    <xf numFmtId="0" fontId="79" fillId="4" borderId="74" xfId="3" applyFont="1" applyFill="1" applyBorder="1" applyAlignment="1">
      <alignment horizontal="center" vertical="top" shrinkToFit="1"/>
    </xf>
    <xf numFmtId="0" fontId="2" fillId="4" borderId="73" xfId="3" applyFill="1" applyBorder="1" applyAlignment="1">
      <alignment horizontal="center" vertical="top" shrinkToFit="1"/>
    </xf>
    <xf numFmtId="0" fontId="2" fillId="4" borderId="72" xfId="3" applyFill="1" applyBorder="1" applyAlignment="1">
      <alignment horizontal="center" vertical="top" shrinkToFit="1"/>
    </xf>
    <xf numFmtId="0" fontId="79" fillId="4" borderId="60" xfId="3" applyFont="1" applyFill="1" applyBorder="1" applyAlignment="1">
      <alignment horizontal="center"/>
    </xf>
    <xf numFmtId="0" fontId="79" fillId="4" borderId="62" xfId="3" applyFont="1" applyFill="1" applyBorder="1" applyAlignment="1">
      <alignment horizontal="center"/>
    </xf>
    <xf numFmtId="0" fontId="3" fillId="0" borderId="57" xfId="3" applyFont="1" applyBorder="1" applyAlignment="1">
      <alignment horizontal="center"/>
    </xf>
    <xf numFmtId="0" fontId="3" fillId="0" borderId="64" xfId="3" applyFont="1" applyBorder="1" applyAlignment="1">
      <alignment horizontal="center"/>
    </xf>
    <xf numFmtId="0" fontId="3" fillId="0" borderId="65" xfId="3" applyFont="1" applyBorder="1" applyAlignment="1">
      <alignment horizontal="center"/>
    </xf>
    <xf numFmtId="0" fontId="79" fillId="4" borderId="55" xfId="3" applyFont="1" applyFill="1" applyBorder="1" applyAlignment="1">
      <alignment horizontal="center"/>
    </xf>
    <xf numFmtId="0" fontId="79" fillId="4" borderId="56" xfId="3" applyFont="1" applyFill="1" applyBorder="1" applyAlignment="1">
      <alignment horizontal="center"/>
    </xf>
    <xf numFmtId="0" fontId="79" fillId="4" borderId="57" xfId="3" applyFont="1" applyFill="1" applyBorder="1" applyAlignment="1">
      <alignment horizontal="center"/>
    </xf>
    <xf numFmtId="0" fontId="2" fillId="4" borderId="61" xfId="3" applyFill="1" applyBorder="1" applyAlignment="1">
      <alignment horizontal="center"/>
    </xf>
    <xf numFmtId="0" fontId="2" fillId="4" borderId="62" xfId="3" applyFill="1" applyBorder="1" applyAlignment="1">
      <alignment horizontal="center"/>
    </xf>
    <xf numFmtId="0" fontId="3" fillId="4" borderId="60" xfId="3" applyFont="1" applyFill="1" applyBorder="1"/>
    <xf numFmtId="0" fontId="3" fillId="4" borderId="62" xfId="3" applyFont="1" applyFill="1" applyBorder="1"/>
    <xf numFmtId="0" fontId="3" fillId="0" borderId="18" xfId="3" applyFont="1" applyBorder="1" applyAlignment="1">
      <alignment horizontal="center"/>
    </xf>
    <xf numFmtId="0" fontId="3" fillId="0" borderId="11" xfId="3" applyFont="1" applyBorder="1" applyAlignment="1">
      <alignment horizontal="center"/>
    </xf>
    <xf numFmtId="0" fontId="3" fillId="0" borderId="58" xfId="3" applyFont="1" applyBorder="1" applyAlignment="1">
      <alignment horizontal="center"/>
    </xf>
    <xf numFmtId="0" fontId="3" fillId="4" borderId="55" xfId="0" applyFont="1" applyFill="1" applyBorder="1" applyAlignment="1">
      <alignment horizontal="center"/>
    </xf>
    <xf numFmtId="0" fontId="3" fillId="4" borderId="56" xfId="0" applyFont="1" applyFill="1" applyBorder="1" applyAlignment="1">
      <alignment horizontal="center"/>
    </xf>
    <xf numFmtId="0" fontId="3" fillId="4" borderId="57" xfId="0" applyFont="1" applyFill="1" applyBorder="1" applyAlignment="1">
      <alignment horizontal="center"/>
    </xf>
    <xf numFmtId="0" fontId="13" fillId="3" borderId="0" xfId="0" applyFont="1" applyFill="1" applyAlignment="1">
      <alignment horizontal="left"/>
    </xf>
    <xf numFmtId="0" fontId="3" fillId="0" borderId="0" xfId="0" applyFont="1" applyAlignment="1">
      <alignment horizontal="left" wrapText="1"/>
    </xf>
    <xf numFmtId="169" fontId="3" fillId="4" borderId="55" xfId="0" applyNumberFormat="1" applyFont="1" applyFill="1" applyBorder="1" applyAlignment="1">
      <alignment horizontal="center"/>
    </xf>
    <xf numFmtId="169" fontId="3" fillId="4" borderId="56" xfId="0" applyNumberFormat="1" applyFont="1" applyFill="1" applyBorder="1" applyAlignment="1">
      <alignment horizontal="center"/>
    </xf>
    <xf numFmtId="169" fontId="3" fillId="4" borderId="57" xfId="0" applyNumberFormat="1" applyFont="1" applyFill="1" applyBorder="1" applyAlignment="1">
      <alignment horizontal="center"/>
    </xf>
    <xf numFmtId="0" fontId="3" fillId="24" borderId="0" xfId="0" applyFont="1" applyFill="1" applyAlignment="1">
      <alignment horizontal="center"/>
    </xf>
    <xf numFmtId="0" fontId="3" fillId="4" borderId="47" xfId="0" applyFont="1" applyFill="1" applyBorder="1" applyAlignment="1">
      <alignment horizontal="center"/>
    </xf>
    <xf numFmtId="0" fontId="3" fillId="4" borderId="48" xfId="0" applyFont="1" applyFill="1" applyBorder="1" applyAlignment="1">
      <alignment horizontal="center"/>
    </xf>
    <xf numFmtId="0" fontId="3" fillId="4" borderId="81" xfId="0" applyFont="1" applyFill="1" applyBorder="1" applyAlignment="1">
      <alignment horizontal="center"/>
    </xf>
    <xf numFmtId="0" fontId="3" fillId="4" borderId="20" xfId="0" applyFont="1" applyFill="1" applyBorder="1" applyAlignment="1">
      <alignment horizontal="center"/>
    </xf>
    <xf numFmtId="0" fontId="3" fillId="4" borderId="83" xfId="0" applyFont="1" applyFill="1" applyBorder="1" applyAlignment="1">
      <alignment horizontal="center"/>
    </xf>
  </cellXfs>
  <cellStyles count="6">
    <cellStyle name="Comma" xfId="1" builtinId="3"/>
    <cellStyle name="Comma 2" xfId="5" xr:uid="{00000000-0005-0000-0000-000001000000}"/>
    <cellStyle name="Hyperlink" xfId="2" builtinId="8"/>
    <cellStyle name="Normal" xfId="0" builtinId="0"/>
    <cellStyle name="Normal 2" xfId="3" xr:uid="{00000000-0005-0000-0000-000004000000}"/>
    <cellStyle name="Normal 3" xfId="4" xr:uid="{00000000-0005-0000-0000-000005000000}"/>
  </cellStyles>
  <dxfs count="30">
    <dxf>
      <font>
        <color theme="0"/>
      </font>
      <fill>
        <patternFill>
          <bgColor theme="0"/>
        </patternFill>
      </fill>
    </dxf>
    <dxf>
      <font>
        <color theme="0"/>
      </font>
      <fill>
        <patternFill>
          <bgColor theme="0"/>
        </patternFill>
      </fill>
      <border>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rgb="FFC00000"/>
      </font>
    </dxf>
    <dxf>
      <font>
        <color rgb="FFC00000"/>
      </font>
    </dxf>
    <dxf>
      <font>
        <color theme="0"/>
      </font>
      <fill>
        <patternFill patternType="solid">
          <bgColor theme="0"/>
        </patternFill>
      </fill>
      <border>
        <right/>
        <top/>
        <bottom/>
        <vertical/>
        <horizontal/>
      </border>
    </dxf>
    <dxf>
      <font>
        <color theme="0"/>
      </font>
      <fill>
        <patternFill patternType="solid">
          <bgColor theme="0"/>
        </patternFill>
      </fill>
      <border>
        <right/>
        <bottom/>
        <vertical/>
        <horizontal/>
      </border>
    </dxf>
    <dxf>
      <font>
        <color rgb="FFFF0000"/>
      </font>
    </dxf>
    <dxf>
      <font>
        <color rgb="FFFF0000"/>
      </font>
    </dxf>
    <dxf>
      <font>
        <color rgb="FFFF0000"/>
      </font>
    </dxf>
    <dxf>
      <font>
        <color rgb="FFFF0000"/>
      </font>
    </dxf>
    <dxf>
      <font>
        <b/>
        <i val="0"/>
        <color rgb="FFFF0000"/>
      </font>
    </dxf>
    <dxf>
      <font>
        <b/>
        <i val="0"/>
        <color rgb="FFFF0000"/>
      </font>
    </dxf>
    <dxf>
      <font>
        <color theme="0"/>
      </font>
    </dxf>
    <dxf>
      <font>
        <b/>
        <i val="0"/>
        <color rgb="FFC00000"/>
      </font>
    </dxf>
    <dxf>
      <font>
        <color theme="0"/>
      </font>
      <fill>
        <patternFill>
          <bgColor theme="0"/>
        </patternFill>
      </fill>
    </dxf>
    <dxf>
      <font>
        <b/>
        <i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ndense val="0"/>
        <extend val="0"/>
        <color indexed="10"/>
      </font>
    </dxf>
  </dxfs>
  <tableStyles count="0" defaultTableStyle="TableStyleMedium9" defaultPivotStyle="PivotStyleLight16"/>
  <colors>
    <mruColors>
      <color rgb="FFFF9900"/>
      <color rgb="FF0000FF"/>
      <color rgb="FFC00000"/>
      <color rgb="FF99CC00"/>
      <color rgb="FFCC00FF"/>
      <color rgb="FFC0C0C0"/>
      <color rgb="FFE8FCFE"/>
      <color rgb="FFFFFFCC"/>
      <color rgb="FFCCFF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Bode Plot</a:t>
            </a:r>
          </a:p>
        </c:rich>
      </c:tx>
      <c:layout>
        <c:manualLayout>
          <c:xMode val="edge"/>
          <c:yMode val="edge"/>
          <c:x val="0.38532555879494657"/>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'Stability Calculations'!$Q$12</c:f>
              <c:strCache>
                <c:ptCount val="1"/>
                <c:pt idx="0">
                  <c:v>Gain (dB)</c:v>
                </c:pt>
              </c:strCache>
            </c:strRef>
          </c:tx>
          <c:spPr>
            <a:ln w="2540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Calculations'!$Q$13:$Q$613</c:f>
              <c:numCache>
                <c:formatCode>0.00</c:formatCode>
                <c:ptCount val="601"/>
                <c:pt idx="0">
                  <c:v>79.058569084588839</c:v>
                </c:pt>
                <c:pt idx="1">
                  <c:v>78.27210454154806</c:v>
                </c:pt>
                <c:pt idx="2">
                  <c:v>77.483453739634996</c:v>
                </c:pt>
                <c:pt idx="3">
                  <c:v>76.69295774439189</c:v>
                </c:pt>
                <c:pt idx="4">
                  <c:v>75.901421169291183</c:v>
                </c:pt>
                <c:pt idx="5">
                  <c:v>75.107766491172725</c:v>
                </c:pt>
                <c:pt idx="6">
                  <c:v>74.313320940246101</c:v>
                </c:pt>
                <c:pt idx="7">
                  <c:v>73.517729826252179</c:v>
                </c:pt>
                <c:pt idx="8">
                  <c:v>72.721714398054118</c:v>
                </c:pt>
                <c:pt idx="9">
                  <c:v>71.924790194710994</c:v>
                </c:pt>
                <c:pt idx="10">
                  <c:v>71.127514090212912</c:v>
                </c:pt>
                <c:pt idx="11">
                  <c:v>70.32985534144531</c:v>
                </c:pt>
                <c:pt idx="12">
                  <c:v>69.531460743975984</c:v>
                </c:pt>
                <c:pt idx="13">
                  <c:v>68.733155012020376</c:v>
                </c:pt>
                <c:pt idx="14">
                  <c:v>67.934349214166389</c:v>
                </c:pt>
                <c:pt idx="15">
                  <c:v>67.135390773917848</c:v>
                </c:pt>
                <c:pt idx="16">
                  <c:v>66.336248862493377</c:v>
                </c:pt>
                <c:pt idx="17">
                  <c:v>65.537065010396475</c:v>
                </c:pt>
                <c:pt idx="18">
                  <c:v>64.737630132641854</c:v>
                </c:pt>
                <c:pt idx="19">
                  <c:v>63.938177837751631</c:v>
                </c:pt>
                <c:pt idx="20">
                  <c:v>63.138563940327337</c:v>
                </c:pt>
                <c:pt idx="21">
                  <c:v>62.338963737648214</c:v>
                </c:pt>
                <c:pt idx="22">
                  <c:v>61.539216177111548</c:v>
                </c:pt>
                <c:pt idx="23">
                  <c:v>60.739526931969017</c:v>
                </c:pt>
                <c:pt idx="24">
                  <c:v>59.939698711064793</c:v>
                </c:pt>
                <c:pt idx="25">
                  <c:v>59.139860312493433</c:v>
                </c:pt>
                <c:pt idx="26">
                  <c:v>58.339829417753251</c:v>
                </c:pt>
                <c:pt idx="27">
                  <c:v>57.53986402701338</c:v>
                </c:pt>
                <c:pt idx="28">
                  <c:v>56.739935817798575</c:v>
                </c:pt>
                <c:pt idx="29">
                  <c:v>55.940544154607963</c:v>
                </c:pt>
                <c:pt idx="30">
                  <c:v>55.140339575059237</c:v>
                </c:pt>
                <c:pt idx="31">
                  <c:v>54.340442491780642</c:v>
                </c:pt>
                <c:pt idx="32">
                  <c:v>53.54031263486057</c:v>
                </c:pt>
                <c:pt idx="33">
                  <c:v>52.740522618478536</c:v>
                </c:pt>
                <c:pt idx="34">
                  <c:v>51.940458362203884</c:v>
                </c:pt>
                <c:pt idx="35">
                  <c:v>51.140573101807796</c:v>
                </c:pt>
                <c:pt idx="36">
                  <c:v>50.340747599939284</c:v>
                </c:pt>
                <c:pt idx="37">
                  <c:v>49.540554603927227</c:v>
                </c:pt>
                <c:pt idx="38">
                  <c:v>48.740759792824008</c:v>
                </c:pt>
                <c:pt idx="39">
                  <c:v>47.94072256574794</c:v>
                </c:pt>
                <c:pt idx="40">
                  <c:v>47.140749212017326</c:v>
                </c:pt>
                <c:pt idx="41">
                  <c:v>46.340774401636871</c:v>
                </c:pt>
                <c:pt idx="42">
                  <c:v>45.540911510334951</c:v>
                </c:pt>
                <c:pt idx="43">
                  <c:v>44.740928220353588</c:v>
                </c:pt>
                <c:pt idx="44">
                  <c:v>43.941039685576371</c:v>
                </c:pt>
                <c:pt idx="45">
                  <c:v>43.141086817291026</c:v>
                </c:pt>
                <c:pt idx="46">
                  <c:v>42.341233468694448</c:v>
                </c:pt>
                <c:pt idx="47">
                  <c:v>41.541309932666309</c:v>
                </c:pt>
                <c:pt idx="48">
                  <c:v>40.741515945040931</c:v>
                </c:pt>
                <c:pt idx="49">
                  <c:v>39.941650627090922</c:v>
                </c:pt>
                <c:pt idx="50">
                  <c:v>39.141841531431517</c:v>
                </c:pt>
                <c:pt idx="51">
                  <c:v>38.341907360043919</c:v>
                </c:pt>
                <c:pt idx="52">
                  <c:v>37.542109378922902</c:v>
                </c:pt>
                <c:pt idx="53">
                  <c:v>36.742424941144506</c:v>
                </c:pt>
                <c:pt idx="54">
                  <c:v>35.94336144316204</c:v>
                </c:pt>
                <c:pt idx="55">
                  <c:v>35.143581170515461</c:v>
                </c:pt>
                <c:pt idx="56">
                  <c:v>34.344218430597081</c:v>
                </c:pt>
                <c:pt idx="57">
                  <c:v>33.54475144147257</c:v>
                </c:pt>
                <c:pt idx="58">
                  <c:v>32.745774792464523</c:v>
                </c:pt>
                <c:pt idx="59">
                  <c:v>31.946702594698234</c:v>
                </c:pt>
                <c:pt idx="60">
                  <c:v>31.14802115752784</c:v>
                </c:pt>
                <c:pt idx="61">
                  <c:v>30.349652072042286</c:v>
                </c:pt>
                <c:pt idx="62">
                  <c:v>29.551218294513298</c:v>
                </c:pt>
                <c:pt idx="63">
                  <c:v>28.753543203562995</c:v>
                </c:pt>
                <c:pt idx="64">
                  <c:v>27.956059317675141</c:v>
                </c:pt>
                <c:pt idx="65">
                  <c:v>27.159158075397293</c:v>
                </c:pt>
                <c:pt idx="66">
                  <c:v>26.362877585208881</c:v>
                </c:pt>
                <c:pt idx="67">
                  <c:v>25.567454386283433</c:v>
                </c:pt>
                <c:pt idx="68">
                  <c:v>24.772805860591323</c:v>
                </c:pt>
                <c:pt idx="69">
                  <c:v>23.979323395250791</c:v>
                </c:pt>
                <c:pt idx="70">
                  <c:v>23.187061534542387</c:v>
                </c:pt>
                <c:pt idx="71">
                  <c:v>22.396436105238642</c:v>
                </c:pt>
                <c:pt idx="72">
                  <c:v>21.607581758988573</c:v>
                </c:pt>
                <c:pt idx="73">
                  <c:v>20.82105526165677</c:v>
                </c:pt>
                <c:pt idx="74">
                  <c:v>20.03708653828393</c:v>
                </c:pt>
                <c:pt idx="75">
                  <c:v>19.256307525095082</c:v>
                </c:pt>
                <c:pt idx="76">
                  <c:v>18.479140743120844</c:v>
                </c:pt>
                <c:pt idx="77">
                  <c:v>17.706545320147828</c:v>
                </c:pt>
                <c:pt idx="78">
                  <c:v>16.939324244521199</c:v>
                </c:pt>
                <c:pt idx="79">
                  <c:v>16.178920498851699</c:v>
                </c:pt>
                <c:pt idx="80">
                  <c:v>15.425180877580901</c:v>
                </c:pt>
                <c:pt idx="81">
                  <c:v>14.680466412823298</c:v>
                </c:pt>
                <c:pt idx="82">
                  <c:v>13.945756987697619</c:v>
                </c:pt>
                <c:pt idx="83">
                  <c:v>13.223252931950938</c:v>
                </c:pt>
                <c:pt idx="84">
                  <c:v>12.514270814532907</c:v>
                </c:pt>
                <c:pt idx="85">
                  <c:v>11.821274797464529</c:v>
                </c:pt>
                <c:pt idx="86">
                  <c:v>11.146381095176528</c:v>
                </c:pt>
                <c:pt idx="87">
                  <c:v>10.491597774721349</c:v>
                </c:pt>
                <c:pt idx="88">
                  <c:v>9.8599808355958132</c:v>
                </c:pt>
                <c:pt idx="89">
                  <c:v>9.2534462484741926</c:v>
                </c:pt>
                <c:pt idx="90">
                  <c:v>8.674563907883627</c:v>
                </c:pt>
                <c:pt idx="91">
                  <c:v>8.1254008930490027</c:v>
                </c:pt>
                <c:pt idx="92">
                  <c:v>7.6078122668009476</c:v>
                </c:pt>
                <c:pt idx="93">
                  <c:v>7.1229766431216435</c:v>
                </c:pt>
                <c:pt idx="94">
                  <c:v>7.0070491828136312</c:v>
                </c:pt>
                <c:pt idx="95">
                  <c:v>6.9495231625262495</c:v>
                </c:pt>
                <c:pt idx="96">
                  <c:v>6.8931804858909471</c:v>
                </c:pt>
                <c:pt idx="97">
                  <c:v>6.8367227401114192</c:v>
                </c:pt>
                <c:pt idx="98">
                  <c:v>6.7814363876123176</c:v>
                </c:pt>
                <c:pt idx="99">
                  <c:v>6.7260333112183002</c:v>
                </c:pt>
                <c:pt idx="100">
                  <c:v>6.6717895814302732</c:v>
                </c:pt>
                <c:pt idx="101">
                  <c:v>6.6174692248759186</c:v>
                </c:pt>
                <c:pt idx="102">
                  <c:v>6.5642942911557274</c:v>
                </c:pt>
                <c:pt idx="103">
                  <c:v>6.5110023557751067</c:v>
                </c:pt>
                <c:pt idx="104">
                  <c:v>6.4588434340758125</c:v>
                </c:pt>
                <c:pt idx="105">
                  <c:v>6.4066069714727387</c:v>
                </c:pt>
                <c:pt idx="106">
                  <c:v>6.3554891868685992</c:v>
                </c:pt>
                <c:pt idx="107">
                  <c:v>6.304329612329143</c:v>
                </c:pt>
                <c:pt idx="108">
                  <c:v>6.2542726024576867</c:v>
                </c:pt>
                <c:pt idx="109">
                  <c:v>6.2041722650140603</c:v>
                </c:pt>
                <c:pt idx="110">
                  <c:v>6.1551582072011666</c:v>
                </c:pt>
                <c:pt idx="111">
                  <c:v>6.106067945143117</c:v>
                </c:pt>
                <c:pt idx="112">
                  <c:v>6.058048846921869</c:v>
                </c:pt>
                <c:pt idx="113">
                  <c:v>6.0099873716063144</c:v>
                </c:pt>
                <c:pt idx="114">
                  <c:v>5.9629801605465271</c:v>
                </c:pt>
                <c:pt idx="115">
                  <c:v>5.9159312553705048</c:v>
                </c:pt>
                <c:pt idx="116">
                  <c:v>5.8699193895383832</c:v>
                </c:pt>
                <c:pt idx="117">
                  <c:v>5.8238669410115147</c:v>
                </c:pt>
                <c:pt idx="118">
                  <c:v>5.7788339463720382</c:v>
                </c:pt>
                <c:pt idx="119">
                  <c:v>5.7337887715867435</c:v>
                </c:pt>
                <c:pt idx="120">
                  <c:v>5.689743883481845</c:v>
                </c:pt>
                <c:pt idx="121">
                  <c:v>5.6456859883362736</c:v>
                </c:pt>
                <c:pt idx="122">
                  <c:v>5.6026089426569916</c:v>
                </c:pt>
                <c:pt idx="123">
                  <c:v>5.559493560836585</c:v>
                </c:pt>
                <c:pt idx="124">
                  <c:v>5.5173403977634772</c:v>
                </c:pt>
                <c:pt idx="125">
                  <c:v>5.4751740803796869</c:v>
                </c:pt>
                <c:pt idx="126">
                  <c:v>5.4339498708370648</c:v>
                </c:pt>
                <c:pt idx="127">
                  <c:v>5.3927118264283074</c:v>
                </c:pt>
                <c:pt idx="128">
                  <c:v>5.3523954754524716</c:v>
                </c:pt>
                <c:pt idx="129">
                  <c:v>5.3120644739162124</c:v>
                </c:pt>
                <c:pt idx="130">
                  <c:v>5.2726344482421803</c:v>
                </c:pt>
                <c:pt idx="131">
                  <c:v>5.2331887365034699</c:v>
                </c:pt>
                <c:pt idx="132">
                  <c:v>5.2137977814498893</c:v>
                </c:pt>
                <c:pt idx="133">
                  <c:v>5.1946229858141688</c:v>
                </c:pt>
                <c:pt idx="134">
                  <c:v>5.1752123984323219</c:v>
                </c:pt>
                <c:pt idx="135">
                  <c:v>5.1560205247288486</c:v>
                </c:pt>
                <c:pt idx="136">
                  <c:v>5.1370435145280346</c:v>
                </c:pt>
                <c:pt idx="137">
                  <c:v>5.1182775948507677</c:v>
                </c:pt>
                <c:pt idx="138">
                  <c:v>5.0993000979815353</c:v>
                </c:pt>
                <c:pt idx="139">
                  <c:v>5.0805356430740005</c:v>
                </c:pt>
                <c:pt idx="140">
                  <c:v>5.0619804334524598</c:v>
                </c:pt>
                <c:pt idx="141">
                  <c:v>5.0436307493763453</c:v>
                </c:pt>
                <c:pt idx="142">
                  <c:v>5.0250550207918572</c:v>
                </c:pt>
                <c:pt idx="143">
                  <c:v>5.0066870312074307</c:v>
                </c:pt>
                <c:pt idx="144">
                  <c:v>4.9885230290017066</c:v>
                </c:pt>
                <c:pt idx="145">
                  <c:v>4.9705593394565755</c:v>
                </c:pt>
                <c:pt idx="146">
                  <c:v>4.9523831093771964</c:v>
                </c:pt>
                <c:pt idx="147">
                  <c:v>4.9344090354369792</c:v>
                </c:pt>
                <c:pt idx="148">
                  <c:v>4.9166334199914941</c:v>
                </c:pt>
                <c:pt idx="149">
                  <c:v>4.8990526420256932</c:v>
                </c:pt>
                <c:pt idx="150">
                  <c:v>4.8812633210379071</c:v>
                </c:pt>
                <c:pt idx="151">
                  <c:v>4.8636705209643925</c:v>
                </c:pt>
                <c:pt idx="152">
                  <c:v>4.8462706011679613</c:v>
                </c:pt>
                <c:pt idx="153">
                  <c:v>4.8290599972793782</c:v>
                </c:pt>
                <c:pt idx="154">
                  <c:v>4.8116366585661252</c:v>
                </c:pt>
                <c:pt idx="155">
                  <c:v>4.7944043345896601</c:v>
                </c:pt>
                <c:pt idx="156">
                  <c:v>4.7773594397864541</c:v>
                </c:pt>
                <c:pt idx="157">
                  <c:v>4.7604984645479922</c:v>
                </c:pt>
                <c:pt idx="158">
                  <c:v>4.7434288040046235</c:v>
                </c:pt>
                <c:pt idx="159">
                  <c:v>4.7265445906065287</c:v>
                </c:pt>
                <c:pt idx="160">
                  <c:v>4.7098422972496845</c:v>
                </c:pt>
                <c:pt idx="161">
                  <c:v>4.6933184723703931</c:v>
                </c:pt>
                <c:pt idx="162">
                  <c:v>4.6765970294543289</c:v>
                </c:pt>
                <c:pt idx="163">
                  <c:v>4.6600552583892982</c:v>
                </c:pt>
                <c:pt idx="164">
                  <c:v>4.6436896982919187</c:v>
                </c:pt>
                <c:pt idx="165">
                  <c:v>4.6274969631724066</c:v>
                </c:pt>
                <c:pt idx="166">
                  <c:v>4.6110956076698164</c:v>
                </c:pt>
                <c:pt idx="167">
                  <c:v>4.59486842651184</c:v>
                </c:pt>
                <c:pt idx="168">
                  <c:v>4.5788120189656212</c:v>
                </c:pt>
                <c:pt idx="169">
                  <c:v>4.5629230587073462</c:v>
                </c:pt>
                <c:pt idx="170">
                  <c:v>4.5468626265330663</c:v>
                </c:pt>
                <c:pt idx="171">
                  <c:v>4.5309701191370291</c:v>
                </c:pt>
                <c:pt idx="172">
                  <c:v>4.5152422200556481</c:v>
                </c:pt>
                <c:pt idx="173">
                  <c:v>4.4996756860298381</c:v>
                </c:pt>
                <c:pt idx="174">
                  <c:v>4.4838809166943907</c:v>
                </c:pt>
                <c:pt idx="175">
                  <c:v>4.46824907552916</c:v>
                </c:pt>
                <c:pt idx="176">
                  <c:v>4.4527768954741633</c:v>
                </c:pt>
                <c:pt idx="177">
                  <c:v>4.4374611824768673</c:v>
                </c:pt>
                <c:pt idx="178">
                  <c:v>4.4219278741451689</c:v>
                </c:pt>
                <c:pt idx="179">
                  <c:v>4.406552261026361</c:v>
                </c:pt>
                <c:pt idx="180">
                  <c:v>4.3913311340940044</c:v>
                </c:pt>
                <c:pt idx="181">
                  <c:v>4.3762613568703221</c:v>
                </c:pt>
                <c:pt idx="182">
                  <c:v>4.3610429254993885</c:v>
                </c:pt>
                <c:pt idx="183">
                  <c:v>4.3459755893307701</c:v>
                </c:pt>
                <c:pt idx="184">
                  <c:v>4.3310562413600149</c:v>
                </c:pt>
                <c:pt idx="185">
                  <c:v>4.3162818453272429</c:v>
                </c:pt>
                <c:pt idx="186">
                  <c:v>4.3012497343637355</c:v>
                </c:pt>
                <c:pt idx="187">
                  <c:v>4.2863643658765236</c:v>
                </c:pt>
                <c:pt idx="188">
                  <c:v>4.2716226680492948</c:v>
                </c:pt>
                <c:pt idx="189">
                  <c:v>4.2570216400137761</c:v>
                </c:pt>
                <c:pt idx="190">
                  <c:v>4.242283653532251</c:v>
                </c:pt>
                <c:pt idx="191">
                  <c:v>4.2276856816628952</c:v>
                </c:pt>
                <c:pt idx="192">
                  <c:v>4.2132247640946217</c:v>
                </c:pt>
                <c:pt idx="193">
                  <c:v>4.1988980093102359</c:v>
                </c:pt>
                <c:pt idx="194">
                  <c:v>4.1843321698872025</c:v>
                </c:pt>
                <c:pt idx="195">
                  <c:v>4.1699016647805855</c:v>
                </c:pt>
                <c:pt idx="196">
                  <c:v>4.1556035832341447</c:v>
                </c:pt>
                <c:pt idx="197">
                  <c:v>4.1414350830204931</c:v>
                </c:pt>
                <c:pt idx="198">
                  <c:v>4.1270873044887662</c:v>
                </c:pt>
                <c:pt idx="199">
                  <c:v>4.112869054522502</c:v>
                </c:pt>
                <c:pt idx="200">
                  <c:v>4.0987775101857951</c:v>
                </c:pt>
                <c:pt idx="201">
                  <c:v>4.0848099155942919</c:v>
                </c:pt>
                <c:pt idx="202">
                  <c:v>4.0706681804889762</c:v>
                </c:pt>
                <c:pt idx="203">
                  <c:v>4.0566501582941479</c:v>
                </c:pt>
                <c:pt idx="204">
                  <c:v>4.0427531173210687</c:v>
                </c:pt>
                <c:pt idx="205">
                  <c:v>4.0289743913144358</c:v>
                </c:pt>
                <c:pt idx="206">
                  <c:v>4.0149783973608564</c:v>
                </c:pt>
                <c:pt idx="207">
                  <c:v>4.0011011186224419</c:v>
                </c:pt>
                <c:pt idx="208">
                  <c:v>3.9873398904821795</c:v>
                </c:pt>
                <c:pt idx="209">
                  <c:v>3.9736921128831071</c:v>
                </c:pt>
                <c:pt idx="210">
                  <c:v>3.9597871732636887</c:v>
                </c:pt>
                <c:pt idx="211">
                  <c:v>3.9459966029159683</c:v>
                </c:pt>
                <c:pt idx="212">
                  <c:v>3.9323177843024433</c:v>
                </c:pt>
                <c:pt idx="213">
                  <c:v>3.9187481642112667</c:v>
                </c:pt>
                <c:pt idx="214">
                  <c:v>3.9050179562854037</c:v>
                </c:pt>
                <c:pt idx="215">
                  <c:v>3.8913961755445987</c:v>
                </c:pt>
                <c:pt idx="216">
                  <c:v>3.8778803085580131</c:v>
                </c:pt>
                <c:pt idx="217">
                  <c:v>3.8644679041072667</c:v>
                </c:pt>
                <c:pt idx="218">
                  <c:v>3.8508542158467374</c:v>
                </c:pt>
                <c:pt idx="219">
                  <c:v>3.8373437669218324</c:v>
                </c:pt>
                <c:pt idx="220">
                  <c:v>3.8239341254994867</c:v>
                </c:pt>
                <c:pt idx="221">
                  <c:v>3.8106229205517272</c:v>
                </c:pt>
                <c:pt idx="222">
                  <c:v>3.7971143143693133</c:v>
                </c:pt>
                <c:pt idx="223">
                  <c:v>3.7837037585911464</c:v>
                </c:pt>
                <c:pt idx="224">
                  <c:v>3.7703889062455835</c:v>
                </c:pt>
                <c:pt idx="225">
                  <c:v>3.7571674696233908</c:v>
                </c:pt>
                <c:pt idx="226">
                  <c:v>3.7437111306712567</c:v>
                </c:pt>
                <c:pt idx="227">
                  <c:v>3.7303482392534115</c:v>
                </c:pt>
                <c:pt idx="228">
                  <c:v>3.7170765153429093</c:v>
                </c:pt>
                <c:pt idx="229">
                  <c:v>3.7038937372135043</c:v>
                </c:pt>
                <c:pt idx="230">
                  <c:v>3.6771557662939127</c:v>
                </c:pt>
                <c:pt idx="231">
                  <c:v>3.6639177509828724</c:v>
                </c:pt>
                <c:pt idx="232">
                  <c:v>3.6507641620204021</c:v>
                </c:pt>
                <c:pt idx="233">
                  <c:v>3.6373835905570107</c:v>
                </c:pt>
                <c:pt idx="234">
                  <c:v>3.6240871156854286</c:v>
                </c:pt>
                <c:pt idx="235">
                  <c:v>3.6108726051689293</c:v>
                </c:pt>
                <c:pt idx="236">
                  <c:v>3.5977379826314437</c:v>
                </c:pt>
                <c:pt idx="237">
                  <c:v>3.5844170984003787</c:v>
                </c:pt>
                <c:pt idx="238">
                  <c:v>3.5711751808261907</c:v>
                </c:pt>
                <c:pt idx="239">
                  <c:v>3.5580101941287912</c:v>
                </c:pt>
                <c:pt idx="240">
                  <c:v>3.5449201563480703</c:v>
                </c:pt>
                <c:pt idx="241">
                  <c:v>3.531571256898359</c:v>
                </c:pt>
                <c:pt idx="242">
                  <c:v>3.5182971324605852</c:v>
                </c:pt>
                <c:pt idx="243">
                  <c:v>3.5050958114177924</c:v>
                </c:pt>
                <c:pt idx="244">
                  <c:v>3.4919653750440514</c:v>
                </c:pt>
                <c:pt idx="245">
                  <c:v>3.4786152739416649</c:v>
                </c:pt>
                <c:pt idx="246">
                  <c:v>3.4653353426608504</c:v>
                </c:pt>
                <c:pt idx="247">
                  <c:v>3.4521236935119308</c:v>
                </c:pt>
                <c:pt idx="248">
                  <c:v>3.4389784900477354</c:v>
                </c:pt>
                <c:pt idx="249">
                  <c:v>3.4255797008890259</c:v>
                </c:pt>
                <c:pt idx="250">
                  <c:v>3.4122468953191825</c:v>
                </c:pt>
                <c:pt idx="251">
                  <c:v>3.3989782567579985</c:v>
                </c:pt>
                <c:pt idx="252">
                  <c:v>3.3857720186612634</c:v>
                </c:pt>
                <c:pt idx="253">
                  <c:v>3.3723488937046415</c:v>
                </c:pt>
                <c:pt idx="254">
                  <c:v>3.3589872684351354</c:v>
                </c:pt>
                <c:pt idx="255">
                  <c:v>3.3456854138358763</c:v>
                </c:pt>
                <c:pt idx="256">
                  <c:v>3.3324416490954563</c:v>
                </c:pt>
                <c:pt idx="257">
                  <c:v>3.3189134359266363</c:v>
                </c:pt>
                <c:pt idx="258">
                  <c:v>3.3054429270960055</c:v>
                </c:pt>
                <c:pt idx="259">
                  <c:v>3.292028456595931</c:v>
                </c:pt>
                <c:pt idx="260">
                  <c:v>3.2786684056855342</c:v>
                </c:pt>
                <c:pt idx="261">
                  <c:v>3.2650593671259753</c:v>
                </c:pt>
                <c:pt idx="262">
                  <c:v>3.2515039703511213</c:v>
                </c:pt>
                <c:pt idx="263">
                  <c:v>3.2380006280195635</c:v>
                </c:pt>
                <c:pt idx="264">
                  <c:v>3.2245477985168285</c:v>
                </c:pt>
                <c:pt idx="265">
                  <c:v>3.2108466675428593</c:v>
                </c:pt>
                <c:pt idx="266">
                  <c:v>3.1971952020636838</c:v>
                </c:pt>
                <c:pt idx="267">
                  <c:v>3.1835918946847999</c:v>
                </c:pt>
                <c:pt idx="268">
                  <c:v>3.1700352821244766</c:v>
                </c:pt>
                <c:pt idx="269">
                  <c:v>3.156198131446093</c:v>
                </c:pt>
                <c:pt idx="270">
                  <c:v>3.1424069879328926</c:v>
                </c:pt>
                <c:pt idx="271">
                  <c:v>3.1286604148943962</c:v>
                </c:pt>
                <c:pt idx="272">
                  <c:v>3.1149570184772508</c:v>
                </c:pt>
                <c:pt idx="273">
                  <c:v>3.100973733537792</c:v>
                </c:pt>
                <c:pt idx="274">
                  <c:v>3.0870328625179964</c:v>
                </c:pt>
                <c:pt idx="275">
                  <c:v>3.0731330415707685</c:v>
                </c:pt>
                <c:pt idx="276">
                  <c:v>3.0592729483101166</c:v>
                </c:pt>
                <c:pt idx="277">
                  <c:v>3.0451650744556651</c:v>
                </c:pt>
                <c:pt idx="278">
                  <c:v>3.0310959354336466</c:v>
                </c:pt>
                <c:pt idx="279">
                  <c:v>3.0170642503468463</c:v>
                </c:pt>
                <c:pt idx="280">
                  <c:v>3.0030687779462379</c:v>
                </c:pt>
                <c:pt idx="281">
                  <c:v>2.9887306298568901</c:v>
                </c:pt>
                <c:pt idx="282">
                  <c:v>2.9744281517684028</c:v>
                </c:pt>
                <c:pt idx="283">
                  <c:v>2.9601601213641255</c:v>
                </c:pt>
                <c:pt idx="284">
                  <c:v>2.9459253551479985</c:v>
                </c:pt>
                <c:pt idx="285">
                  <c:v>2.9314420920621109</c:v>
                </c:pt>
                <c:pt idx="286">
                  <c:v>2.9169910542904418</c:v>
                </c:pt>
                <c:pt idx="287">
                  <c:v>2.9025711036696231</c:v>
                </c:pt>
                <c:pt idx="288">
                  <c:v>2.8881811389321066</c:v>
                </c:pt>
                <c:pt idx="289">
                  <c:v>2.8734490625433096</c:v>
                </c:pt>
                <c:pt idx="290">
                  <c:v>2.8587463093081689</c:v>
                </c:pt>
                <c:pt idx="291">
                  <c:v>2.8440718037268882</c:v>
                </c:pt>
                <c:pt idx="292">
                  <c:v>2.8294245061669487</c:v>
                </c:pt>
                <c:pt idx="293">
                  <c:v>2.8144658312281678</c:v>
                </c:pt>
                <c:pt idx="294">
                  <c:v>2.7995335447569984</c:v>
                </c:pt>
                <c:pt idx="295">
                  <c:v>2.7846266425282491</c:v>
                </c:pt>
                <c:pt idx="296">
                  <c:v>2.7697441547593376</c:v>
                </c:pt>
                <c:pt idx="297">
                  <c:v>2.754549784578515</c:v>
                </c:pt>
                <c:pt idx="298">
                  <c:v>2.7393789985979824</c:v>
                </c:pt>
                <c:pt idx="299">
                  <c:v>2.724230864391159</c:v>
                </c:pt>
                <c:pt idx="300">
                  <c:v>2.7091044824920369</c:v>
                </c:pt>
                <c:pt idx="301">
                  <c:v>2.6936655590765914</c:v>
                </c:pt>
                <c:pt idx="302">
                  <c:v>2.6782475602145479</c:v>
                </c:pt>
                <c:pt idx="303">
                  <c:v>2.6628496253340463</c:v>
                </c:pt>
                <c:pt idx="304">
                  <c:v>2.6474709252976818</c:v>
                </c:pt>
                <c:pt idx="305">
                  <c:v>2.6317185905698053</c:v>
                </c:pt>
                <c:pt idx="306">
                  <c:v>2.6159848163748602</c:v>
                </c:pt>
                <c:pt idx="307">
                  <c:v>2.6002688046602458</c:v>
                </c:pt>
                <c:pt idx="308">
                  <c:v>2.5845697877042668</c:v>
                </c:pt>
                <c:pt idx="309">
                  <c:v>2.5685567171579429</c:v>
                </c:pt>
                <c:pt idx="310">
                  <c:v>2.5525598397750509</c:v>
                </c:pt>
                <c:pt idx="311">
                  <c:v>2.5365784296429728</c:v>
                </c:pt>
                <c:pt idx="312">
                  <c:v>2.5206117895533287</c:v>
                </c:pt>
                <c:pt idx="313">
                  <c:v>2.5042703343697865</c:v>
                </c:pt>
                <c:pt idx="314">
                  <c:v>2.4879429855214497</c:v>
                </c:pt>
                <c:pt idx="315">
                  <c:v>2.4716290809068679</c:v>
                </c:pt>
                <c:pt idx="316">
                  <c:v>2.4553279858879029</c:v>
                </c:pt>
                <c:pt idx="317">
                  <c:v>2.4386514054089488</c:v>
                </c:pt>
                <c:pt idx="318">
                  <c:v>2.4219869896038513</c:v>
                </c:pt>
                <c:pt idx="319">
                  <c:v>2.4053341407482263</c:v>
                </c:pt>
                <c:pt idx="320">
                  <c:v>2.3886922872694853</c:v>
                </c:pt>
                <c:pt idx="321">
                  <c:v>2.3716742260631292</c:v>
                </c:pt>
                <c:pt idx="322">
                  <c:v>2.3546665466433399</c:v>
                </c:pt>
                <c:pt idx="323">
                  <c:v>2.3376687157265312</c:v>
                </c:pt>
                <c:pt idx="324">
                  <c:v>2.3206802248121186</c:v>
                </c:pt>
                <c:pt idx="325">
                  <c:v>2.3033147877367082</c:v>
                </c:pt>
                <c:pt idx="326">
                  <c:v>2.2859581197264065</c:v>
                </c:pt>
                <c:pt idx="327">
                  <c:v>2.2686097515357737</c:v>
                </c:pt>
                <c:pt idx="328">
                  <c:v>2.251269237288605</c:v>
                </c:pt>
                <c:pt idx="329">
                  <c:v>2.2335214324545336</c:v>
                </c:pt>
                <c:pt idx="330">
                  <c:v>2.2157809872387757</c:v>
                </c:pt>
                <c:pt idx="331">
                  <c:v>2.1980474936167962</c:v>
                </c:pt>
                <c:pt idx="332">
                  <c:v>2.180320565630578</c:v>
                </c:pt>
                <c:pt idx="333">
                  <c:v>2.1622153146261649</c:v>
                </c:pt>
                <c:pt idx="334">
                  <c:v>2.1441161697161388</c:v>
                </c:pt>
                <c:pt idx="335">
                  <c:v>2.126022785335719</c:v>
                </c:pt>
                <c:pt idx="336">
                  <c:v>2.1079348364994903</c:v>
                </c:pt>
                <c:pt idx="337">
                  <c:v>2.0894088736200676</c:v>
                </c:pt>
                <c:pt idx="338">
                  <c:v>2.0708879882300453</c:v>
                </c:pt>
                <c:pt idx="339">
                  <c:v>2.0523718929455677</c:v>
                </c:pt>
                <c:pt idx="340">
                  <c:v>2.0338603197044143</c:v>
                </c:pt>
                <c:pt idx="341">
                  <c:v>2.0149103109865112</c:v>
                </c:pt>
                <c:pt idx="342">
                  <c:v>1.9959645332416951</c:v>
                </c:pt>
                <c:pt idx="343">
                  <c:v>1.9770227567394203</c:v>
                </c:pt>
                <c:pt idx="344">
                  <c:v>1.958084769756657</c:v>
                </c:pt>
                <c:pt idx="345">
                  <c:v>1.9387375170128882</c:v>
                </c:pt>
                <c:pt idx="346">
                  <c:v>1.9193938282883527</c:v>
                </c:pt>
                <c:pt idx="347">
                  <c:v>1.9000535312557429</c:v>
                </c:pt>
                <c:pt idx="348">
                  <c:v>1.8807164701385988</c:v>
                </c:pt>
                <c:pt idx="349">
                  <c:v>1.8609109824762369</c:v>
                </c:pt>
                <c:pt idx="350">
                  <c:v>1.8411086098055864</c:v>
                </c:pt>
                <c:pt idx="351">
                  <c:v>1.8213092341721293</c:v>
                </c:pt>
                <c:pt idx="352">
                  <c:v>1.8015127528861077</c:v>
                </c:pt>
                <c:pt idx="353">
                  <c:v>1.7812478334340098</c:v>
                </c:pt>
                <c:pt idx="354">
                  <c:v>1.7609857760864442</c:v>
                </c:pt>
                <c:pt idx="355">
                  <c:v>1.7407265160319674</c:v>
                </c:pt>
                <c:pt idx="356">
                  <c:v>1.7204700023934951</c:v>
                </c:pt>
                <c:pt idx="357">
                  <c:v>1.6997746474970978</c:v>
                </c:pt>
                <c:pt idx="358">
                  <c:v>1.6790820944276799</c:v>
                </c:pt>
                <c:pt idx="359">
                  <c:v>1.658392329874059</c:v>
                </c:pt>
                <c:pt idx="360">
                  <c:v>1.6377053530280052</c:v>
                </c:pt>
                <c:pt idx="361">
                  <c:v>1.6165210234129346</c:v>
                </c:pt>
                <c:pt idx="362">
                  <c:v>1.5953396538235707</c:v>
                </c:pt>
                <c:pt idx="363">
                  <c:v>1.5741612802521709</c:v>
                </c:pt>
                <c:pt idx="364">
                  <c:v>1.5529859498855347</c:v>
                </c:pt>
                <c:pt idx="365">
                  <c:v>1.5313432622584831</c:v>
                </c:pt>
                <c:pt idx="366">
                  <c:v>1.5097038876152025</c:v>
                </c:pt>
                <c:pt idx="367">
                  <c:v>1.4880679089217286</c:v>
                </c:pt>
                <c:pt idx="368">
                  <c:v>1.4664354189495281</c:v>
                </c:pt>
                <c:pt idx="369">
                  <c:v>1.4442775979843445</c:v>
                </c:pt>
                <c:pt idx="370">
                  <c:v>1.4221236647833138</c:v>
                </c:pt>
                <c:pt idx="371">
                  <c:v>1.3999737475909937</c:v>
                </c:pt>
                <c:pt idx="372">
                  <c:v>1.3778279831588209</c:v>
                </c:pt>
                <c:pt idx="373">
                  <c:v>1.3551873561409113</c:v>
                </c:pt>
                <c:pt idx="374">
                  <c:v>1.3325513854665516</c:v>
                </c:pt>
                <c:pt idx="375">
                  <c:v>1.3099202416371982</c:v>
                </c:pt>
                <c:pt idx="376">
                  <c:v>1.287294102303991</c:v>
                </c:pt>
                <c:pt idx="377">
                  <c:v>1.2641157635730358</c:v>
                </c:pt>
                <c:pt idx="378">
                  <c:v>1.2409430775977599</c:v>
                </c:pt>
                <c:pt idx="379">
                  <c:v>1.2177762557395329</c:v>
                </c:pt>
                <c:pt idx="380">
                  <c:v>1.1946155152168025</c:v>
                </c:pt>
                <c:pt idx="381">
                  <c:v>1.1709628895860167</c:v>
                </c:pt>
                <c:pt idx="382">
                  <c:v>1.1473170848075211</c:v>
                </c:pt>
                <c:pt idx="383">
                  <c:v>1.1236783484781396</c:v>
                </c:pt>
                <c:pt idx="384">
                  <c:v>1.1000469327026292</c:v>
                </c:pt>
                <c:pt idx="385">
                  <c:v>1.0758377190237123</c:v>
                </c:pt>
                <c:pt idx="386">
                  <c:v>1.0516367420477093</c:v>
                </c:pt>
                <c:pt idx="387">
                  <c:v>1.0274442851497538</c:v>
                </c:pt>
                <c:pt idx="388">
                  <c:v>1.0032606349383573</c:v>
                </c:pt>
                <c:pt idx="389">
                  <c:v>0.97853078918760872</c:v>
                </c:pt>
                <c:pt idx="390">
                  <c:v>0.95381077489249622</c:v>
                </c:pt>
                <c:pt idx="391">
                  <c:v>0.92910090691632896</c:v>
                </c:pt>
                <c:pt idx="392">
                  <c:v>0.90440150206998382</c:v>
                </c:pt>
                <c:pt idx="393">
                  <c:v>0.87915853239167197</c:v>
                </c:pt>
                <c:pt idx="394">
                  <c:v>0.85392717566921905</c:v>
                </c:pt>
                <c:pt idx="395">
                  <c:v>0.82870777462526535</c:v>
                </c:pt>
                <c:pt idx="396">
                  <c:v>0.80350067266871128</c:v>
                </c:pt>
                <c:pt idx="397">
                  <c:v>0.77769471626792874</c:v>
                </c:pt>
                <c:pt idx="398">
                  <c:v>0.75190239355676414</c:v>
                </c:pt>
                <c:pt idx="399">
                  <c:v>0.72612407379065103</c:v>
                </c:pt>
                <c:pt idx="400">
                  <c:v>0.70036012567962203</c:v>
                </c:pt>
                <c:pt idx="401">
                  <c:v>0.67402984383307152</c:v>
                </c:pt>
                <c:pt idx="402">
                  <c:v>0.64771536664059204</c:v>
                </c:pt>
                <c:pt idx="403">
                  <c:v>0.62141708479166879</c:v>
                </c:pt>
                <c:pt idx="404">
                  <c:v>0.59513538723042947</c:v>
                </c:pt>
                <c:pt idx="405">
                  <c:v>0.56826208018713509</c:v>
                </c:pt>
                <c:pt idx="406">
                  <c:v>0.54140695230886593</c:v>
                </c:pt>
                <c:pt idx="407">
                  <c:v>0.51457041298376194</c:v>
                </c:pt>
                <c:pt idx="408">
                  <c:v>0.48775286868850765</c:v>
                </c:pt>
                <c:pt idx="409">
                  <c:v>0.46031897550647155</c:v>
                </c:pt>
                <c:pt idx="410">
                  <c:v>0.43290584151005418</c:v>
                </c:pt>
                <c:pt idx="411">
                  <c:v>0.40551389199180887</c:v>
                </c:pt>
                <c:pt idx="412">
                  <c:v>0.37814354819676149</c:v>
                </c:pt>
                <c:pt idx="413">
                  <c:v>0.35016149473532626</c:v>
                </c:pt>
                <c:pt idx="414">
                  <c:v>0.3222029388526374</c:v>
                </c:pt>
                <c:pt idx="415">
                  <c:v>0.29426831751205862</c:v>
                </c:pt>
                <c:pt idx="416">
                  <c:v>0.266358062542913</c:v>
                </c:pt>
                <c:pt idx="417">
                  <c:v>0.23781238381519934</c:v>
                </c:pt>
                <c:pt idx="418">
                  <c:v>0.20929313815683098</c:v>
                </c:pt>
                <c:pt idx="419">
                  <c:v>0.18080077122144822</c:v>
                </c:pt>
                <c:pt idx="420">
                  <c:v>0.15233572247764804</c:v>
                </c:pt>
                <c:pt idx="421">
                  <c:v>0.12326934534990576</c:v>
                </c:pt>
                <c:pt idx="422">
                  <c:v>9.4232417276818359E-2</c:v>
                </c:pt>
                <c:pt idx="423">
                  <c:v>6.5225386880871081E-2</c:v>
                </c:pt>
                <c:pt idx="424">
                  <c:v>3.6248695640479424E-2</c:v>
                </c:pt>
                <c:pt idx="425">
                  <c:v>6.5909174789485613E-3</c:v>
                </c:pt>
                <c:pt idx="426">
                  <c:v>-2.3034095026363523E-2</c:v>
                </c:pt>
                <c:pt idx="427">
                  <c:v>-5.2625890751832362E-2</c:v>
                </c:pt>
                <c:pt idx="428">
                  <c:v>-8.218402669100297E-2</c:v>
                </c:pt>
                <c:pt idx="429">
                  <c:v>-0.11238833203754389</c:v>
                </c:pt>
                <c:pt idx="430">
                  <c:v>-0.14255649579529781</c:v>
                </c:pt>
                <c:pt idx="431">
                  <c:v>-0.17268807016843063</c:v>
                </c:pt>
                <c:pt idx="432">
                  <c:v>-0.2027826163461196</c:v>
                </c:pt>
                <c:pt idx="433">
                  <c:v>-0.23351661247446825</c:v>
                </c:pt>
                <c:pt idx="434">
                  <c:v>-0.26421099350556243</c:v>
                </c:pt>
                <c:pt idx="435">
                  <c:v>-0.29486531939361138</c:v>
                </c:pt>
                <c:pt idx="436">
                  <c:v>-0.32547915985998405</c:v>
                </c:pt>
                <c:pt idx="437">
                  <c:v>-0.35678152329562979</c:v>
                </c:pt>
                <c:pt idx="438">
                  <c:v>-0.388040563349134</c:v>
                </c:pt>
                <c:pt idx="439">
                  <c:v>-0.41925584974627517</c:v>
                </c:pt>
                <c:pt idx="440">
                  <c:v>-0.45042696274470917</c:v>
                </c:pt>
                <c:pt idx="441">
                  <c:v>-0.48227877835405042</c:v>
                </c:pt>
                <c:pt idx="442">
                  <c:v>-0.51408348057123709</c:v>
                </c:pt>
                <c:pt idx="443">
                  <c:v>-0.54584065337368526</c:v>
                </c:pt>
                <c:pt idx="444">
                  <c:v>-0.57754989194250206</c:v>
                </c:pt>
                <c:pt idx="445">
                  <c:v>-0.60993169444575757</c:v>
                </c:pt>
                <c:pt idx="446">
                  <c:v>-0.64226253209254081</c:v>
                </c:pt>
                <c:pt idx="447">
                  <c:v>-0.67454200743425508</c:v>
                </c:pt>
                <c:pt idx="448">
                  <c:v>-0.70676973479836969</c:v>
                </c:pt>
                <c:pt idx="449">
                  <c:v>-0.7397166907974404</c:v>
                </c:pt>
                <c:pt idx="450">
                  <c:v>-0.77260860458423242</c:v>
                </c:pt>
                <c:pt idx="451">
                  <c:v>-0.80544509954180032</c:v>
                </c:pt>
                <c:pt idx="452">
                  <c:v>-0.83822581137942376</c:v>
                </c:pt>
                <c:pt idx="453">
                  <c:v>-0.87168912054142633</c:v>
                </c:pt>
                <c:pt idx="454">
                  <c:v>-0.90509336561242115</c:v>
                </c:pt>
                <c:pt idx="455">
                  <c:v>-0.93843819593817202</c:v>
                </c:pt>
                <c:pt idx="456">
                  <c:v>-0.97172327359290733</c:v>
                </c:pt>
                <c:pt idx="457">
                  <c:v>-1.0057360227899141</c:v>
                </c:pt>
                <c:pt idx="458">
                  <c:v>-1.0396854729218539</c:v>
                </c:pt>
                <c:pt idx="459">
                  <c:v>-1.0735713015938653</c:v>
                </c:pt>
                <c:pt idx="460">
                  <c:v>-1.1073931995151522</c:v>
                </c:pt>
                <c:pt idx="461">
                  <c:v>-1.1419326582043252</c:v>
                </c:pt>
                <c:pt idx="462">
                  <c:v>-1.1764045737155864</c:v>
                </c:pt>
                <c:pt idx="463">
                  <c:v>-1.2108086558719446</c:v>
                </c:pt>
                <c:pt idx="464">
                  <c:v>-1.2451446278635379</c:v>
                </c:pt>
                <c:pt idx="465">
                  <c:v>-1.2802145507381884</c:v>
                </c:pt>
                <c:pt idx="466">
                  <c:v>-1.315212588502056</c:v>
                </c:pt>
                <c:pt idx="467">
                  <c:v>-1.3501384862687265</c:v>
                </c:pt>
                <c:pt idx="468">
                  <c:v>-1.3849920027092852</c:v>
                </c:pt>
                <c:pt idx="469">
                  <c:v>-1.4205685669301014</c:v>
                </c:pt>
                <c:pt idx="470">
                  <c:v>-1.4560689281299313</c:v>
                </c:pt>
                <c:pt idx="471">
                  <c:v>-1.4914928702437718</c:v>
                </c:pt>
                <c:pt idx="472">
                  <c:v>-1.5268401908392712</c:v>
                </c:pt>
                <c:pt idx="473">
                  <c:v>-1.5629520411311992</c:v>
                </c:pt>
                <c:pt idx="474">
                  <c:v>-1.5989831796748151</c:v>
                </c:pt>
                <c:pt idx="475">
                  <c:v>-1.6349334316529573</c:v>
                </c:pt>
                <c:pt idx="476">
                  <c:v>-1.6708026359211268</c:v>
                </c:pt>
                <c:pt idx="477">
                  <c:v>-1.7074243803486038</c:v>
                </c:pt>
                <c:pt idx="478">
                  <c:v>-1.7439609533594813</c:v>
                </c:pt>
                <c:pt idx="479">
                  <c:v>-1.78041222464342</c:v>
                </c:pt>
                <c:pt idx="480">
                  <c:v>-1.8167780774853486</c:v>
                </c:pt>
                <c:pt idx="481">
                  <c:v>-1.8538843129961793</c:v>
                </c:pt>
                <c:pt idx="482">
                  <c:v>-1.8909009870729434</c:v>
                </c:pt>
                <c:pt idx="483">
                  <c:v>-1.9278280167607029</c:v>
                </c:pt>
                <c:pt idx="484">
                  <c:v>-1.9646653325080932</c:v>
                </c:pt>
                <c:pt idx="485">
                  <c:v>-2.0022562992655133</c:v>
                </c:pt>
                <c:pt idx="486">
                  <c:v>-2.039753275532405</c:v>
                </c:pt>
                <c:pt idx="487">
                  <c:v>-2.0771562280766984</c:v>
                </c:pt>
                <c:pt idx="488">
                  <c:v>-2.1144651368038767</c:v>
                </c:pt>
                <c:pt idx="489">
                  <c:v>-2.1525655185042858</c:v>
                </c:pt>
                <c:pt idx="490">
                  <c:v>-2.1905673196442352</c:v>
                </c:pt>
                <c:pt idx="491">
                  <c:v>-2.2284705590454061</c:v>
                </c:pt>
                <c:pt idx="492">
                  <c:v>-2.266275268359967</c:v>
                </c:pt>
                <c:pt idx="493">
                  <c:v>-2.3048577914503516</c:v>
                </c:pt>
                <c:pt idx="494">
                  <c:v>-2.3433372518002815</c:v>
                </c:pt>
                <c:pt idx="495">
                  <c:v>-2.3817137225509319</c:v>
                </c:pt>
                <c:pt idx="496">
                  <c:v>-2.4199872892559346</c:v>
                </c:pt>
                <c:pt idx="497">
                  <c:v>-2.4590497030835392</c:v>
                </c:pt>
                <c:pt idx="498">
                  <c:v>-2.4980045617567437</c:v>
                </c:pt>
                <c:pt idx="499">
                  <c:v>-2.5368519947949633</c:v>
                </c:pt>
                <c:pt idx="500">
                  <c:v>-2.5755921436377331</c:v>
                </c:pt>
                <c:pt idx="501">
                  <c:v>-2.6151314439239188</c:v>
                </c:pt>
                <c:pt idx="502">
                  <c:v>-2.6545586964774435</c:v>
                </c:pt>
                <c:pt idx="503">
                  <c:v>-2.6938740891243187</c:v>
                </c:pt>
                <c:pt idx="504">
                  <c:v>-2.7330778210448754</c:v>
                </c:pt>
                <c:pt idx="505">
                  <c:v>-2.773066075088801</c:v>
                </c:pt>
                <c:pt idx="506">
                  <c:v>-2.8129379399829242</c:v>
                </c:pt>
                <c:pt idx="507">
                  <c:v>-2.8526936631840742</c:v>
                </c:pt>
                <c:pt idx="508">
                  <c:v>-2.8923335028398665</c:v>
                </c:pt>
                <c:pt idx="509">
                  <c:v>-2.9327671736120484</c:v>
                </c:pt>
                <c:pt idx="510">
                  <c:v>-2.9730801374878801</c:v>
                </c:pt>
                <c:pt idx="511">
                  <c:v>-3.013272702962944</c:v>
                </c:pt>
                <c:pt idx="512">
                  <c:v>-3.053345188494986</c:v>
                </c:pt>
                <c:pt idx="513">
                  <c:v>-3.0942437799132727</c:v>
                </c:pt>
                <c:pt idx="514">
                  <c:v>-3.1350172351266319</c:v>
                </c:pt>
                <c:pt idx="515">
                  <c:v>-3.1756659255765389</c:v>
                </c:pt>
                <c:pt idx="516">
                  <c:v>-3.2161902318958742</c:v>
                </c:pt>
                <c:pt idx="517">
                  <c:v>-3.2575248113583681</c:v>
                </c:pt>
                <c:pt idx="518">
                  <c:v>-3.2987300119828249</c:v>
                </c:pt>
                <c:pt idx="519">
                  <c:v>-3.339806268706532</c:v>
                </c:pt>
                <c:pt idx="520">
                  <c:v>-3.3807540248029273</c:v>
                </c:pt>
                <c:pt idx="521">
                  <c:v>-3.4225193616490683</c:v>
                </c:pt>
                <c:pt idx="522">
                  <c:v>-3.4641511293676066</c:v>
                </c:pt>
                <c:pt idx="523">
                  <c:v>-3.505649827304274</c:v>
                </c:pt>
                <c:pt idx="524">
                  <c:v>-3.5470159622282393</c:v>
                </c:pt>
                <c:pt idx="525">
                  <c:v>-3.5892063541653192</c:v>
                </c:pt>
                <c:pt idx="526">
                  <c:v>-3.6312590482510601</c:v>
                </c:pt>
                <c:pt idx="527">
                  <c:v>-3.6731746089745982</c:v>
                </c:pt>
                <c:pt idx="528">
                  <c:v>-3.7149536072816032</c:v>
                </c:pt>
                <c:pt idx="529">
                  <c:v>-3.7575629264216275</c:v>
                </c:pt>
                <c:pt idx="530">
                  <c:v>-3.8000304895845276</c:v>
                </c:pt>
                <c:pt idx="531">
                  <c:v>-3.8423569269549218</c:v>
                </c:pt>
                <c:pt idx="532">
                  <c:v>-3.8845428741564731</c:v>
                </c:pt>
                <c:pt idx="533">
                  <c:v>-3.9275867864508984</c:v>
                </c:pt>
                <c:pt idx="534">
                  <c:v>-3.9704848138705802</c:v>
                </c:pt>
                <c:pt idx="535">
                  <c:v>-4.0132376537433903</c:v>
                </c:pt>
                <c:pt idx="536">
                  <c:v>-4.055846007780759</c:v>
                </c:pt>
                <c:pt idx="537">
                  <c:v>-4.0992730259963066</c:v>
                </c:pt>
                <c:pt idx="538">
                  <c:v>-4.1425504201501866</c:v>
                </c:pt>
                <c:pt idx="539">
                  <c:v>-4.1856789527320624</c:v>
                </c:pt>
                <c:pt idx="540">
                  <c:v>-4.2286593894991107</c:v>
                </c:pt>
                <c:pt idx="541">
                  <c:v>-4.2725064367507191</c:v>
                </c:pt>
                <c:pt idx="542">
                  <c:v>-4.3161999142316754</c:v>
                </c:pt>
                <c:pt idx="543">
                  <c:v>-4.3597406518810029</c:v>
                </c:pt>
                <c:pt idx="544">
                  <c:v>-4.4031294817644193</c:v>
                </c:pt>
                <c:pt idx="545">
                  <c:v>-4.4473670187152363</c:v>
                </c:pt>
                <c:pt idx="546">
                  <c:v>-4.4914472964674346</c:v>
                </c:pt>
                <c:pt idx="547">
                  <c:v>-4.5353712110472824</c:v>
                </c:pt>
                <c:pt idx="548">
                  <c:v>-4.5791396594265885</c:v>
                </c:pt>
                <c:pt idx="549">
                  <c:v>-4.6237601315402053</c:v>
                </c:pt>
                <c:pt idx="550">
                  <c:v>-4.6682197664172129</c:v>
                </c:pt>
                <c:pt idx="551">
                  <c:v>-4.7125195257719472</c:v>
                </c:pt>
                <c:pt idx="552">
                  <c:v>-4.756660371054596</c:v>
                </c:pt>
                <c:pt idx="553">
                  <c:v>-4.801676746865172</c:v>
                </c:pt>
                <c:pt idx="554">
                  <c:v>-4.8465286748254117</c:v>
                </c:pt>
                <c:pt idx="555">
                  <c:v>-4.8912171831718467</c:v>
                </c:pt>
                <c:pt idx="556">
                  <c:v>-4.9357432986404639</c:v>
                </c:pt>
                <c:pt idx="557">
                  <c:v>-5.0263825154703987</c:v>
                </c:pt>
                <c:pt idx="558">
                  <c:v>-5.1163543811232977</c:v>
                </c:pt>
                <c:pt idx="559">
                  <c:v>-5.2077071407499425</c:v>
                </c:pt>
                <c:pt idx="560">
                  <c:v>-5.2983800030881589</c:v>
                </c:pt>
                <c:pt idx="561">
                  <c:v>-5.3905094858977893</c:v>
                </c:pt>
                <c:pt idx="562">
                  <c:v>-5.4819458843027107</c:v>
                </c:pt>
                <c:pt idx="563">
                  <c:v>-5.5746389896938089</c:v>
                </c:pt>
                <c:pt idx="564">
                  <c:v>-5.666629347019537</c:v>
                </c:pt>
                <c:pt idx="565">
                  <c:v>-5.7602198736259886</c:v>
                </c:pt>
                <c:pt idx="566">
                  <c:v>-5.8530932687554209</c:v>
                </c:pt>
                <c:pt idx="567">
                  <c:v>-5.9475178194085547</c:v>
                </c:pt>
                <c:pt idx="568">
                  <c:v>-6.0412121248179851</c:v>
                </c:pt>
                <c:pt idx="569">
                  <c:v>-6.136039644993593</c:v>
                </c:pt>
                <c:pt idx="570">
                  <c:v>-6.2301308186634223</c:v>
                </c:pt>
                <c:pt idx="571">
                  <c:v>-6.3260501010042383</c:v>
                </c:pt>
                <c:pt idx="572">
                  <c:v>-6.4212166263452675</c:v>
                </c:pt>
                <c:pt idx="573">
                  <c:v>-6.5174374621801014</c:v>
                </c:pt>
                <c:pt idx="574">
                  <c:v>-6.6129018451009891</c:v>
                </c:pt>
                <c:pt idx="575">
                  <c:v>-6.710095648177349</c:v>
                </c:pt>
                <c:pt idx="576">
                  <c:v>-6.8065191789519073</c:v>
                </c:pt>
                <c:pt idx="577">
                  <c:v>-7.206497351552529</c:v>
                </c:pt>
                <c:pt idx="578">
                  <c:v>-7.5938385354790539</c:v>
                </c:pt>
                <c:pt idx="579">
                  <c:v>-8.4026092953496896</c:v>
                </c:pt>
                <c:pt idx="580">
                  <c:v>-9.234633881310943</c:v>
                </c:pt>
                <c:pt idx="581">
                  <c:v>-10.08968877417086</c:v>
                </c:pt>
                <c:pt idx="582">
                  <c:v>-10.969778790920452</c:v>
                </c:pt>
                <c:pt idx="583">
                  <c:v>-11.876214919516359</c:v>
                </c:pt>
                <c:pt idx="584">
                  <c:v>-12.812149345356554</c:v>
                </c:pt>
                <c:pt idx="585">
                  <c:v>-13.780013048154123</c:v>
                </c:pt>
                <c:pt idx="586">
                  <c:v>-14.783357316919147</c:v>
                </c:pt>
                <c:pt idx="587">
                  <c:v>-15.826580035352855</c:v>
                </c:pt>
                <c:pt idx="588">
                  <c:v>-16.912868808106111</c:v>
                </c:pt>
                <c:pt idx="589">
                  <c:v>-18.04753104729588</c:v>
                </c:pt>
                <c:pt idx="590">
                  <c:v>-19.234753392703887</c:v>
                </c:pt>
                <c:pt idx="591">
                  <c:v>-20.479268849787097</c:v>
                </c:pt>
                <c:pt idx="592">
                  <c:v>-21.785443839712944</c:v>
                </c:pt>
                <c:pt idx="593">
                  <c:v>-23.158007571649652</c:v>
                </c:pt>
                <c:pt idx="594">
                  <c:v>-24.600626613624357</c:v>
                </c:pt>
                <c:pt idx="595">
                  <c:v>-26.117209015932769</c:v>
                </c:pt>
                <c:pt idx="596">
                  <c:v>-27.710584239874443</c:v>
                </c:pt>
                <c:pt idx="597">
                  <c:v>-29.383700498471658</c:v>
                </c:pt>
                <c:pt idx="598">
                  <c:v>-31.138180747628859</c:v>
                </c:pt>
                <c:pt idx="599">
                  <c:v>-32.975923431249292</c:v>
                </c:pt>
                <c:pt idx="600">
                  <c:v>-34.897513640047656</c:v>
                </c:pt>
              </c:numCache>
            </c:numRef>
          </c:yVal>
          <c:smooth val="0"/>
          <c:extLst>
            <c:ext xmlns:c16="http://schemas.microsoft.com/office/drawing/2014/chart" uri="{C3380CC4-5D6E-409C-BE32-E72D297353CC}">
              <c16:uniqueId val="{00000000-C921-4838-A0BE-4B6A27AAB705}"/>
            </c:ext>
          </c:extLst>
        </c:ser>
        <c:dLbls>
          <c:showLegendKey val="0"/>
          <c:showVal val="0"/>
          <c:showCatName val="0"/>
          <c:showSerName val="0"/>
          <c:showPercent val="0"/>
          <c:showBubbleSize val="0"/>
        </c:dLbls>
        <c:axId val="182162176"/>
        <c:axId val="182164096"/>
      </c:scatterChart>
      <c:scatterChart>
        <c:scatterStyle val="lineMarker"/>
        <c:varyColors val="0"/>
        <c:ser>
          <c:idx val="1"/>
          <c:order val="1"/>
          <c:tx>
            <c:strRef>
              <c:f>'Stability Calculations'!$S$12</c:f>
              <c:strCache>
                <c:ptCount val="1"/>
                <c:pt idx="0">
                  <c:v>Phase Margin (°)</c:v>
                </c:pt>
              </c:strCache>
            </c:strRef>
          </c:tx>
          <c:spPr>
            <a:ln w="25400">
              <a:solidFill>
                <a:srgbClr val="0000FF"/>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Calculations'!$R$13:$R$613</c:f>
              <c:numCache>
                <c:formatCode>0.00</c:formatCode>
                <c:ptCount val="601"/>
                <c:pt idx="0">
                  <c:v>-82.126361673497513</c:v>
                </c:pt>
                <c:pt idx="1">
                  <c:v>-82.810274130016893</c:v>
                </c:pt>
                <c:pt idx="2">
                  <c:v>-83.43559832661721</c:v>
                </c:pt>
                <c:pt idx="3">
                  <c:v>-84.007081102623061</c:v>
                </c:pt>
                <c:pt idx="4">
                  <c:v>-84.528814759624538</c:v>
                </c:pt>
                <c:pt idx="5">
                  <c:v>-85.005739375511553</c:v>
                </c:pt>
                <c:pt idx="6">
                  <c:v>-85.440926435330397</c:v>
                </c:pt>
                <c:pt idx="7">
                  <c:v>-85.838170136705145</c:v>
                </c:pt>
                <c:pt idx="8">
                  <c:v>-86.200411002149195</c:v>
                </c:pt>
                <c:pt idx="9">
                  <c:v>-86.530890686197594</c:v>
                </c:pt>
                <c:pt idx="10">
                  <c:v>-86.83213206330187</c:v>
                </c:pt>
                <c:pt idx="11">
                  <c:v>-87.106682103013426</c:v>
                </c:pt>
                <c:pt idx="12">
                  <c:v>-87.356952494041039</c:v>
                </c:pt>
                <c:pt idx="13">
                  <c:v>-87.584789586808398</c:v>
                </c:pt>
                <c:pt idx="14">
                  <c:v>-87.792287365070081</c:v>
                </c:pt>
                <c:pt idx="15">
                  <c:v>-87.98109829181513</c:v>
                </c:pt>
                <c:pt idx="16">
                  <c:v>-88.152825696003092</c:v>
                </c:pt>
                <c:pt idx="17">
                  <c:v>-88.308893176920876</c:v>
                </c:pt>
                <c:pt idx="18">
                  <c:v>-88.450660819738061</c:v>
                </c:pt>
                <c:pt idx="19">
                  <c:v>-88.579285434435178</c:v>
                </c:pt>
                <c:pt idx="20">
                  <c:v>-88.6958794674469</c:v>
                </c:pt>
                <c:pt idx="21">
                  <c:v>-88.801404903296373</c:v>
                </c:pt>
                <c:pt idx="22">
                  <c:v>-88.896777091226681</c:v>
                </c:pt>
                <c:pt idx="23">
                  <c:v>-88.982780004986523</c:v>
                </c:pt>
                <c:pt idx="24">
                  <c:v>-89.060164159474027</c:v>
                </c:pt>
                <c:pt idx="25">
                  <c:v>-89.129572008102883</c:v>
                </c:pt>
                <c:pt idx="26">
                  <c:v>-89.191606107865383</c:v>
                </c:pt>
                <c:pt idx="27">
                  <c:v>-89.246771635446834</c:v>
                </c:pt>
                <c:pt idx="28">
                  <c:v>-89.29554041628019</c:v>
                </c:pt>
                <c:pt idx="29">
                  <c:v>-89.338302553770887</c:v>
                </c:pt>
                <c:pt idx="30">
                  <c:v>-89.375490527365457</c:v>
                </c:pt>
                <c:pt idx="31">
                  <c:v>-89.407362596492604</c:v>
                </c:pt>
                <c:pt idx="32">
                  <c:v>-89.434211807580667</c:v>
                </c:pt>
                <c:pt idx="33">
                  <c:v>-89.45624783250986</c:v>
                </c:pt>
                <c:pt idx="34">
                  <c:v>-89.473675349870689</c:v>
                </c:pt>
                <c:pt idx="35">
                  <c:v>-89.486631592289569</c:v>
                </c:pt>
                <c:pt idx="36">
                  <c:v>-89.495230471101948</c:v>
                </c:pt>
                <c:pt idx="37">
                  <c:v>-89.499547108873259</c:v>
                </c:pt>
                <c:pt idx="38">
                  <c:v>-89.499614255991261</c:v>
                </c:pt>
                <c:pt idx="39">
                  <c:v>-89.495433782620964</c:v>
                </c:pt>
                <c:pt idx="40">
                  <c:v>-89.486970378935965</c:v>
                </c:pt>
                <c:pt idx="41">
                  <c:v>-89.474152001077783</c:v>
                </c:pt>
                <c:pt idx="42">
                  <c:v>-89.456872568550466</c:v>
                </c:pt>
                <c:pt idx="43">
                  <c:v>-89.43498027924575</c:v>
                </c:pt>
                <c:pt idx="44">
                  <c:v>-89.408294970391168</c:v>
                </c:pt>
                <c:pt idx="45">
                  <c:v>-89.376585039702675</c:v>
                </c:pt>
                <c:pt idx="46">
                  <c:v>-89.339588150871933</c:v>
                </c:pt>
                <c:pt idx="47">
                  <c:v>-89.296982626777165</c:v>
                </c:pt>
                <c:pt idx="48">
                  <c:v>-89.248418101815631</c:v>
                </c:pt>
                <c:pt idx="49">
                  <c:v>-89.19347070734598</c:v>
                </c:pt>
                <c:pt idx="50">
                  <c:v>-89.131682567489207</c:v>
                </c:pt>
                <c:pt idx="51">
                  <c:v>-89.062514043015284</c:v>
                </c:pt>
                <c:pt idx="52">
                  <c:v>-88.985400601023571</c:v>
                </c:pt>
                <c:pt idx="53">
                  <c:v>-88.899689088751387</c:v>
                </c:pt>
                <c:pt idx="54">
                  <c:v>-88.804719012124067</c:v>
                </c:pt>
                <c:pt idx="55">
                  <c:v>-88.699522902837217</c:v>
                </c:pt>
                <c:pt idx="56">
                  <c:v>-88.583351606610336</c:v>
                </c:pt>
                <c:pt idx="57">
                  <c:v>-88.455149120726162</c:v>
                </c:pt>
                <c:pt idx="58">
                  <c:v>-88.313931744587251</c:v>
                </c:pt>
                <c:pt idx="59">
                  <c:v>-88.158406544184047</c:v>
                </c:pt>
                <c:pt idx="60">
                  <c:v>-87.987356375436946</c:v>
                </c:pt>
                <c:pt idx="61">
                  <c:v>-87.799333656547844</c:v>
                </c:pt>
                <c:pt idx="62">
                  <c:v>-87.592660936658078</c:v>
                </c:pt>
                <c:pt idx="63">
                  <c:v>-87.36582259650794</c:v>
                </c:pt>
                <c:pt idx="64">
                  <c:v>-87.116768164849134</c:v>
                </c:pt>
                <c:pt idx="65">
                  <c:v>-86.84353920168347</c:v>
                </c:pt>
                <c:pt idx="66">
                  <c:v>-86.543885720725925</c:v>
                </c:pt>
                <c:pt idx="67">
                  <c:v>-86.215429531555046</c:v>
                </c:pt>
                <c:pt idx="68">
                  <c:v>-85.855440119797109</c:v>
                </c:pt>
                <c:pt idx="69">
                  <c:v>-85.461159463590022</c:v>
                </c:pt>
                <c:pt idx="70">
                  <c:v>-85.029429136067748</c:v>
                </c:pt>
                <c:pt idx="71">
                  <c:v>-84.557023646089988</c:v>
                </c:pt>
                <c:pt idx="72">
                  <c:v>-84.040290368405792</c:v>
                </c:pt>
                <c:pt idx="73">
                  <c:v>-83.475574202375356</c:v>
                </c:pt>
                <c:pt idx="74">
                  <c:v>-82.858723961693698</c:v>
                </c:pt>
                <c:pt idx="75">
                  <c:v>-82.18561725867032</c:v>
                </c:pt>
                <c:pt idx="76">
                  <c:v>-81.451702287200405</c:v>
                </c:pt>
                <c:pt idx="77">
                  <c:v>-80.65270832322237</c:v>
                </c:pt>
                <c:pt idx="78">
                  <c:v>-79.784085505386116</c:v>
                </c:pt>
                <c:pt idx="79">
                  <c:v>-78.841983088269629</c:v>
                </c:pt>
                <c:pt idx="80">
                  <c:v>-77.820494422579259</c:v>
                </c:pt>
                <c:pt idx="81">
                  <c:v>-76.717068711953004</c:v>
                </c:pt>
                <c:pt idx="82">
                  <c:v>-75.527654482034166</c:v>
                </c:pt>
                <c:pt idx="83">
                  <c:v>-74.250664470865473</c:v>
                </c:pt>
                <c:pt idx="84">
                  <c:v>-72.883851779832085</c:v>
                </c:pt>
                <c:pt idx="85">
                  <c:v>-71.428242069482863</c:v>
                </c:pt>
                <c:pt idx="86">
                  <c:v>-69.885869906512482</c:v>
                </c:pt>
                <c:pt idx="87">
                  <c:v>-68.260437329065979</c:v>
                </c:pt>
                <c:pt idx="88">
                  <c:v>-66.560841885504658</c:v>
                </c:pt>
                <c:pt idx="89">
                  <c:v>-64.796197234545104</c:v>
                </c:pt>
                <c:pt idx="90">
                  <c:v>-62.980969557737723</c:v>
                </c:pt>
                <c:pt idx="91">
                  <c:v>-61.132282814032976</c:v>
                </c:pt>
                <c:pt idx="92">
                  <c:v>-59.271016935147877</c:v>
                </c:pt>
                <c:pt idx="93">
                  <c:v>-57.420267190336858</c:v>
                </c:pt>
                <c:pt idx="94">
                  <c:v>-56.962472309563957</c:v>
                </c:pt>
                <c:pt idx="95">
                  <c:v>-56.733160926676902</c:v>
                </c:pt>
                <c:pt idx="96">
                  <c:v>-56.507206184928982</c:v>
                </c:pt>
                <c:pt idx="97">
                  <c:v>-56.279454722378539</c:v>
                </c:pt>
                <c:pt idx="98">
                  <c:v>-56.055150041974898</c:v>
                </c:pt>
                <c:pt idx="99">
                  <c:v>-55.829121286519033</c:v>
                </c:pt>
                <c:pt idx="100">
                  <c:v>-55.606629805267772</c:v>
                </c:pt>
                <c:pt idx="101">
                  <c:v>-55.382664084676556</c:v>
                </c:pt>
                <c:pt idx="102">
                  <c:v>-55.162320756765681</c:v>
                </c:pt>
                <c:pt idx="103">
                  <c:v>-54.940426934588402</c:v>
                </c:pt>
                <c:pt idx="104">
                  <c:v>-54.722245705970849</c:v>
                </c:pt>
                <c:pt idx="105">
                  <c:v>-54.502774333533424</c:v>
                </c:pt>
                <c:pt idx="106">
                  <c:v>-54.28709966145216</c:v>
                </c:pt>
                <c:pt idx="107">
                  <c:v>-54.070388841954291</c:v>
                </c:pt>
                <c:pt idx="108">
                  <c:v>-53.857552452298329</c:v>
                </c:pt>
                <c:pt idx="109">
                  <c:v>-53.64378284730094</c:v>
                </c:pt>
                <c:pt idx="110">
                  <c:v>-53.433964128529666</c:v>
                </c:pt>
                <c:pt idx="111">
                  <c:v>-53.223185089408936</c:v>
                </c:pt>
                <c:pt idx="112">
                  <c:v>-53.01643709668808</c:v>
                </c:pt>
                <c:pt idx="113">
                  <c:v>-52.808992864828511</c:v>
                </c:pt>
                <c:pt idx="114">
                  <c:v>-52.605652448669865</c:v>
                </c:pt>
                <c:pt idx="115">
                  <c:v>-52.401743291990336</c:v>
                </c:pt>
                <c:pt idx="116">
                  <c:v>-52.20200840137916</c:v>
                </c:pt>
                <c:pt idx="117">
                  <c:v>-52.001839243587995</c:v>
                </c:pt>
                <c:pt idx="118">
                  <c:v>-51.805912142889042</c:v>
                </c:pt>
                <c:pt idx="119">
                  <c:v>-51.609809204250737</c:v>
                </c:pt>
                <c:pt idx="120">
                  <c:v>-51.418007943569144</c:v>
                </c:pt>
                <c:pt idx="121">
                  <c:v>-51.226166943323911</c:v>
                </c:pt>
                <c:pt idx="122">
                  <c:v>-51.038684110643821</c:v>
                </c:pt>
                <c:pt idx="123">
                  <c:v>-50.851195542060438</c:v>
                </c:pt>
                <c:pt idx="124">
                  <c:v>-50.668123276741099</c:v>
                </c:pt>
                <c:pt idx="125">
                  <c:v>-50.485303504725032</c:v>
                </c:pt>
                <c:pt idx="126">
                  <c:v>-50.306949250223887</c:v>
                </c:pt>
                <c:pt idx="127">
                  <c:v>-50.12899722013757</c:v>
                </c:pt>
                <c:pt idx="128">
                  <c:v>-49.955555948433144</c:v>
                </c:pt>
                <c:pt idx="129">
                  <c:v>-49.782669929576606</c:v>
                </c:pt>
                <c:pt idx="130">
                  <c:v>-49.614335690702752</c:v>
                </c:pt>
                <c:pt idx="131">
                  <c:v>-49.446712412653014</c:v>
                </c:pt>
                <c:pt idx="132">
                  <c:v>-49.364626913761484</c:v>
                </c:pt>
                <c:pt idx="133">
                  <c:v>-49.283677489930284</c:v>
                </c:pt>
                <c:pt idx="134">
                  <c:v>-49.201969280952667</c:v>
                </c:pt>
                <c:pt idx="135">
                  <c:v>-49.121428787855692</c:v>
                </c:pt>
                <c:pt idx="136">
                  <c:v>-49.04204451991906</c:v>
                </c:pt>
                <c:pt idx="137">
                  <c:v>-48.963805088276409</c:v>
                </c:pt>
                <c:pt idx="138">
                  <c:v>-48.884961680175103</c:v>
                </c:pt>
                <c:pt idx="139">
                  <c:v>-48.8072919140442</c:v>
                </c:pt>
                <c:pt idx="140">
                  <c:v>-48.730783937058462</c:v>
                </c:pt>
                <c:pt idx="141">
                  <c:v>-48.655426006963367</c:v>
                </c:pt>
                <c:pt idx="142">
                  <c:v>-48.579460216542699</c:v>
                </c:pt>
                <c:pt idx="143">
                  <c:v>-48.504675113088268</c:v>
                </c:pt>
                <c:pt idx="144">
                  <c:v>-48.431058456907934</c:v>
                </c:pt>
                <c:pt idx="145">
                  <c:v>-48.358598128121173</c:v>
                </c:pt>
                <c:pt idx="146">
                  <c:v>-48.285643619195021</c:v>
                </c:pt>
                <c:pt idx="147">
                  <c:v>-48.213874340944407</c:v>
                </c:pt>
                <c:pt idx="148">
                  <c:v>-48.143277697601818</c:v>
                </c:pt>
                <c:pt idx="149">
                  <c:v>-48.073841222262843</c:v>
                </c:pt>
                <c:pt idx="150">
                  <c:v>-48.003987126818636</c:v>
                </c:pt>
                <c:pt idx="151">
                  <c:v>-47.93532147709152</c:v>
                </c:pt>
                <c:pt idx="152">
                  <c:v>-47.867831335363086</c:v>
                </c:pt>
                <c:pt idx="153">
                  <c:v>-47.80150390182007</c:v>
                </c:pt>
                <c:pt idx="154">
                  <c:v>-47.734805958921392</c:v>
                </c:pt>
                <c:pt idx="155">
                  <c:v>-47.669299413834743</c:v>
                </c:pt>
                <c:pt idx="156">
                  <c:v>-47.604970984133423</c:v>
                </c:pt>
                <c:pt idx="157">
                  <c:v>-47.541807534553854</c:v>
                </c:pt>
                <c:pt idx="158">
                  <c:v>-47.478355070254132</c:v>
                </c:pt>
                <c:pt idx="159">
                  <c:v>-47.416095512835106</c:v>
                </c:pt>
                <c:pt idx="160">
                  <c:v>-47.35501525212505</c:v>
                </c:pt>
                <c:pt idx="161">
                  <c:v>-47.295100834292803</c:v>
                </c:pt>
                <c:pt idx="162">
                  <c:v>-47.235005466612286</c:v>
                </c:pt>
                <c:pt idx="163">
                  <c:v>-47.17610201671723</c:v>
                </c:pt>
                <c:pt idx="164">
                  <c:v>-47.118376583133717</c:v>
                </c:pt>
                <c:pt idx="165">
                  <c:v>-47.061815429489705</c:v>
                </c:pt>
                <c:pt idx="166">
                  <c:v>-47.005104188271048</c:v>
                </c:pt>
                <c:pt idx="167">
                  <c:v>-46.949584519309376</c:v>
                </c:pt>
                <c:pt idx="168">
                  <c:v>-46.895242212437317</c:v>
                </c:pt>
                <c:pt idx="169">
                  <c:v>-46.842063231758004</c:v>
                </c:pt>
                <c:pt idx="170">
                  <c:v>-46.788929697100812</c:v>
                </c:pt>
                <c:pt idx="171">
                  <c:v>-46.736980896905976</c:v>
                </c:pt>
                <c:pt idx="172">
                  <c:v>-46.68620242348711</c:v>
                </c:pt>
                <c:pt idx="173">
                  <c:v>-46.636580050869711</c:v>
                </c:pt>
                <c:pt idx="174">
                  <c:v>-46.586892177064058</c:v>
                </c:pt>
                <c:pt idx="175">
                  <c:v>-46.538389725156684</c:v>
                </c:pt>
                <c:pt idx="176">
                  <c:v>-46.491057947285327</c:v>
                </c:pt>
                <c:pt idx="177">
                  <c:v>-46.444882287243281</c:v>
                </c:pt>
                <c:pt idx="178">
                  <c:v>-46.398755249162988</c:v>
                </c:pt>
                <c:pt idx="179">
                  <c:v>-46.353811555657046</c:v>
                </c:pt>
                <c:pt idx="180">
                  <c:v>-46.310036161017123</c:v>
                </c:pt>
                <c:pt idx="181">
                  <c:v>-46.267414220567488</c:v>
                </c:pt>
                <c:pt idx="182">
                  <c:v>-46.225112941734601</c:v>
                </c:pt>
                <c:pt idx="183">
                  <c:v>-46.183981146755805</c:v>
                </c:pt>
                <c:pt idx="184">
                  <c:v>-46.144003712266702</c:v>
                </c:pt>
                <c:pt idx="185">
                  <c:v>-46.105165721439043</c:v>
                </c:pt>
                <c:pt idx="186">
                  <c:v>-46.066432917745004</c:v>
                </c:pt>
                <c:pt idx="187">
                  <c:v>-46.028871705861015</c:v>
                </c:pt>
                <c:pt idx="188">
                  <c:v>-45.992466569478076</c:v>
                </c:pt>
                <c:pt idx="189">
                  <c:v>-45.957202210152055</c:v>
                </c:pt>
                <c:pt idx="190">
                  <c:v>-45.922422891660688</c:v>
                </c:pt>
                <c:pt idx="191">
                  <c:v>-45.888796905131315</c:v>
                </c:pt>
                <c:pt idx="192">
                  <c:v>-45.856308738143277</c:v>
                </c:pt>
                <c:pt idx="193">
                  <c:v>-45.824943100128976</c:v>
                </c:pt>
                <c:pt idx="194">
                  <c:v>-45.793906395870557</c:v>
                </c:pt>
                <c:pt idx="195">
                  <c:v>-45.764019926839595</c:v>
                </c:pt>
                <c:pt idx="196">
                  <c:v>-45.735267875436122</c:v>
                </c:pt>
                <c:pt idx="197">
                  <c:v>-45.707634655812321</c:v>
                </c:pt>
                <c:pt idx="198">
                  <c:v>-45.680536198896206</c:v>
                </c:pt>
                <c:pt idx="199">
                  <c:v>-45.654573927140518</c:v>
                </c:pt>
                <c:pt idx="200">
                  <c:v>-45.629731935475185</c:v>
                </c:pt>
                <c:pt idx="201">
                  <c:v>-45.605994556315039</c:v>
                </c:pt>
                <c:pt idx="202">
                  <c:v>-45.582872844558111</c:v>
                </c:pt>
                <c:pt idx="203">
                  <c:v>-45.560871291900391</c:v>
                </c:pt>
                <c:pt idx="204">
                  <c:v>-45.539973945074877</c:v>
                </c:pt>
                <c:pt idx="205">
                  <c:v>-45.520165093221031</c:v>
                </c:pt>
                <c:pt idx="206">
                  <c:v>-45.500984018103225</c:v>
                </c:pt>
                <c:pt idx="207">
                  <c:v>-45.482912753760004</c:v>
                </c:pt>
                <c:pt idx="208">
                  <c:v>-45.465935173107532</c:v>
                </c:pt>
                <c:pt idx="209">
                  <c:v>-45.45003539894374</c:v>
                </c:pt>
                <c:pt idx="210">
                  <c:v>-45.434807427806753</c:v>
                </c:pt>
                <c:pt idx="211">
                  <c:v>-45.420683745679085</c:v>
                </c:pt>
                <c:pt idx="212">
                  <c:v>-45.407647935270724</c:v>
                </c:pt>
                <c:pt idx="213">
                  <c:v>-45.395683839176193</c:v>
                </c:pt>
                <c:pt idx="214">
                  <c:v>-45.384568739784932</c:v>
                </c:pt>
                <c:pt idx="215">
                  <c:v>-45.374535362155363</c:v>
                </c:pt>
                <c:pt idx="216">
                  <c:v>-45.365567369977192</c:v>
                </c:pt>
                <c:pt idx="217">
                  <c:v>-45.357648689054621</c:v>
                </c:pt>
                <c:pt idx="218">
                  <c:v>-45.350618439780156</c:v>
                </c:pt>
                <c:pt idx="219">
                  <c:v>-45.34465270361531</c:v>
                </c:pt>
                <c:pt idx="220">
                  <c:v>-45.339735102562074</c:v>
                </c:pt>
                <c:pt idx="221">
                  <c:v>-45.335849525529248</c:v>
                </c:pt>
                <c:pt idx="222">
                  <c:v>-45.332927615007677</c:v>
                </c:pt>
                <c:pt idx="223">
                  <c:v>-45.3310510378763</c:v>
                </c:pt>
                <c:pt idx="224">
                  <c:v>-45.330203415208942</c:v>
                </c:pt>
                <c:pt idx="225">
                  <c:v>-45.330368638879328</c:v>
                </c:pt>
                <c:pt idx="226">
                  <c:v>-45.331572430230949</c:v>
                </c:pt>
                <c:pt idx="227">
                  <c:v>-45.333806768680205</c:v>
                </c:pt>
                <c:pt idx="228">
                  <c:v>-45.33705516446431</c:v>
                </c:pt>
                <c:pt idx="229">
                  <c:v>-45.341301404952084</c:v>
                </c:pt>
                <c:pt idx="230">
                  <c:v>-45.353049538216645</c:v>
                </c:pt>
                <c:pt idx="231">
                  <c:v>-45.360427144814018</c:v>
                </c:pt>
                <c:pt idx="232">
                  <c:v>-45.368785321974194</c:v>
                </c:pt>
                <c:pt idx="233">
                  <c:v>-45.378340978293579</c:v>
                </c:pt>
                <c:pt idx="234">
                  <c:v>-45.388890685586055</c:v>
                </c:pt>
                <c:pt idx="235">
                  <c:v>-45.400417870633895</c:v>
                </c:pt>
                <c:pt idx="236">
                  <c:v>-45.412906247059766</c:v>
                </c:pt>
                <c:pt idx="237">
                  <c:v>-45.426622048037686</c:v>
                </c:pt>
                <c:pt idx="238">
                  <c:v>-45.441305077172395</c:v>
                </c:pt>
                <c:pt idx="239">
                  <c:v>-45.456938923750023</c:v>
                </c:pt>
                <c:pt idx="240">
                  <c:v>-45.473507464050535</c:v>
                </c:pt>
                <c:pt idx="241">
                  <c:v>-45.491453885081398</c:v>
                </c:pt>
                <c:pt idx="242">
                  <c:v>-45.5103499582289</c:v>
                </c:pt>
                <c:pt idx="243">
                  <c:v>-45.53017919448218</c:v>
                </c:pt>
                <c:pt idx="244">
                  <c:v>-45.550925397586234</c:v>
                </c:pt>
                <c:pt idx="245">
                  <c:v>-45.573062461242635</c:v>
                </c:pt>
                <c:pt idx="246">
                  <c:v>-45.596124274666415</c:v>
                </c:pt>
                <c:pt idx="247">
                  <c:v>-45.620094451007667</c:v>
                </c:pt>
                <c:pt idx="248">
                  <c:v>-45.644956897716959</c:v>
                </c:pt>
                <c:pt idx="249">
                  <c:v>-45.671334406756642</c:v>
                </c:pt>
                <c:pt idx="250">
                  <c:v>-45.698614976966937</c:v>
                </c:pt>
                <c:pt idx="251">
                  <c:v>-45.726782230814692</c:v>
                </c:pt>
                <c:pt idx="252">
                  <c:v>-45.755820088853</c:v>
                </c:pt>
                <c:pt idx="253">
                  <c:v>-45.786354536479465</c:v>
                </c:pt>
                <c:pt idx="254">
                  <c:v>-45.817763863590045</c:v>
                </c:pt>
                <c:pt idx="255">
                  <c:v>-45.85003187060687</c:v>
                </c:pt>
                <c:pt idx="256">
                  <c:v>-45.88314265576205</c:v>
                </c:pt>
                <c:pt idx="257">
                  <c:v>-45.917970684463697</c:v>
                </c:pt>
                <c:pt idx="258">
                  <c:v>-45.95365275293797</c:v>
                </c:pt>
                <c:pt idx="259">
                  <c:v>-45.99017262751569</c:v>
                </c:pt>
                <c:pt idx="260">
                  <c:v>-46.027514377294096</c:v>
                </c:pt>
                <c:pt idx="261">
                  <c:v>-46.066538616715725</c:v>
                </c:pt>
                <c:pt idx="262">
                  <c:v>-46.106389750312772</c:v>
                </c:pt>
                <c:pt idx="263">
                  <c:v>-46.147051677137668</c:v>
                </c:pt>
                <c:pt idx="264">
                  <c:v>-46.188508599913227</c:v>
                </c:pt>
                <c:pt idx="265">
                  <c:v>-46.23169234210917</c:v>
                </c:pt>
                <c:pt idx="266">
                  <c:v>-46.275674367708177</c:v>
                </c:pt>
                <c:pt idx="267">
                  <c:v>-46.320438744476448</c:v>
                </c:pt>
                <c:pt idx="268">
                  <c:v>-46.365969843881125</c:v>
                </c:pt>
                <c:pt idx="269">
                  <c:v>-46.413379436891134</c:v>
                </c:pt>
                <c:pt idx="270">
                  <c:v>-46.461561006237801</c:v>
                </c:pt>
                <c:pt idx="271">
                  <c:v>-46.510498711003009</c:v>
                </c:pt>
                <c:pt idx="272">
                  <c:v>-46.560177016022585</c:v>
                </c:pt>
                <c:pt idx="273">
                  <c:v>-46.611778084253409</c:v>
                </c:pt>
                <c:pt idx="274">
                  <c:v>-46.664123114044749</c:v>
                </c:pt>
                <c:pt idx="275">
                  <c:v>-46.717196396710257</c:v>
                </c:pt>
                <c:pt idx="276">
                  <c:v>-46.770982530414038</c:v>
                </c:pt>
                <c:pt idx="277">
                  <c:v>-46.826603542136603</c:v>
                </c:pt>
                <c:pt idx="278">
                  <c:v>-46.88293579735565</c:v>
                </c:pt>
                <c:pt idx="279">
                  <c:v>-46.939963861609471</c:v>
                </c:pt>
                <c:pt idx="280">
                  <c:v>-46.997672604749233</c:v>
                </c:pt>
                <c:pt idx="281">
                  <c:v>-47.057637572291362</c:v>
                </c:pt>
                <c:pt idx="282">
                  <c:v>-47.118289197350968</c:v>
                </c:pt>
                <c:pt idx="283">
                  <c:v>-47.179612044598784</c:v>
                </c:pt>
                <c:pt idx="284">
                  <c:v>-47.241590987816792</c:v>
                </c:pt>
                <c:pt idx="285">
                  <c:v>-47.305456213072979</c:v>
                </c:pt>
                <c:pt idx="286">
                  <c:v>-47.369972926002909</c:v>
                </c:pt>
                <c:pt idx="287">
                  <c:v>-47.435126033532491</c:v>
                </c:pt>
                <c:pt idx="288">
                  <c:v>-47.500900747493787</c:v>
                </c:pt>
                <c:pt idx="289">
                  <c:v>-47.569007275009987</c:v>
                </c:pt>
                <c:pt idx="290">
                  <c:v>-47.637737403324671</c:v>
                </c:pt>
                <c:pt idx="291">
                  <c:v>-47.707076122090093</c:v>
                </c:pt>
                <c:pt idx="292">
                  <c:v>-47.777008728740419</c:v>
                </c:pt>
                <c:pt idx="293">
                  <c:v>-47.84915703998773</c:v>
                </c:pt>
                <c:pt idx="294">
                  <c:v>-47.921896825544188</c:v>
                </c:pt>
                <c:pt idx="295">
                  <c:v>-47.995213294482618</c:v>
                </c:pt>
                <c:pt idx="296">
                  <c:v>-48.069091962985866</c:v>
                </c:pt>
                <c:pt idx="297">
                  <c:v>-48.14520596295143</c:v>
                </c:pt>
                <c:pt idx="298">
                  <c:v>-48.221878165806949</c:v>
                </c:pt>
                <c:pt idx="299">
                  <c:v>-48.299094034521438</c:v>
                </c:pt>
                <c:pt idx="300">
                  <c:v>-48.376839337678554</c:v>
                </c:pt>
                <c:pt idx="301">
                  <c:v>-48.456834509384073</c:v>
                </c:pt>
                <c:pt idx="302">
                  <c:v>-48.537353646340677</c:v>
                </c:pt>
                <c:pt idx="303">
                  <c:v>-48.618382497145831</c:v>
                </c:pt>
                <c:pt idx="304">
                  <c:v>-48.699907113750264</c:v>
                </c:pt>
                <c:pt idx="305">
                  <c:v>-48.78401451393448</c:v>
                </c:pt>
                <c:pt idx="306">
                  <c:v>-48.868614561739179</c:v>
                </c:pt>
                <c:pt idx="307">
                  <c:v>-48.953693160747967</c:v>
                </c:pt>
                <c:pt idx="308">
                  <c:v>-49.039236519521126</c:v>
                </c:pt>
                <c:pt idx="309">
                  <c:v>-49.127048050359491</c:v>
                </c:pt>
                <c:pt idx="310">
                  <c:v>-49.215316015491389</c:v>
                </c:pt>
                <c:pt idx="311">
                  <c:v>-49.304026671244841</c:v>
                </c:pt>
                <c:pt idx="312">
                  <c:v>-49.393166575047815</c:v>
                </c:pt>
                <c:pt idx="313">
                  <c:v>-49.484911960175303</c:v>
                </c:pt>
                <c:pt idx="314">
                  <c:v>-49.577080168809836</c:v>
                </c:pt>
                <c:pt idx="315">
                  <c:v>-49.669657687125031</c:v>
                </c:pt>
                <c:pt idx="316">
                  <c:v>-49.762631302263102</c:v>
                </c:pt>
                <c:pt idx="317">
                  <c:v>-49.858215441721939</c:v>
                </c:pt>
                <c:pt idx="318">
                  <c:v>-49.954187671140261</c:v>
                </c:pt>
                <c:pt idx="319">
                  <c:v>-50.050534745149747</c:v>
                </c:pt>
                <c:pt idx="320">
                  <c:v>-50.147243718311316</c:v>
                </c:pt>
                <c:pt idx="321">
                  <c:v>-50.246563161426714</c:v>
                </c:pt>
                <c:pt idx="322">
                  <c:v>-50.346235038346826</c:v>
                </c:pt>
                <c:pt idx="323">
                  <c:v>-50.446246407890598</c:v>
                </c:pt>
                <c:pt idx="324">
                  <c:v>-50.546584626910949</c:v>
                </c:pt>
                <c:pt idx="325">
                  <c:v>-50.649528464728903</c:v>
                </c:pt>
                <c:pt idx="326">
                  <c:v>-50.752788351619529</c:v>
                </c:pt>
                <c:pt idx="327">
                  <c:v>-50.856351683407439</c:v>
                </c:pt>
                <c:pt idx="328">
                  <c:v>-50.960206151254631</c:v>
                </c:pt>
                <c:pt idx="329">
                  <c:v>-51.066835142354968</c:v>
                </c:pt>
                <c:pt idx="330">
                  <c:v>-51.173744169891755</c:v>
                </c:pt>
                <c:pt idx="331">
                  <c:v>-51.280920935850538</c:v>
                </c:pt>
                <c:pt idx="332">
                  <c:v>-51.388353436043126</c:v>
                </c:pt>
                <c:pt idx="333">
                  <c:v>-51.498369458295123</c:v>
                </c:pt>
                <c:pt idx="334">
                  <c:v>-51.608628008949843</c:v>
                </c:pt>
                <c:pt idx="335">
                  <c:v>-51.719117189058231</c:v>
                </c:pt>
                <c:pt idx="336">
                  <c:v>-51.829825389245038</c:v>
                </c:pt>
                <c:pt idx="337">
                  <c:v>-51.943462322757085</c:v>
                </c:pt>
                <c:pt idx="338">
                  <c:v>-52.057305375591774</c:v>
                </c:pt>
                <c:pt idx="339">
                  <c:v>-52.171342962731906</c:v>
                </c:pt>
                <c:pt idx="340">
                  <c:v>-52.285563787460106</c:v>
                </c:pt>
                <c:pt idx="341">
                  <c:v>-52.402695529941603</c:v>
                </c:pt>
                <c:pt idx="342">
                  <c:v>-52.519996306690075</c:v>
                </c:pt>
                <c:pt idx="343">
                  <c:v>-52.63745488357285</c:v>
                </c:pt>
                <c:pt idx="344">
                  <c:v>-52.755060312555351</c:v>
                </c:pt>
                <c:pt idx="345">
                  <c:v>-52.875370937232418</c:v>
                </c:pt>
                <c:pt idx="346">
                  <c:v>-52.995812660661109</c:v>
                </c:pt>
                <c:pt idx="347">
                  <c:v>-53.116374682137746</c:v>
                </c:pt>
                <c:pt idx="348">
                  <c:v>-53.237046482280618</c:v>
                </c:pt>
                <c:pt idx="349">
                  <c:v>-53.360764616907716</c:v>
                </c:pt>
                <c:pt idx="350">
                  <c:v>-53.484576477913059</c:v>
                </c:pt>
                <c:pt idx="351">
                  <c:v>-53.608471629165173</c:v>
                </c:pt>
                <c:pt idx="352">
                  <c:v>-53.732439913691145</c:v>
                </c:pt>
                <c:pt idx="353">
                  <c:v>-53.859425269470506</c:v>
                </c:pt>
                <c:pt idx="354">
                  <c:v>-53.98646660191001</c:v>
                </c:pt>
                <c:pt idx="355">
                  <c:v>-54.113553874097079</c:v>
                </c:pt>
                <c:pt idx="356">
                  <c:v>-54.240677325181409</c:v>
                </c:pt>
                <c:pt idx="357">
                  <c:v>-54.370599859379759</c:v>
                </c:pt>
                <c:pt idx="358">
                  <c:v>-54.500540413724252</c:v>
                </c:pt>
                <c:pt idx="359">
                  <c:v>-54.630489421993467</c:v>
                </c:pt>
                <c:pt idx="360">
                  <c:v>-54.76043758852915</c:v>
                </c:pt>
                <c:pt idx="361">
                  <c:v>-54.893517862767936</c:v>
                </c:pt>
                <c:pt idx="362">
                  <c:v>-55.026578356199515</c:v>
                </c:pt>
                <c:pt idx="363">
                  <c:v>-55.159609918866366</c:v>
                </c:pt>
                <c:pt idx="364">
                  <c:v>-55.292603668132912</c:v>
                </c:pt>
                <c:pt idx="365">
                  <c:v>-55.428504774331856</c:v>
                </c:pt>
                <c:pt idx="366">
                  <c:v>-55.564348422226686</c:v>
                </c:pt>
                <c:pt idx="367">
                  <c:v>-55.700125944148127</c:v>
                </c:pt>
                <c:pt idx="368">
                  <c:v>-55.835828934173463</c:v>
                </c:pt>
                <c:pt idx="369">
                  <c:v>-55.974764938925638</c:v>
                </c:pt>
                <c:pt idx="370">
                  <c:v>-56.113605673435138</c:v>
                </c:pt>
                <c:pt idx="371">
                  <c:v>-56.252342908710951</c:v>
                </c:pt>
                <c:pt idx="372">
                  <c:v>-56.390968673910244</c:v>
                </c:pt>
                <c:pt idx="373">
                  <c:v>-56.532596644055609</c:v>
                </c:pt>
                <c:pt idx="374">
                  <c:v>-56.674092000280439</c:v>
                </c:pt>
                <c:pt idx="375">
                  <c:v>-56.815447012265643</c:v>
                </c:pt>
                <c:pt idx="376">
                  <c:v>-56.956654201983277</c:v>
                </c:pt>
                <c:pt idx="377">
                  <c:v>-57.101180311921688</c:v>
                </c:pt>
                <c:pt idx="378">
                  <c:v>-57.245536110416268</c:v>
                </c:pt>
                <c:pt idx="379">
                  <c:v>-57.389714331698734</c:v>
                </c:pt>
                <c:pt idx="380">
                  <c:v>-57.53370795814935</c:v>
                </c:pt>
                <c:pt idx="381">
                  <c:v>-57.680602539943187</c:v>
                </c:pt>
                <c:pt idx="382">
                  <c:v>-57.82729045537117</c:v>
                </c:pt>
                <c:pt idx="383">
                  <c:v>-57.973764981146033</c:v>
                </c:pt>
                <c:pt idx="384">
                  <c:v>-58.120019634634012</c:v>
                </c:pt>
                <c:pt idx="385">
                  <c:v>-58.269664290068306</c:v>
                </c:pt>
                <c:pt idx="386">
                  <c:v>-58.419065000592944</c:v>
                </c:pt>
                <c:pt idx="387">
                  <c:v>-58.568215531385249</c:v>
                </c:pt>
                <c:pt idx="388">
                  <c:v>-58.717109883513217</c:v>
                </c:pt>
                <c:pt idx="389">
                  <c:v>-58.869153935478934</c:v>
                </c:pt>
                <c:pt idx="390">
                  <c:v>-59.020917928860754</c:v>
                </c:pt>
                <c:pt idx="391">
                  <c:v>-59.172396163514328</c:v>
                </c:pt>
                <c:pt idx="392">
                  <c:v>-59.323583168349565</c:v>
                </c:pt>
                <c:pt idx="393">
                  <c:v>-59.477859045421177</c:v>
                </c:pt>
                <c:pt idx="394">
                  <c:v>-59.631819600482537</c:v>
                </c:pt>
                <c:pt idx="395">
                  <c:v>-59.785459684324934</c:v>
                </c:pt>
                <c:pt idx="396">
                  <c:v>-59.938774369168385</c:v>
                </c:pt>
                <c:pt idx="397">
                  <c:v>-60.095468875599664</c:v>
                </c:pt>
                <c:pt idx="398">
                  <c:v>-60.251812209191975</c:v>
                </c:pt>
                <c:pt idx="399">
                  <c:v>-60.407799753376715</c:v>
                </c:pt>
                <c:pt idx="400">
                  <c:v>-60.563427106578622</c:v>
                </c:pt>
                <c:pt idx="401">
                  <c:v>-60.722190645961582</c:v>
                </c:pt>
                <c:pt idx="402">
                  <c:v>-60.880568899803613</c:v>
                </c:pt>
                <c:pt idx="403">
                  <c:v>-61.038557816038136</c:v>
                </c:pt>
                <c:pt idx="404">
                  <c:v>-61.196153549333303</c:v>
                </c:pt>
                <c:pt idx="405">
                  <c:v>-61.35699140413687</c:v>
                </c:pt>
                <c:pt idx="406">
                  <c:v>-61.517410127597188</c:v>
                </c:pt>
                <c:pt idx="407">
                  <c:v>-61.677406230288263</c:v>
                </c:pt>
                <c:pt idx="408">
                  <c:v>-61.836976421402802</c:v>
                </c:pt>
                <c:pt idx="409">
                  <c:v>-61.999889179796831</c:v>
                </c:pt>
                <c:pt idx="410">
                  <c:v>-62.162349201110558</c:v>
                </c:pt>
                <c:pt idx="411">
                  <c:v>-62.324353559536441</c:v>
                </c:pt>
                <c:pt idx="412">
                  <c:v>-62.4858995198028</c:v>
                </c:pt>
                <c:pt idx="413">
                  <c:v>-62.650713365211665</c:v>
                </c:pt>
                <c:pt idx="414">
                  <c:v>-62.815042102482039</c:v>
                </c:pt>
                <c:pt idx="415">
                  <c:v>-62.97888337972006</c:v>
                </c:pt>
                <c:pt idx="416">
                  <c:v>-63.142235026682251</c:v>
                </c:pt>
                <c:pt idx="417">
                  <c:v>-63.308946725148893</c:v>
                </c:pt>
                <c:pt idx="418">
                  <c:v>-63.475141276651748</c:v>
                </c:pt>
                <c:pt idx="419">
                  <c:v>-63.640816903891654</c:v>
                </c:pt>
                <c:pt idx="420">
                  <c:v>-63.805972002309289</c:v>
                </c:pt>
                <c:pt idx="421">
                  <c:v>-63.974243011341215</c:v>
                </c:pt>
                <c:pt idx="422">
                  <c:v>-64.141967330863366</c:v>
                </c:pt>
                <c:pt idx="423">
                  <c:v>-64.309143767184977</c:v>
                </c:pt>
                <c:pt idx="424">
                  <c:v>-64.475771289074686</c:v>
                </c:pt>
                <c:pt idx="425">
                  <c:v>-64.645928643044272</c:v>
                </c:pt>
                <c:pt idx="426">
                  <c:v>-64.815508041838441</c:v>
                </c:pt>
                <c:pt idx="427">
                  <c:v>-64.984508867877508</c:v>
                </c:pt>
                <c:pt idx="428">
                  <c:v>-65.152930656980359</c:v>
                </c:pt>
                <c:pt idx="429">
                  <c:v>-65.324635824592633</c:v>
                </c:pt>
                <c:pt idx="430">
                  <c:v>-65.495734431730583</c:v>
                </c:pt>
                <c:pt idx="431">
                  <c:v>-65.666226441684771</c:v>
                </c:pt>
                <c:pt idx="432">
                  <c:v>-65.836111960770879</c:v>
                </c:pt>
                <c:pt idx="433">
                  <c:v>-66.009198994474474</c:v>
                </c:pt>
                <c:pt idx="434">
                  <c:v>-66.181652552362678</c:v>
                </c:pt>
                <c:pt idx="435">
                  <c:v>-66.353473175017228</c:v>
                </c:pt>
                <c:pt idx="436">
                  <c:v>-66.524661535123059</c:v>
                </c:pt>
                <c:pt idx="437">
                  <c:v>-66.699282786603604</c:v>
                </c:pt>
                <c:pt idx="438">
                  <c:v>-66.873243052047982</c:v>
                </c:pt>
                <c:pt idx="439">
                  <c:v>-67.046543447972908</c:v>
                </c:pt>
                <c:pt idx="440">
                  <c:v>-67.219185212489066</c:v>
                </c:pt>
                <c:pt idx="441">
                  <c:v>-67.395172270028141</c:v>
                </c:pt>
                <c:pt idx="442">
                  <c:v>-67.570472611622336</c:v>
                </c:pt>
                <c:pt idx="443">
                  <c:v>-67.74508792466024</c:v>
                </c:pt>
                <c:pt idx="444">
                  <c:v>-67.919020007054399</c:v>
                </c:pt>
                <c:pt idx="445">
                  <c:v>-68.096210707910004</c:v>
                </c:pt>
                <c:pt idx="446">
                  <c:v>-68.272690821759667</c:v>
                </c:pt>
                <c:pt idx="447">
                  <c:v>-68.448462597526913</c:v>
                </c:pt>
                <c:pt idx="448">
                  <c:v>-68.623528383148638</c:v>
                </c:pt>
                <c:pt idx="449">
                  <c:v>-68.802065497085863</c:v>
                </c:pt>
                <c:pt idx="450">
                  <c:v>-68.979867616237343</c:v>
                </c:pt>
                <c:pt idx="451">
                  <c:v>-69.156937552126493</c:v>
                </c:pt>
                <c:pt idx="452">
                  <c:v>-69.333278204027735</c:v>
                </c:pt>
                <c:pt idx="453">
                  <c:v>-69.512852042966912</c:v>
                </c:pt>
                <c:pt idx="454">
                  <c:v>-69.691669662849009</c:v>
                </c:pt>
                <c:pt idx="455">
                  <c:v>-69.869734417819913</c:v>
                </c:pt>
                <c:pt idx="456">
                  <c:v>-70.047049737858487</c:v>
                </c:pt>
                <c:pt idx="457">
                  <c:v>-70.227800364004139</c:v>
                </c:pt>
                <c:pt idx="458">
                  <c:v>-70.40777306120431</c:v>
                </c:pt>
                <c:pt idx="459">
                  <c:v>-70.586971727097406</c:v>
                </c:pt>
                <c:pt idx="460">
                  <c:v>-70.765400323444624</c:v>
                </c:pt>
                <c:pt idx="461">
                  <c:v>-70.947172295732784</c:v>
                </c:pt>
                <c:pt idx="462">
                  <c:v>-71.128146660269465</c:v>
                </c:pt>
                <c:pt idx="463">
                  <c:v>-71.308327841410289</c:v>
                </c:pt>
                <c:pt idx="464">
                  <c:v>-71.48772031565872</c:v>
                </c:pt>
                <c:pt idx="465">
                  <c:v>-71.670505371255899</c:v>
                </c:pt>
                <c:pt idx="466">
                  <c:v>-71.852473953358839</c:v>
                </c:pt>
                <c:pt idx="467">
                  <c:v>-72.033631004129319</c:v>
                </c:pt>
                <c:pt idx="468">
                  <c:v>-72.213981505877896</c:v>
                </c:pt>
                <c:pt idx="469">
                  <c:v>-72.397632937544856</c:v>
                </c:pt>
                <c:pt idx="470">
                  <c:v>-72.580451113884664</c:v>
                </c:pt>
                <c:pt idx="471">
                  <c:v>-72.762441473313444</c:v>
                </c:pt>
                <c:pt idx="472">
                  <c:v>-72.943609482288451</c:v>
                </c:pt>
                <c:pt idx="473">
                  <c:v>-73.12825758381193</c:v>
                </c:pt>
                <c:pt idx="474">
                  <c:v>-73.312055262479689</c:v>
                </c:pt>
                <c:pt idx="475">
                  <c:v>-73.495008454403347</c:v>
                </c:pt>
                <c:pt idx="476">
                  <c:v>-73.677123111722963</c:v>
                </c:pt>
                <c:pt idx="477">
                  <c:v>-73.862623465297446</c:v>
                </c:pt>
                <c:pt idx="478">
                  <c:v>-74.047258361583204</c:v>
                </c:pt>
                <c:pt idx="479">
                  <c:v>-74.231034210135746</c:v>
                </c:pt>
                <c:pt idx="480">
                  <c:v>-74.413957424493418</c:v>
                </c:pt>
                <c:pt idx="481">
                  <c:v>-74.600174509252824</c:v>
                </c:pt>
                <c:pt idx="482">
                  <c:v>-74.785513221700057</c:v>
                </c:pt>
                <c:pt idx="483">
                  <c:v>-74.969980417824175</c:v>
                </c:pt>
                <c:pt idx="484">
                  <c:v>-75.15358294563957</c:v>
                </c:pt>
                <c:pt idx="485">
                  <c:v>-75.340517178144438</c:v>
                </c:pt>
                <c:pt idx="486">
                  <c:v>-75.52656100504781</c:v>
                </c:pt>
                <c:pt idx="487">
                  <c:v>-75.711721714351015</c:v>
                </c:pt>
                <c:pt idx="488">
                  <c:v>-75.896006574266067</c:v>
                </c:pt>
                <c:pt idx="489">
                  <c:v>-76.083782322715109</c:v>
                </c:pt>
                <c:pt idx="490">
                  <c:v>-76.270655334155762</c:v>
                </c:pt>
                <c:pt idx="491">
                  <c:v>-76.456633329070769</c:v>
                </c:pt>
                <c:pt idx="492">
                  <c:v>-76.641723996401964</c:v>
                </c:pt>
                <c:pt idx="493">
                  <c:v>-76.830211403970395</c:v>
                </c:pt>
                <c:pt idx="494">
                  <c:v>-77.017785884136501</c:v>
                </c:pt>
                <c:pt idx="495">
                  <c:v>-77.204455559383177</c:v>
                </c:pt>
                <c:pt idx="496">
                  <c:v>-77.390228509118245</c:v>
                </c:pt>
                <c:pt idx="497">
                  <c:v>-77.579426973252907</c:v>
                </c:pt>
                <c:pt idx="498">
                  <c:v>-77.767703244903259</c:v>
                </c:pt>
                <c:pt idx="499">
                  <c:v>-77.955065832405367</c:v>
                </c:pt>
                <c:pt idx="500">
                  <c:v>-78.141523189669087</c:v>
                </c:pt>
                <c:pt idx="501">
                  <c:v>-78.331432200379609</c:v>
                </c:pt>
                <c:pt idx="502">
                  <c:v>-78.520410688487303</c:v>
                </c:pt>
                <c:pt idx="503">
                  <c:v>-78.708467531412822</c:v>
                </c:pt>
                <c:pt idx="504">
                  <c:v>-78.895611541001557</c:v>
                </c:pt>
                <c:pt idx="505">
                  <c:v>-79.086115654964757</c:v>
                </c:pt>
                <c:pt idx="506">
                  <c:v>-79.275682989042764</c:v>
                </c:pt>
                <c:pt idx="507">
                  <c:v>-79.464322755638193</c:v>
                </c:pt>
                <c:pt idx="508">
                  <c:v>-79.652044090840107</c:v>
                </c:pt>
                <c:pt idx="509">
                  <c:v>-79.843150350905091</c:v>
                </c:pt>
                <c:pt idx="510">
                  <c:v>-80.033314458918582</c:v>
                </c:pt>
                <c:pt idx="511">
                  <c:v>-80.222545944067889</c:v>
                </c:pt>
                <c:pt idx="512">
                  <c:v>-80.41085424877889</c:v>
                </c:pt>
                <c:pt idx="513">
                  <c:v>-80.602680973344278</c:v>
                </c:pt>
                <c:pt idx="514">
                  <c:v>-80.793559964732921</c:v>
                </c:pt>
                <c:pt idx="515">
                  <c:v>-80.983501067333748</c:v>
                </c:pt>
                <c:pt idx="516">
                  <c:v>-81.172514028409282</c:v>
                </c:pt>
                <c:pt idx="517">
                  <c:v>-81.364954250972772</c:v>
                </c:pt>
                <c:pt idx="518">
                  <c:v>-81.556443171809846</c:v>
                </c:pt>
                <c:pt idx="519">
                  <c:v>-81.746990914378671</c:v>
                </c:pt>
                <c:pt idx="520">
                  <c:v>-81.936607495181562</c:v>
                </c:pt>
                <c:pt idx="521">
                  <c:v>-82.12967029618757</c:v>
                </c:pt>
                <c:pt idx="522">
                  <c:v>-82.321779096575455</c:v>
                </c:pt>
                <c:pt idx="523">
                  <c:v>-82.512944279488991</c:v>
                </c:pt>
                <c:pt idx="524">
                  <c:v>-82.703176111636466</c:v>
                </c:pt>
                <c:pt idx="525">
                  <c:v>-82.896871508498819</c:v>
                </c:pt>
                <c:pt idx="526">
                  <c:v>-83.089611063865732</c:v>
                </c:pt>
                <c:pt idx="527">
                  <c:v>-83.281405400891074</c:v>
                </c:pt>
                <c:pt idx="528">
                  <c:v>-83.472265017181869</c:v>
                </c:pt>
                <c:pt idx="529">
                  <c:v>-83.666604087446217</c:v>
                </c:pt>
                <c:pt idx="530">
                  <c:v>-83.859986318588909</c:v>
                </c:pt>
                <c:pt idx="531">
                  <c:v>-84.052422553857582</c:v>
                </c:pt>
                <c:pt idx="532">
                  <c:v>-84.243923502229663</c:v>
                </c:pt>
                <c:pt idx="533">
                  <c:v>-84.439018911526574</c:v>
                </c:pt>
                <c:pt idx="534">
                  <c:v>-84.633156326779897</c:v>
                </c:pt>
                <c:pt idx="535">
                  <c:v>-84.826346808235627</c:v>
                </c:pt>
                <c:pt idx="536">
                  <c:v>-85.01860127325881</c:v>
                </c:pt>
                <c:pt idx="537">
                  <c:v>-85.214263743366288</c:v>
                </c:pt>
                <c:pt idx="538">
                  <c:v>-85.408969857036951</c:v>
                </c:pt>
                <c:pt idx="539">
                  <c:v>-85.602730836994567</c:v>
                </c:pt>
                <c:pt idx="540">
                  <c:v>-85.795557755483941</c:v>
                </c:pt>
                <c:pt idx="541">
                  <c:v>-85.992001114502358</c:v>
                </c:pt>
                <c:pt idx="542">
                  <c:v>-86.187488593141779</c:v>
                </c:pt>
                <c:pt idx="543">
                  <c:v>-86.382031590373927</c:v>
                </c:pt>
                <c:pt idx="544">
                  <c:v>-86.575641346925337</c:v>
                </c:pt>
                <c:pt idx="545">
                  <c:v>-86.772781545618372</c:v>
                </c:pt>
                <c:pt idx="546">
                  <c:v>-86.968968075710407</c:v>
                </c:pt>
                <c:pt idx="547">
                  <c:v>-87.164212474960948</c:v>
                </c:pt>
                <c:pt idx="548">
                  <c:v>-87.358526115878519</c:v>
                </c:pt>
                <c:pt idx="549">
                  <c:v>-87.556380959526891</c:v>
                </c:pt>
                <c:pt idx="550">
                  <c:v>-87.753285069968484</c:v>
                </c:pt>
                <c:pt idx="551">
                  <c:v>-87.949250103585882</c:v>
                </c:pt>
                <c:pt idx="552">
                  <c:v>-88.144287544970254</c:v>
                </c:pt>
                <c:pt idx="553">
                  <c:v>-88.342967468756285</c:v>
                </c:pt>
                <c:pt idx="554">
                  <c:v>-88.540699419702221</c:v>
                </c:pt>
                <c:pt idx="555">
                  <c:v>-88.73749516894415</c:v>
                </c:pt>
                <c:pt idx="556">
                  <c:v>-88.933366309436295</c:v>
                </c:pt>
                <c:pt idx="557">
                  <c:v>-89.331463038734398</c:v>
                </c:pt>
                <c:pt idx="558">
                  <c:v>-89.725829094794733</c:v>
                </c:pt>
                <c:pt idx="559">
                  <c:v>-90.12547129021894</c:v>
                </c:pt>
                <c:pt idx="560">
                  <c:v>-90.521403010987726</c:v>
                </c:pt>
                <c:pt idx="561">
                  <c:v>-90.92298219476487</c:v>
                </c:pt>
                <c:pt idx="562">
                  <c:v>-91.320867088863082</c:v>
                </c:pt>
                <c:pt idx="563">
                  <c:v>-91.723573574316717</c:v>
                </c:pt>
                <c:pt idx="564">
                  <c:v>-92.122619754121445</c:v>
                </c:pt>
                <c:pt idx="565">
                  <c:v>-92.528023786883537</c:v>
                </c:pt>
                <c:pt idx="566">
                  <c:v>-92.929776090255842</c:v>
                </c:pt>
                <c:pt idx="567">
                  <c:v>-93.337718354911132</c:v>
                </c:pt>
                <c:pt idx="568">
                  <c:v>-93.742023572942671</c:v>
                </c:pt>
                <c:pt idx="569">
                  <c:v>-94.150765924921018</c:v>
                </c:pt>
                <c:pt idx="570">
                  <c:v>-94.555919308269495</c:v>
                </c:pt>
                <c:pt idx="571">
                  <c:v>-94.968554640977658</c:v>
                </c:pt>
                <c:pt idx="572">
                  <c:v>-95.377597712792436</c:v>
                </c:pt>
                <c:pt idx="573">
                  <c:v>-95.79084891145402</c:v>
                </c:pt>
                <c:pt idx="574">
                  <c:v>-96.200563813170461</c:v>
                </c:pt>
                <c:pt idx="575">
                  <c:v>-96.61744117939179</c:v>
                </c:pt>
                <c:pt idx="576">
                  <c:v>-97.030789118307311</c:v>
                </c:pt>
                <c:pt idx="577">
                  <c:v>-98.743716800927331</c:v>
                </c:pt>
                <c:pt idx="578">
                  <c:v>-100.40143488103307</c:v>
                </c:pt>
                <c:pt idx="579">
                  <c:v>-103.86708566733665</c:v>
                </c:pt>
                <c:pt idx="580">
                  <c:v>-107.45017748739016</c:v>
                </c:pt>
                <c:pt idx="581">
                  <c:v>-111.16301887978152</c:v>
                </c:pt>
                <c:pt idx="582">
                  <c:v>-115.02548213366467</c:v>
                </c:pt>
                <c:pt idx="583">
                  <c:v>-119.05175206290365</c:v>
                </c:pt>
                <c:pt idx="584">
                  <c:v>-123.26091837555944</c:v>
                </c:pt>
                <c:pt idx="585">
                  <c:v>-127.66507994238859</c:v>
                </c:pt>
                <c:pt idx="586">
                  <c:v>-132.2770794633241</c:v>
                </c:pt>
                <c:pt idx="587">
                  <c:v>-137.10900225519518</c:v>
                </c:pt>
                <c:pt idx="588">
                  <c:v>-142.16236133537961</c:v>
                </c:pt>
                <c:pt idx="589">
                  <c:v>-147.44344877381477</c:v>
                </c:pt>
                <c:pt idx="590">
                  <c:v>-152.94841163845746</c:v>
                </c:pt>
                <c:pt idx="591">
                  <c:v>-158.67132754776799</c:v>
                </c:pt>
                <c:pt idx="592">
                  <c:v>-164.60051349195535</c:v>
                </c:pt>
                <c:pt idx="593">
                  <c:v>-170.72251851182148</c:v>
                </c:pt>
                <c:pt idx="594">
                  <c:v>-177.0164824147069</c:v>
                </c:pt>
                <c:pt idx="595">
                  <c:v>-183.46079788902318</c:v>
                </c:pt>
                <c:pt idx="596">
                  <c:v>-190.02817049538982</c:v>
                </c:pt>
                <c:pt idx="597">
                  <c:v>-196.69143715094538</c:v>
                </c:pt>
                <c:pt idx="598">
                  <c:v>-203.41833324204313</c:v>
                </c:pt>
                <c:pt idx="599">
                  <c:v>-210.17840968058624</c:v>
                </c:pt>
                <c:pt idx="600">
                  <c:v>-216.93739457342664</c:v>
                </c:pt>
              </c:numCache>
            </c:numRef>
          </c:yVal>
          <c:smooth val="0"/>
          <c:extLst>
            <c:ext xmlns:c16="http://schemas.microsoft.com/office/drawing/2014/chart" uri="{C3380CC4-5D6E-409C-BE32-E72D297353CC}">
              <c16:uniqueId val="{00000001-C921-4838-A0BE-4B6A27AAB705}"/>
            </c:ext>
          </c:extLst>
        </c:ser>
        <c:dLbls>
          <c:showLegendKey val="0"/>
          <c:showVal val="0"/>
          <c:showCatName val="0"/>
          <c:showSerName val="0"/>
          <c:showPercent val="0"/>
          <c:showBubbleSize val="0"/>
        </c:dLbls>
        <c:axId val="182174464"/>
        <c:axId val="182176000"/>
      </c:scatterChart>
      <c:valAx>
        <c:axId val="182162176"/>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164096"/>
        <c:crossesAt val="-40"/>
        <c:crossBetween val="midCat"/>
        <c:majorUnit val="10"/>
        <c:minorUnit val="10"/>
      </c:valAx>
      <c:valAx>
        <c:axId val="182164096"/>
        <c:scaling>
          <c:orientation val="minMax"/>
          <c:max val="10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82162176"/>
        <c:crossesAt val="0.1"/>
        <c:crossBetween val="midCat"/>
        <c:majorUnit val="20"/>
        <c:minorUnit val="4"/>
      </c:valAx>
      <c:valAx>
        <c:axId val="182174464"/>
        <c:scaling>
          <c:logBase val="10"/>
          <c:orientation val="minMax"/>
        </c:scaling>
        <c:delete val="1"/>
        <c:axPos val="t"/>
        <c:numFmt formatCode="General" sourceLinked="1"/>
        <c:majorTickMark val="out"/>
        <c:minorTickMark val="none"/>
        <c:tickLblPos val="none"/>
        <c:crossAx val="182176000"/>
        <c:crossesAt val="0"/>
        <c:crossBetween val="midCat"/>
      </c:valAx>
      <c:valAx>
        <c:axId val="182176000"/>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8217446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Ch2 Bode Plot</a:t>
            </a:r>
          </a:p>
        </c:rich>
      </c:tx>
      <c:layout>
        <c:manualLayout>
          <c:xMode val="edge"/>
          <c:yMode val="edge"/>
          <c:x val="0.35617103984450921"/>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'Ch2 Stability Calculations'!$Q$12</c:f>
              <c:strCache>
                <c:ptCount val="1"/>
                <c:pt idx="0">
                  <c:v>Gain (dB)</c:v>
                </c:pt>
              </c:strCache>
            </c:strRef>
          </c:tx>
          <c:spPr>
            <a:ln w="25400">
              <a:solidFill>
                <a:srgbClr val="FF0000"/>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Calculations'!$Q$13:$Q$613</c:f>
              <c:numCache>
                <c:formatCode>0.00</c:formatCode>
                <c:ptCount val="601"/>
                <c:pt idx="0">
                  <c:v>90.554381466353362</c:v>
                </c:pt>
                <c:pt idx="1">
                  <c:v>89.91703837774287</c:v>
                </c:pt>
                <c:pt idx="2">
                  <c:v>89.25718122074241</c:v>
                </c:pt>
                <c:pt idx="3">
                  <c:v>88.577329995733365</c:v>
                </c:pt>
                <c:pt idx="4">
                  <c:v>87.880344193531826</c:v>
                </c:pt>
                <c:pt idx="5">
                  <c:v>87.167288419613953</c:v>
                </c:pt>
                <c:pt idx="6">
                  <c:v>86.441203740019716</c:v>
                </c:pt>
                <c:pt idx="7">
                  <c:v>85.703454807704702</c:v>
                </c:pt>
                <c:pt idx="8">
                  <c:v>84.956217878851731</c:v>
                </c:pt>
                <c:pt idx="9">
                  <c:v>84.200368108673715</c:v>
                </c:pt>
                <c:pt idx="10">
                  <c:v>83.437593103478804</c:v>
                </c:pt>
                <c:pt idx="11">
                  <c:v>82.668872269269599</c:v>
                </c:pt>
                <c:pt idx="12">
                  <c:v>81.894728440023556</c:v>
                </c:pt>
                <c:pt idx="13">
                  <c:v>81.116702722318323</c:v>
                </c:pt>
                <c:pt idx="14">
                  <c:v>80.334853834156362</c:v>
                </c:pt>
                <c:pt idx="15">
                  <c:v>79.550056485582516</c:v>
                </c:pt>
                <c:pt idx="16">
                  <c:v>78.762733810191619</c:v>
                </c:pt>
                <c:pt idx="17">
                  <c:v>77.97340770948891</c:v>
                </c:pt>
                <c:pt idx="18">
                  <c:v>77.182193076230291</c:v>
                </c:pt>
                <c:pt idx="19">
                  <c:v>76.389590917760174</c:v>
                </c:pt>
                <c:pt idx="20">
                  <c:v>75.595684650111991</c:v>
                </c:pt>
                <c:pt idx="21">
                  <c:v>74.80083782106108</c:v>
                </c:pt>
                <c:pt idx="22">
                  <c:v>74.00504882563294</c:v>
                </c:pt>
                <c:pt idx="23">
                  <c:v>73.20865475660365</c:v>
                </c:pt>
                <c:pt idx="24">
                  <c:v>72.411569713603186</c:v>
                </c:pt>
                <c:pt idx="25">
                  <c:v>71.614014227970188</c:v>
                </c:pt>
                <c:pt idx="26">
                  <c:v>70.815883338011304</c:v>
                </c:pt>
                <c:pt idx="27">
                  <c:v>70.017498516513243</c:v>
                </c:pt>
                <c:pt idx="28">
                  <c:v>69.218885011698205</c:v>
                </c:pt>
                <c:pt idx="29">
                  <c:v>68.420586105786768</c:v>
                </c:pt>
                <c:pt idx="30">
                  <c:v>67.621291116472136</c:v>
                </c:pt>
                <c:pt idx="31">
                  <c:v>66.822149835227322</c:v>
                </c:pt>
                <c:pt idx="32">
                  <c:v>66.022648178944067</c:v>
                </c:pt>
                <c:pt idx="33">
                  <c:v>65.223379651359437</c:v>
                </c:pt>
                <c:pt idx="34">
                  <c:v>64.423748299705622</c:v>
                </c:pt>
                <c:pt idx="35">
                  <c:v>63.624221799548394</c:v>
                </c:pt>
                <c:pt idx="36">
                  <c:v>62.824693186991773</c:v>
                </c:pt>
                <c:pt idx="37">
                  <c:v>62.024745427226236</c:v>
                </c:pt>
                <c:pt idx="38">
                  <c:v>61.225152299530457</c:v>
                </c:pt>
                <c:pt idx="39">
                  <c:v>60.425280235989476</c:v>
                </c:pt>
                <c:pt idx="40">
                  <c:v>59.625441065762523</c:v>
                </c:pt>
                <c:pt idx="41">
                  <c:v>58.825574036524266</c:v>
                </c:pt>
                <c:pt idx="42">
                  <c:v>58.025796178655753</c:v>
                </c:pt>
                <c:pt idx="43">
                  <c:v>57.225878090738142</c:v>
                </c:pt>
                <c:pt idx="44">
                  <c:v>56.426037125030184</c:v>
                </c:pt>
                <c:pt idx="45">
                  <c:v>55.626115820842649</c:v>
                </c:pt>
                <c:pt idx="46">
                  <c:v>54.826279098673638</c:v>
                </c:pt>
                <c:pt idx="47">
                  <c:v>54.026357820360154</c:v>
                </c:pt>
                <c:pt idx="48">
                  <c:v>53.226551798243676</c:v>
                </c:pt>
                <c:pt idx="49">
                  <c:v>52.42665974099458</c:v>
                </c:pt>
                <c:pt idx="50">
                  <c:v>51.626808293199026</c:v>
                </c:pt>
                <c:pt idx="51">
                  <c:v>50.826814700836962</c:v>
                </c:pt>
                <c:pt idx="52">
                  <c:v>50.0269382238194</c:v>
                </c:pt>
                <c:pt idx="53">
                  <c:v>49.227153545722246</c:v>
                </c:pt>
                <c:pt idx="54">
                  <c:v>48.427964742932346</c:v>
                </c:pt>
                <c:pt idx="55">
                  <c:v>47.62802960989746</c:v>
                </c:pt>
                <c:pt idx="56">
                  <c:v>46.828477375624374</c:v>
                </c:pt>
                <c:pt idx="57">
                  <c:v>46.028779683698005</c:v>
                </c:pt>
                <c:pt idx="58">
                  <c:v>45.229523449825123</c:v>
                </c:pt>
                <c:pt idx="59">
                  <c:v>44.430113058992795</c:v>
                </c:pt>
                <c:pt idx="60">
                  <c:v>43.631023495643689</c:v>
                </c:pt>
                <c:pt idx="61">
                  <c:v>42.832162435625953</c:v>
                </c:pt>
                <c:pt idx="62">
                  <c:v>42.033135771178955</c:v>
                </c:pt>
                <c:pt idx="63">
                  <c:v>41.234747284878132</c:v>
                </c:pt>
                <c:pt idx="64">
                  <c:v>40.436404670047409</c:v>
                </c:pt>
                <c:pt idx="65">
                  <c:v>39.638470416477297</c:v>
                </c:pt>
                <c:pt idx="66">
                  <c:v>38.840947401565579</c:v>
                </c:pt>
                <c:pt idx="67">
                  <c:v>38.044030093283503</c:v>
                </c:pt>
                <c:pt idx="68">
                  <c:v>37.247584562307217</c:v>
                </c:pt>
                <c:pt idx="69">
                  <c:v>36.451941490433001</c:v>
                </c:pt>
                <c:pt idx="70">
                  <c:v>35.657081439589426</c:v>
                </c:pt>
                <c:pt idx="71">
                  <c:v>34.86333234274543</c:v>
                </c:pt>
                <c:pt idx="72">
                  <c:v>34.070721847004705</c:v>
                </c:pt>
                <c:pt idx="73">
                  <c:v>33.27967986514026</c:v>
                </c:pt>
                <c:pt idx="74">
                  <c:v>32.490281543122123</c:v>
                </c:pt>
                <c:pt idx="75">
                  <c:v>31.702974888114991</c:v>
                </c:pt>
                <c:pt idx="76">
                  <c:v>30.917958689577127</c:v>
                </c:pt>
                <c:pt idx="77">
                  <c:v>30.135927882328307</c:v>
                </c:pt>
                <c:pt idx="78">
                  <c:v>29.357365696488536</c:v>
                </c:pt>
                <c:pt idx="79">
                  <c:v>28.583341319167989</c:v>
                </c:pt>
                <c:pt idx="80">
                  <c:v>27.813218093245236</c:v>
                </c:pt>
                <c:pt idx="81">
                  <c:v>27.048828188397621</c:v>
                </c:pt>
                <c:pt idx="82">
                  <c:v>26.290482962736505</c:v>
                </c:pt>
                <c:pt idx="83">
                  <c:v>25.53962089283899</c:v>
                </c:pt>
                <c:pt idx="84">
                  <c:v>24.796613319075473</c:v>
                </c:pt>
                <c:pt idx="85">
                  <c:v>24.062853915884265</c:v>
                </c:pt>
                <c:pt idx="86">
                  <c:v>23.339181880076971</c:v>
                </c:pt>
                <c:pt idx="87">
                  <c:v>22.626095877939257</c:v>
                </c:pt>
                <c:pt idx="88">
                  <c:v>21.925013521777608</c:v>
                </c:pt>
                <c:pt idx="89">
                  <c:v>21.235882169364466</c:v>
                </c:pt>
                <c:pt idx="90">
                  <c:v>20.559171285561494</c:v>
                </c:pt>
                <c:pt idx="91">
                  <c:v>19.894630599783866</c:v>
                </c:pt>
                <c:pt idx="92">
                  <c:v>19.241692722460062</c:v>
                </c:pt>
                <c:pt idx="93">
                  <c:v>18.598999779000994</c:v>
                </c:pt>
                <c:pt idx="94">
                  <c:v>18.439822891314734</c:v>
                </c:pt>
                <c:pt idx="95">
                  <c:v>18.359937557197167</c:v>
                </c:pt>
                <c:pt idx="96">
                  <c:v>18.281090236387985</c:v>
                </c:pt>
                <c:pt idx="97">
                  <c:v>18.201459350846974</c:v>
                </c:pt>
                <c:pt idx="98">
                  <c:v>18.122855041071439</c:v>
                </c:pt>
                <c:pt idx="99">
                  <c:v>18.043441382541474</c:v>
                </c:pt>
                <c:pt idx="100">
                  <c:v>17.965043158088029</c:v>
                </c:pt>
                <c:pt idx="101">
                  <c:v>17.885870317323242</c:v>
                </c:pt>
                <c:pt idx="102">
                  <c:v>17.807700535675085</c:v>
                </c:pt>
                <c:pt idx="103">
                  <c:v>17.728673647807895</c:v>
                </c:pt>
                <c:pt idx="104">
                  <c:v>17.650639212073006</c:v>
                </c:pt>
                <c:pt idx="105">
                  <c:v>17.571782732601349</c:v>
                </c:pt>
                <c:pt idx="106">
                  <c:v>17.493906883729174</c:v>
                </c:pt>
                <c:pt idx="107">
                  <c:v>17.415241324810079</c:v>
                </c:pt>
                <c:pt idx="108">
                  <c:v>17.337543518215426</c:v>
                </c:pt>
                <c:pt idx="109">
                  <c:v>17.259032669385931</c:v>
                </c:pt>
                <c:pt idx="110">
                  <c:v>17.181477073043723</c:v>
                </c:pt>
                <c:pt idx="111">
                  <c:v>17.103034716221348</c:v>
                </c:pt>
                <c:pt idx="112">
                  <c:v>17.025536702681144</c:v>
                </c:pt>
                <c:pt idx="113">
                  <c:v>16.947184463890956</c:v>
                </c:pt>
                <c:pt idx="114">
                  <c:v>16.869764679431032</c:v>
                </c:pt>
                <c:pt idx="115">
                  <c:v>16.791471349862789</c:v>
                </c:pt>
                <c:pt idx="116">
                  <c:v>16.714098915567757</c:v>
                </c:pt>
                <c:pt idx="117">
                  <c:v>16.635834799290173</c:v>
                </c:pt>
                <c:pt idx="118">
                  <c:v>16.558480344768405</c:v>
                </c:pt>
                <c:pt idx="119">
                  <c:v>16.480264343774639</c:v>
                </c:pt>
                <c:pt idx="120">
                  <c:v>16.402946024404667</c:v>
                </c:pt>
                <c:pt idx="121">
                  <c:v>16.324748060736866</c:v>
                </c:pt>
                <c:pt idx="122">
                  <c:v>16.247436236382555</c:v>
                </c:pt>
                <c:pt idx="123">
                  <c:v>16.169182739909942</c:v>
                </c:pt>
                <c:pt idx="124">
                  <c:v>16.091805279433423</c:v>
                </c:pt>
                <c:pt idx="125">
                  <c:v>16.01351630001259</c:v>
                </c:pt>
                <c:pt idx="126">
                  <c:v>15.936092635327563</c:v>
                </c:pt>
                <c:pt idx="127">
                  <c:v>15.857742558810621</c:v>
                </c:pt>
                <c:pt idx="128">
                  <c:v>15.780247531871737</c:v>
                </c:pt>
                <c:pt idx="129">
                  <c:v>15.701812210369994</c:v>
                </c:pt>
                <c:pt idx="130">
                  <c:v>15.624222139139787</c:v>
                </c:pt>
                <c:pt idx="131">
                  <c:v>15.545678874992788</c:v>
                </c:pt>
                <c:pt idx="132">
                  <c:v>15.506722192030228</c:v>
                </c:pt>
                <c:pt idx="133">
                  <c:v>15.46797153875697</c:v>
                </c:pt>
                <c:pt idx="134">
                  <c:v>15.428510148750174</c:v>
                </c:pt>
                <c:pt idx="135">
                  <c:v>15.389258675205442</c:v>
                </c:pt>
                <c:pt idx="136">
                  <c:v>15.350214169651608</c:v>
                </c:pt>
                <c:pt idx="137">
                  <c:v>15.311373748200189</c:v>
                </c:pt>
                <c:pt idx="138">
                  <c:v>15.271859648302327</c:v>
                </c:pt>
                <c:pt idx="139">
                  <c:v>15.232553103111602</c:v>
                </c:pt>
                <c:pt idx="140">
                  <c:v>15.193451226590295</c:v>
                </c:pt>
                <c:pt idx="141">
                  <c:v>15.154551196211351</c:v>
                </c:pt>
                <c:pt idx="142">
                  <c:v>15.114934913733769</c:v>
                </c:pt>
                <c:pt idx="143">
                  <c:v>15.075524374454472</c:v>
                </c:pt>
                <c:pt idx="144">
                  <c:v>15.036316746270511</c:v>
                </c:pt>
                <c:pt idx="145">
                  <c:v>14.997309259698886</c:v>
                </c:pt>
                <c:pt idx="146">
                  <c:v>14.957602523820743</c:v>
                </c:pt>
                <c:pt idx="147">
                  <c:v>14.91809963702581</c:v>
                </c:pt>
                <c:pt idx="148">
                  <c:v>14.878797825657495</c:v>
                </c:pt>
                <c:pt idx="149">
                  <c:v>14.839694377586</c:v>
                </c:pt>
                <c:pt idx="150">
                  <c:v>14.799889333753203</c:v>
                </c:pt>
                <c:pt idx="151">
                  <c:v>14.760286378591934</c:v>
                </c:pt>
                <c:pt idx="152">
                  <c:v>14.720882796727112</c:v>
                </c:pt>
                <c:pt idx="153">
                  <c:v>14.681675933148792</c:v>
                </c:pt>
                <c:pt idx="154">
                  <c:v>14.641747130426438</c:v>
                </c:pt>
                <c:pt idx="155">
                  <c:v>14.602018974899638</c:v>
                </c:pt>
                <c:pt idx="156">
                  <c:v>14.562488805447583</c:v>
                </c:pt>
                <c:pt idx="157">
                  <c:v>14.523154020196733</c:v>
                </c:pt>
                <c:pt idx="158">
                  <c:v>14.483096136302173</c:v>
                </c:pt>
                <c:pt idx="159">
                  <c:v>14.443237579570791</c:v>
                </c:pt>
                <c:pt idx="160">
                  <c:v>14.403575742919596</c:v>
                </c:pt>
                <c:pt idx="161">
                  <c:v>14.364108077324893</c:v>
                </c:pt>
                <c:pt idx="162">
                  <c:v>14.323934059360168</c:v>
                </c:pt>
                <c:pt idx="163">
                  <c:v>14.283957999279338</c:v>
                </c:pt>
                <c:pt idx="164">
                  <c:v>14.244177346874878</c:v>
                </c:pt>
                <c:pt idx="165">
                  <c:v>14.204589608649274</c:v>
                </c:pt>
                <c:pt idx="166">
                  <c:v>14.164259906841375</c:v>
                </c:pt>
                <c:pt idx="167">
                  <c:v>14.124127268692813</c:v>
                </c:pt>
                <c:pt idx="168">
                  <c:v>14.084189193370198</c:v>
                </c:pt>
                <c:pt idx="169">
                  <c:v>14.044443235545058</c:v>
                </c:pt>
                <c:pt idx="170">
                  <c:v>14.004040219643274</c:v>
                </c:pt>
                <c:pt idx="171">
                  <c:v>13.963832667885532</c:v>
                </c:pt>
                <c:pt idx="172">
                  <c:v>13.923818143395557</c:v>
                </c:pt>
                <c:pt idx="173">
                  <c:v>13.883994263091775</c:v>
                </c:pt>
                <c:pt idx="174">
                  <c:v>13.84336189371297</c:v>
                </c:pt>
                <c:pt idx="175">
                  <c:v>13.802924996163355</c:v>
                </c:pt>
                <c:pt idx="176">
                  <c:v>13.76268116865411</c:v>
                </c:pt>
                <c:pt idx="177">
                  <c:v>13.722628062253108</c:v>
                </c:pt>
                <c:pt idx="178">
                  <c:v>13.681785454706205</c:v>
                </c:pt>
                <c:pt idx="179">
                  <c:v>13.641138234495605</c:v>
                </c:pt>
                <c:pt idx="180">
                  <c:v>13.600684037890833</c:v>
                </c:pt>
                <c:pt idx="181">
                  <c:v>13.560420552917225</c:v>
                </c:pt>
                <c:pt idx="182">
                  <c:v>13.51954592405438</c:v>
                </c:pt>
                <c:pt idx="183">
                  <c:v>13.478865010750557</c:v>
                </c:pt>
                <c:pt idx="184">
                  <c:v>13.438375516365436</c:v>
                </c:pt>
                <c:pt idx="185">
                  <c:v>13.398075194003184</c:v>
                </c:pt>
                <c:pt idx="186">
                  <c:v>13.35686331043763</c:v>
                </c:pt>
                <c:pt idx="187">
                  <c:v>13.315846473465392</c:v>
                </c:pt>
                <c:pt idx="188">
                  <c:v>13.275022400623818</c:v>
                </c:pt>
                <c:pt idx="189">
                  <c:v>13.234388858640315</c:v>
                </c:pt>
                <c:pt idx="190">
                  <c:v>13.193173624495797</c:v>
                </c:pt>
                <c:pt idx="191">
                  <c:v>13.152151729610996</c:v>
                </c:pt>
                <c:pt idx="192">
                  <c:v>13.111320958908506</c:v>
                </c:pt>
                <c:pt idx="193">
                  <c:v>13.070679144364243</c:v>
                </c:pt>
                <c:pt idx="194">
                  <c:v>13.029166040512532</c:v>
                </c:pt>
                <c:pt idx="195">
                  <c:v>12.987847450430515</c:v>
                </c:pt>
                <c:pt idx="196">
                  <c:v>12.946721176622908</c:v>
                </c:pt>
                <c:pt idx="197">
                  <c:v>12.905785067863761</c:v>
                </c:pt>
                <c:pt idx="198">
                  <c:v>12.864146813250851</c:v>
                </c:pt>
                <c:pt idx="199">
                  <c:v>12.822702743095217</c:v>
                </c:pt>
                <c:pt idx="200">
                  <c:v>12.78145070273659</c:v>
                </c:pt>
                <c:pt idx="201">
                  <c:v>12.740388582238291</c:v>
                </c:pt>
                <c:pt idx="202">
                  <c:v>12.698640478749713</c:v>
                </c:pt>
                <c:pt idx="203">
                  <c:v>12.657086208958006</c:v>
                </c:pt>
                <c:pt idx="204">
                  <c:v>12.615723660441072</c:v>
                </c:pt>
                <c:pt idx="205">
                  <c:v>12.574550763932542</c:v>
                </c:pt>
                <c:pt idx="206">
                  <c:v>12.532564691433873</c:v>
                </c:pt>
                <c:pt idx="207">
                  <c:v>12.490773404856164</c:v>
                </c:pt>
                <c:pt idx="208">
                  <c:v>12.449174811942205</c:v>
                </c:pt>
                <c:pt idx="209">
                  <c:v>12.407766862582644</c:v>
                </c:pt>
                <c:pt idx="210">
                  <c:v>12.365424732293162</c:v>
                </c:pt>
                <c:pt idx="211">
                  <c:v>12.323279543318899</c:v>
                </c:pt>
                <c:pt idx="212">
                  <c:v>12.281329203851287</c:v>
                </c:pt>
                <c:pt idx="213">
                  <c:v>12.239571663700485</c:v>
                </c:pt>
                <c:pt idx="214">
                  <c:v>12.197178265871871</c:v>
                </c:pt>
                <c:pt idx="215">
                  <c:v>12.154981249327523</c:v>
                </c:pt>
                <c:pt idx="216">
                  <c:v>12.112978564825227</c:v>
                </c:pt>
                <c:pt idx="217">
                  <c:v>12.071168203069194</c:v>
                </c:pt>
                <c:pt idx="218">
                  <c:v>12.028601407446629</c:v>
                </c:pt>
                <c:pt idx="219">
                  <c:v>11.986231676039194</c:v>
                </c:pt>
                <c:pt idx="220">
                  <c:v>11.944056981144708</c:v>
                </c:pt>
                <c:pt idx="221">
                  <c:v>11.90207533386867</c:v>
                </c:pt>
                <c:pt idx="222">
                  <c:v>11.859355309275557</c:v>
                </c:pt>
                <c:pt idx="223">
                  <c:v>11.816832951288447</c:v>
                </c:pt>
                <c:pt idx="224">
                  <c:v>11.774506253565564</c:v>
                </c:pt>
                <c:pt idx="225">
                  <c:v>11.732373247425379</c:v>
                </c:pt>
                <c:pt idx="226">
                  <c:v>11.689389168699906</c:v>
                </c:pt>
                <c:pt idx="227">
                  <c:v>11.6466044853283</c:v>
                </c:pt>
                <c:pt idx="228">
                  <c:v>11.604017193884033</c:v>
                </c:pt>
                <c:pt idx="229">
                  <c:v>11.561625327899922</c:v>
                </c:pt>
                <c:pt idx="230">
                  <c:v>11.475382155366097</c:v>
                </c:pt>
                <c:pt idx="231">
                  <c:v>11.432560043390612</c:v>
                </c:pt>
                <c:pt idx="232">
                  <c:v>11.389934950989211</c:v>
                </c:pt>
                <c:pt idx="233">
                  <c:v>11.346500064568479</c:v>
                </c:pt>
                <c:pt idx="234">
                  <c:v>11.303267610388897</c:v>
                </c:pt>
                <c:pt idx="235">
                  <c:v>11.260235593248126</c:v>
                </c:pt>
                <c:pt idx="236">
                  <c:v>11.217402053408707</c:v>
                </c:pt>
                <c:pt idx="237">
                  <c:v>11.173901988521672</c:v>
                </c:pt>
                <c:pt idx="238">
                  <c:v>11.130604523822424</c:v>
                </c:pt>
                <c:pt idx="239">
                  <c:v>11.087507685700647</c:v>
                </c:pt>
                <c:pt idx="240">
                  <c:v>11.04460953485955</c:v>
                </c:pt>
                <c:pt idx="241">
                  <c:v>11.000818932328784</c:v>
                </c:pt>
                <c:pt idx="242">
                  <c:v>10.957233282172732</c:v>
                </c:pt>
                <c:pt idx="243">
                  <c:v>10.913850598850793</c:v>
                </c:pt>
                <c:pt idx="244">
                  <c:v>10.870668930770808</c:v>
                </c:pt>
                <c:pt idx="245">
                  <c:v>10.826736077491235</c:v>
                </c:pt>
                <c:pt idx="246">
                  <c:v>10.783009228737473</c:v>
                </c:pt>
                <c:pt idx="247">
                  <c:v>10.739486404352455</c:v>
                </c:pt>
                <c:pt idx="248">
                  <c:v>10.696165657378288</c:v>
                </c:pt>
                <c:pt idx="249">
                  <c:v>10.65199583620916</c:v>
                </c:pt>
                <c:pt idx="250">
                  <c:v>10.608034037077147</c:v>
                </c:pt>
                <c:pt idx="251">
                  <c:v>10.564278269716556</c:v>
                </c:pt>
                <c:pt idx="252">
                  <c:v>10.520726576673251</c:v>
                </c:pt>
                <c:pt idx="253">
                  <c:v>10.476461752337034</c:v>
                </c:pt>
                <c:pt idx="254">
                  <c:v>10.43240570714525</c:v>
                </c:pt>
                <c:pt idx="255">
                  <c:v>10.38855645715055</c:v>
                </c:pt>
                <c:pt idx="256">
                  <c:v>10.344912050491349</c:v>
                </c:pt>
                <c:pt idx="257">
                  <c:v>10.300347819121438</c:v>
                </c:pt>
                <c:pt idx="258">
                  <c:v>10.255995120480346</c:v>
                </c:pt>
                <c:pt idx="259">
                  <c:v>10.211851946968123</c:v>
                </c:pt>
                <c:pt idx="260">
                  <c:v>10.167916323010878</c:v>
                </c:pt>
                <c:pt idx="261">
                  <c:v>10.123194814654175</c:v>
                </c:pt>
                <c:pt idx="262">
                  <c:v>10.078686316453991</c:v>
                </c:pt>
                <c:pt idx="263">
                  <c:v>10.034388813806206</c:v>
                </c:pt>
                <c:pt idx="264">
                  <c:v>9.9903003237398345</c:v>
                </c:pt>
                <c:pt idx="265">
                  <c:v>9.945446088277798</c:v>
                </c:pt>
                <c:pt idx="266">
                  <c:v>9.9008061656392847</c:v>
                </c:pt>
                <c:pt idx="267">
                  <c:v>9.8563785351709488</c:v>
                </c:pt>
                <c:pt idx="268">
                  <c:v>9.8121612074692592</c:v>
                </c:pt>
                <c:pt idx="269">
                  <c:v>9.7670917655357528</c:v>
                </c:pt>
                <c:pt idx="270">
                  <c:v>9.7222387820805007</c:v>
                </c:pt>
                <c:pt idx="271">
                  <c:v>9.677600217063322</c:v>
                </c:pt>
                <c:pt idx="272">
                  <c:v>9.6331740616128414</c:v>
                </c:pt>
                <c:pt idx="273">
                  <c:v>9.587918037696193</c:v>
                </c:pt>
                <c:pt idx="274">
                  <c:v>9.5428803985399249</c:v>
                </c:pt>
                <c:pt idx="275">
                  <c:v>9.4980590864434848</c:v>
                </c:pt>
                <c:pt idx="276">
                  <c:v>9.4534520747855257</c:v>
                </c:pt>
                <c:pt idx="277">
                  <c:v>9.4081389726114057</c:v>
                </c:pt>
                <c:pt idx="278">
                  <c:v>9.363044980054239</c:v>
                </c:pt>
                <c:pt idx="279">
                  <c:v>9.3181680373484621</c:v>
                </c:pt>
                <c:pt idx="280">
                  <c:v>9.2735061154376872</c:v>
                </c:pt>
                <c:pt idx="281">
                  <c:v>9.2278561266027967</c:v>
                </c:pt>
                <c:pt idx="282">
                  <c:v>9.1824287229001413</c:v>
                </c:pt>
                <c:pt idx="283">
                  <c:v>9.1372218024733449</c:v>
                </c:pt>
                <c:pt idx="284">
                  <c:v>9.0922332946279258</c:v>
                </c:pt>
                <c:pt idx="285">
                  <c:v>9.0465777250241146</c:v>
                </c:pt>
                <c:pt idx="286">
                  <c:v>9.0011450404896944</c:v>
                </c:pt>
                <c:pt idx="287">
                  <c:v>8.9559331406865876</c:v>
                </c:pt>
                <c:pt idx="288">
                  <c:v>8.9109399560618154</c:v>
                </c:pt>
                <c:pt idx="289">
                  <c:v>8.8650082902425567</c:v>
                </c:pt>
                <c:pt idx="290">
                  <c:v>8.8193024829714322</c:v>
                </c:pt>
                <c:pt idx="291">
                  <c:v>8.7738203965368626</c:v>
                </c:pt>
                <c:pt idx="292">
                  <c:v>8.7285599244252801</c:v>
                </c:pt>
                <c:pt idx="293">
                  <c:v>8.6824807076633821</c:v>
                </c:pt>
                <c:pt idx="294">
                  <c:v>8.6366291024048163</c:v>
                </c:pt>
                <c:pt idx="295">
                  <c:v>8.5910029497418829</c:v>
                </c:pt>
                <c:pt idx="296">
                  <c:v>8.5456001220907254</c:v>
                </c:pt>
                <c:pt idx="297">
                  <c:v>8.4994005323336523</c:v>
                </c:pt>
                <c:pt idx="298">
                  <c:v>8.4534300677138887</c:v>
                </c:pt>
                <c:pt idx="299">
                  <c:v>8.4076865505336738</c:v>
                </c:pt>
                <c:pt idx="300">
                  <c:v>8.3621678345273089</c:v>
                </c:pt>
                <c:pt idx="301">
                  <c:v>8.3158737872576598</c:v>
                </c:pt>
                <c:pt idx="302">
                  <c:v>8.2698101456806299</c:v>
                </c:pt>
                <c:pt idx="303">
                  <c:v>8.2239747157169418</c:v>
                </c:pt>
                <c:pt idx="304">
                  <c:v>8.1783653348099001</c:v>
                </c:pt>
                <c:pt idx="305">
                  <c:v>8.1318236278932261</c:v>
                </c:pt>
                <c:pt idx="306">
                  <c:v>8.0855151561706471</c:v>
                </c:pt>
                <c:pt idx="307">
                  <c:v>8.0394376861963526</c:v>
                </c:pt>
                <c:pt idx="308">
                  <c:v>7.9935890166031047</c:v>
                </c:pt>
                <c:pt idx="309">
                  <c:v>7.9470080161092413</c:v>
                </c:pt>
                <c:pt idx="310">
                  <c:v>7.9006610213554671</c:v>
                </c:pt>
                <c:pt idx="311">
                  <c:v>7.8545457881973748</c:v>
                </c:pt>
                <c:pt idx="312">
                  <c:v>7.8086601046030992</c:v>
                </c:pt>
                <c:pt idx="313">
                  <c:v>7.7618909948138395</c:v>
                </c:pt>
                <c:pt idx="314">
                  <c:v>7.7153581700844089</c:v>
                </c:pt>
                <c:pt idx="315">
                  <c:v>7.6690593531828029</c:v>
                </c:pt>
                <c:pt idx="316">
                  <c:v>7.6229922994743955</c:v>
                </c:pt>
                <c:pt idx="317">
                  <c:v>7.5760662069585543</c:v>
                </c:pt>
                <c:pt idx="318">
                  <c:v>7.5293783856514818</c:v>
                </c:pt>
                <c:pt idx="319">
                  <c:v>7.4829265287297044</c:v>
                </c:pt>
                <c:pt idx="320">
                  <c:v>7.4367083624081296</c:v>
                </c:pt>
                <c:pt idx="321">
                  <c:v>7.3896549228125004</c:v>
                </c:pt>
                <c:pt idx="322">
                  <c:v>7.3428414557593227</c:v>
                </c:pt>
                <c:pt idx="323">
                  <c:v>7.2962656283178138</c:v>
                </c:pt>
                <c:pt idx="324">
                  <c:v>7.2499251409918886</c:v>
                </c:pt>
                <c:pt idx="325">
                  <c:v>7.2027725224765184</c:v>
                </c:pt>
                <c:pt idx="326">
                  <c:v>7.1558613020757864</c:v>
                </c:pt>
                <c:pt idx="327">
                  <c:v>7.1091891242078624</c:v>
                </c:pt>
                <c:pt idx="328">
                  <c:v>7.0627536670763424</c:v>
                </c:pt>
                <c:pt idx="329">
                  <c:v>7.0154498300413524</c:v>
                </c:pt>
                <c:pt idx="330">
                  <c:v>6.9683893584846937</c:v>
                </c:pt>
                <c:pt idx="331">
                  <c:v>6.9215698657389568</c:v>
                </c:pt>
                <c:pt idx="332">
                  <c:v>6.8749889994529632</c:v>
                </c:pt>
                <c:pt idx="333">
                  <c:v>6.8276412352647453</c:v>
                </c:pt>
                <c:pt idx="334">
                  <c:v>6.7805377099604947</c:v>
                </c:pt>
                <c:pt idx="335">
                  <c:v>6.7336760213918465</c:v>
                </c:pt>
                <c:pt idx="336">
                  <c:v>6.687053801976754</c:v>
                </c:pt>
                <c:pt idx="337">
                  <c:v>6.6395347864584719</c:v>
                </c:pt>
                <c:pt idx="338">
                  <c:v>6.592262199956803</c:v>
                </c:pt>
                <c:pt idx="339">
                  <c:v>6.545233605043201</c:v>
                </c:pt>
                <c:pt idx="340">
                  <c:v>6.4984465995012384</c:v>
                </c:pt>
                <c:pt idx="341">
                  <c:v>6.4507881429091469</c:v>
                </c:pt>
                <c:pt idx="342">
                  <c:v>6.4033779861474098</c:v>
                </c:pt>
                <c:pt idx="343">
                  <c:v>6.3562136607889794</c:v>
                </c:pt>
                <c:pt idx="344">
                  <c:v>6.3092927341985474</c:v>
                </c:pt>
                <c:pt idx="345">
                  <c:v>6.2615975337804608</c:v>
                </c:pt>
                <c:pt idx="346">
                  <c:v>6.2141514395847857</c:v>
                </c:pt>
                <c:pt idx="347">
                  <c:v>6.1669519677045113</c:v>
                </c:pt>
                <c:pt idx="348">
                  <c:v>6.1199966703186091</c:v>
                </c:pt>
                <c:pt idx="349">
                  <c:v>6.0721467805905256</c:v>
                </c:pt>
                <c:pt idx="350">
                  <c:v>6.0245480346408851</c:v>
                </c:pt>
                <c:pt idx="351">
                  <c:v>5.9771979144226925</c:v>
                </c:pt>
                <c:pt idx="352">
                  <c:v>5.9300939386428784</c:v>
                </c:pt>
                <c:pt idx="353">
                  <c:v>5.8821208915543153</c:v>
                </c:pt>
                <c:pt idx="354">
                  <c:v>5.8344007009630712</c:v>
                </c:pt>
                <c:pt idx="355">
                  <c:v>5.7869308192376989</c:v>
                </c:pt>
                <c:pt idx="356">
                  <c:v>5.7397087360930161</c:v>
                </c:pt>
                <c:pt idx="357">
                  <c:v>5.6917104895602115</c:v>
                </c:pt>
                <c:pt idx="358">
                  <c:v>5.6439657817321454</c:v>
                </c:pt>
                <c:pt idx="359">
                  <c:v>5.5964720507293242</c:v>
                </c:pt>
                <c:pt idx="360">
                  <c:v>5.5492267723222799</c:v>
                </c:pt>
                <c:pt idx="361">
                  <c:v>5.5010939435446922</c:v>
                </c:pt>
                <c:pt idx="362">
                  <c:v>5.4532164871660775</c:v>
                </c:pt>
                <c:pt idx="363">
                  <c:v>5.4055918094712823</c:v>
                </c:pt>
                <c:pt idx="364">
                  <c:v>5.3582173550524912</c:v>
                </c:pt>
                <c:pt idx="365">
                  <c:v>5.3100461393606535</c:v>
                </c:pt>
                <c:pt idx="366">
                  <c:v>5.2621311110279079</c:v>
                </c:pt>
                <c:pt idx="367">
                  <c:v>5.2144696598218463</c:v>
                </c:pt>
                <c:pt idx="368">
                  <c:v>5.1670592141826646</c:v>
                </c:pt>
                <c:pt idx="369">
                  <c:v>5.118746914146354</c:v>
                </c:pt>
                <c:pt idx="370">
                  <c:v>5.0706927046917389</c:v>
                </c:pt>
                <c:pt idx="371">
                  <c:v>5.0228939423356165</c:v>
                </c:pt>
                <c:pt idx="372">
                  <c:v>4.9753480229706968</c:v>
                </c:pt>
                <c:pt idx="373">
                  <c:v>4.9269888990655542</c:v>
                </c:pt>
                <c:pt idx="374">
                  <c:v>4.878888763715076</c:v>
                </c:pt>
                <c:pt idx="375">
                  <c:v>4.8310449554602011</c:v>
                </c:pt>
                <c:pt idx="376">
                  <c:v>4.7834548526260603</c:v>
                </c:pt>
                <c:pt idx="377">
                  <c:v>4.7349524316378737</c:v>
                </c:pt>
                <c:pt idx="378">
                  <c:v>4.6867109263731308</c:v>
                </c:pt>
                <c:pt idx="379">
                  <c:v>4.6387276414617267</c:v>
                </c:pt>
                <c:pt idx="380">
                  <c:v>4.5909999220498872</c:v>
                </c:pt>
                <c:pt idx="381">
                  <c:v>4.5425063050872803</c:v>
                </c:pt>
                <c:pt idx="382">
                  <c:v>4.4942738965848434</c:v>
                </c:pt>
                <c:pt idx="383">
                  <c:v>4.4462999924528157</c:v>
                </c:pt>
                <c:pt idx="384">
                  <c:v>4.3985819293520052</c:v>
                </c:pt>
                <c:pt idx="385">
                  <c:v>4.3499439489292708</c:v>
                </c:pt>
                <c:pt idx="386">
                  <c:v>4.3015691122671207</c:v>
                </c:pt>
                <c:pt idx="387">
                  <c:v>4.2534546810636602</c:v>
                </c:pt>
                <c:pt idx="388">
                  <c:v>4.2055979585179681</c:v>
                </c:pt>
                <c:pt idx="389">
                  <c:v>4.1569056352205349</c:v>
                </c:pt>
                <c:pt idx="390">
                  <c:v>4.1084774184627646</c:v>
                </c:pt>
                <c:pt idx="391">
                  <c:v>4.0603105507991542</c:v>
                </c:pt>
                <c:pt idx="392">
                  <c:v>4.0124023167371927</c:v>
                </c:pt>
                <c:pt idx="393">
                  <c:v>3.9636827554875831</c:v>
                </c:pt>
                <c:pt idx="394">
                  <c:v>3.9152279646479835</c:v>
                </c:pt>
                <c:pt idx="395">
                  <c:v>3.867035172321716</c:v>
                </c:pt>
                <c:pt idx="396">
                  <c:v>3.8191016489252059</c:v>
                </c:pt>
                <c:pt idx="397">
                  <c:v>3.7702703993265567</c:v>
                </c:pt>
                <c:pt idx="398">
                  <c:v>3.7217054957308298</c:v>
                </c:pt>
                <c:pt idx="399">
                  <c:v>3.6734041375062225</c:v>
                </c:pt>
                <c:pt idx="400">
                  <c:v>3.625363566987617</c:v>
                </c:pt>
                <c:pt idx="401">
                  <c:v>3.5765054145606907</c:v>
                </c:pt>
                <c:pt idx="402">
                  <c:v>3.5279142580468115</c:v>
                </c:pt>
                <c:pt idx="403">
                  <c:v>3.4795872826450718</c:v>
                </c:pt>
                <c:pt idx="404">
                  <c:v>3.4315217168807397</c:v>
                </c:pt>
                <c:pt idx="405">
                  <c:v>3.3826097710002863</c:v>
                </c:pt>
                <c:pt idx="406">
                  <c:v>3.3339657585714311</c:v>
                </c:pt>
                <c:pt idx="407">
                  <c:v>3.2855868461409039</c:v>
                </c:pt>
                <c:pt idx="408">
                  <c:v>3.2374702440345926</c:v>
                </c:pt>
                <c:pt idx="409">
                  <c:v>3.188480570621369</c:v>
                </c:pt>
                <c:pt idx="410">
                  <c:v>3.1397600259101206</c:v>
                </c:pt>
                <c:pt idx="411">
                  <c:v>3.091305753749849</c:v>
                </c:pt>
                <c:pt idx="412">
                  <c:v>3.0431149423070143</c:v>
                </c:pt>
                <c:pt idx="413">
                  <c:v>2.9940767627958724</c:v>
                </c:pt>
                <c:pt idx="414">
                  <c:v>2.9453085834121548</c:v>
                </c:pt>
                <c:pt idx="415">
                  <c:v>2.8968075304895384</c:v>
                </c:pt>
                <c:pt idx="416">
                  <c:v>2.8485707751122904</c:v>
                </c:pt>
                <c:pt idx="417">
                  <c:v>2.7994622944991998</c:v>
                </c:pt>
                <c:pt idx="418">
                  <c:v>2.7506249210291274</c:v>
                </c:pt>
                <c:pt idx="419">
                  <c:v>2.7020557598216728</c:v>
                </c:pt>
                <c:pt idx="420">
                  <c:v>2.6537519612581373</c:v>
                </c:pt>
                <c:pt idx="421">
                  <c:v>2.6046503817671423</c:v>
                </c:pt>
                <c:pt idx="422">
                  <c:v>2.555820161881285</c:v>
                </c:pt>
                <c:pt idx="423">
                  <c:v>2.5072583992371085</c:v>
                </c:pt>
                <c:pt idx="424">
                  <c:v>2.4589622369590325</c:v>
                </c:pt>
                <c:pt idx="425">
                  <c:v>2.4097502281847718</c:v>
                </c:pt>
                <c:pt idx="426">
                  <c:v>2.3608111216970844</c:v>
                </c:pt>
                <c:pt idx="427">
                  <c:v>2.3121419870648263</c:v>
                </c:pt>
                <c:pt idx="428">
                  <c:v>2.2637399400008391</c:v>
                </c:pt>
                <c:pt idx="429">
                  <c:v>2.2144954302679873</c:v>
                </c:pt>
                <c:pt idx="430">
                  <c:v>2.165524501942524</c:v>
                </c:pt>
                <c:pt idx="431">
                  <c:v>2.1168242104441939</c:v>
                </c:pt>
                <c:pt idx="432">
                  <c:v>2.0683916577026142</c:v>
                </c:pt>
                <c:pt idx="433">
                  <c:v>2.0191415526575818</c:v>
                </c:pt>
                <c:pt idx="434">
                  <c:v>1.9701654055688702</c:v>
                </c:pt>
                <c:pt idx="435">
                  <c:v>1.9214602626854449</c:v>
                </c:pt>
                <c:pt idx="436">
                  <c:v>1.8730232170270564</c:v>
                </c:pt>
                <c:pt idx="437">
                  <c:v>1.8237045184887668</c:v>
                </c:pt>
                <c:pt idx="438">
                  <c:v>1.7746608501392895</c:v>
                </c:pt>
                <c:pt idx="439">
                  <c:v>1.7258892379277229</c:v>
                </c:pt>
                <c:pt idx="440">
                  <c:v>1.6773867550691008</c:v>
                </c:pt>
                <c:pt idx="441">
                  <c:v>1.6280288836882093</c:v>
                </c:pt>
                <c:pt idx="442">
                  <c:v>1.5789467854971142</c:v>
                </c:pt>
                <c:pt idx="443">
                  <c:v>1.5301374715508835</c:v>
                </c:pt>
                <c:pt idx="444">
                  <c:v>1.481598000551601</c:v>
                </c:pt>
                <c:pt idx="445">
                  <c:v>1.4322285788001088</c:v>
                </c:pt>
                <c:pt idx="446">
                  <c:v>1.3831353624297027</c:v>
                </c:pt>
                <c:pt idx="447">
                  <c:v>1.3343153527481655</c:v>
                </c:pt>
                <c:pt idx="448">
                  <c:v>1.2857655989816243</c:v>
                </c:pt>
                <c:pt idx="449">
                  <c:v>1.2363280111023516</c:v>
                </c:pt>
                <c:pt idx="450">
                  <c:v>1.1871676905992328</c:v>
                </c:pt>
                <c:pt idx="451">
                  <c:v>1.1382816188996874</c:v>
                </c:pt>
                <c:pt idx="452">
                  <c:v>1.0896668258357876</c:v>
                </c:pt>
                <c:pt idx="453">
                  <c:v>1.0402311199925434</c:v>
                </c:pt>
                <c:pt idx="454">
                  <c:v>0.9910729584951159</c:v>
                </c:pt>
                <c:pt idx="455">
                  <c:v>0.94218931577516107</c:v>
                </c:pt>
                <c:pt idx="456">
                  <c:v>0.89357721488008846</c:v>
                </c:pt>
                <c:pt idx="457">
                  <c:v>0.84408969794861921</c:v>
                </c:pt>
                <c:pt idx="458">
                  <c:v>0.79488060183511267</c:v>
                </c:pt>
                <c:pt idx="459">
                  <c:v>0.74594688430905443</c:v>
                </c:pt>
                <c:pt idx="460">
                  <c:v>0.69728555217243693</c:v>
                </c:pt>
                <c:pt idx="461">
                  <c:v>0.6477750379020103</c:v>
                </c:pt>
                <c:pt idx="462">
                  <c:v>0.59854349693876019</c:v>
                </c:pt>
                <c:pt idx="463">
                  <c:v>0.54958787578816459</c:v>
                </c:pt>
                <c:pt idx="464">
                  <c:v>0.50090517028867665</c:v>
                </c:pt>
                <c:pt idx="465">
                  <c:v>0.45136096495809802</c:v>
                </c:pt>
                <c:pt idx="466">
                  <c:v>0.40209640490327692</c:v>
                </c:pt>
                <c:pt idx="467">
                  <c:v>0.3531084235205037</c:v>
                </c:pt>
                <c:pt idx="468">
                  <c:v>0.30439400387828724</c:v>
                </c:pt>
                <c:pt idx="469">
                  <c:v>0.25484392325950322</c:v>
                </c:pt>
                <c:pt idx="470">
                  <c:v>0.20557384632528083</c:v>
                </c:pt>
                <c:pt idx="471">
                  <c:v>0.1565806986227819</c:v>
                </c:pt>
                <c:pt idx="472">
                  <c:v>0.10786145559628549</c:v>
                </c:pt>
                <c:pt idx="473">
                  <c:v>5.8259454844620494E-2</c:v>
                </c:pt>
                <c:pt idx="474">
                  <c:v>8.9383355218888485E-3</c:v>
                </c:pt>
                <c:pt idx="475">
                  <c:v>-4.0104993093595775E-2</c:v>
                </c:pt>
                <c:pt idx="476">
                  <c:v>-8.887357142067405E-2</c:v>
                </c:pt>
                <c:pt idx="477">
                  <c:v>-0.1384982924572899</c:v>
                </c:pt>
                <c:pt idx="478">
                  <c:v>-0.18784158273054116</c:v>
                </c:pt>
                <c:pt idx="479">
                  <c:v>-0.23690654371939496</c:v>
                </c:pt>
                <c:pt idx="480">
                  <c:v>-0.28569622631422154</c:v>
                </c:pt>
                <c:pt idx="481">
                  <c:v>-0.33531629141873553</c:v>
                </c:pt>
                <c:pt idx="482">
                  <c:v>-0.38465468528696334</c:v>
                </c:pt>
                <c:pt idx="483">
                  <c:v>-0.43371451493998187</c:v>
                </c:pt>
                <c:pt idx="484">
                  <c:v>-0.48249883663886439</c:v>
                </c:pt>
                <c:pt idx="485">
                  <c:v>-0.53212230340198985</c:v>
                </c:pt>
                <c:pt idx="486">
                  <c:v>-0.58146376629685981</c:v>
                </c:pt>
                <c:pt idx="487">
                  <c:v>-0.63052633927858193</c:v>
                </c:pt>
                <c:pt idx="488">
                  <c:v>-0.67931308534202373</c:v>
                </c:pt>
                <c:pt idx="489">
                  <c:v>-0.72897959461398376</c:v>
                </c:pt>
                <c:pt idx="490">
                  <c:v>-0.77836331573501716</c:v>
                </c:pt>
                <c:pt idx="491">
                  <c:v>-0.82746737693811478</c:v>
                </c:pt>
                <c:pt idx="492">
                  <c:v>-0.87629485513692429</c:v>
                </c:pt>
                <c:pt idx="493">
                  <c:v>-0.92597545570696227</c:v>
                </c:pt>
                <c:pt idx="494">
                  <c:v>-0.97537280932725356</c:v>
                </c:pt>
                <c:pt idx="495">
                  <c:v>-1.0244900530082546</c:v>
                </c:pt>
                <c:pt idx="496">
                  <c:v>-1.0733302722028153</c:v>
                </c:pt>
                <c:pt idx="497">
                  <c:v>-1.1230292987592962</c:v>
                </c:pt>
                <c:pt idx="498">
                  <c:v>-1.1724445669898231</c:v>
                </c:pt>
                <c:pt idx="499">
                  <c:v>-1.2215792234304874</c:v>
                </c:pt>
                <c:pt idx="500">
                  <c:v>-1.2704363628062323</c:v>
                </c:pt>
                <c:pt idx="501">
                  <c:v>-1.3201570609052693</c:v>
                </c:pt>
                <c:pt idx="502">
                  <c:v>-1.36959344827287</c:v>
                </c:pt>
                <c:pt idx="503">
                  <c:v>-1.4187486815292809</c:v>
                </c:pt>
                <c:pt idx="504">
                  <c:v>-1.4676258652188015</c:v>
                </c:pt>
                <c:pt idx="505">
                  <c:v>-1.5173404073021395</c:v>
                </c:pt>
                <c:pt idx="506">
                  <c:v>-1.566770399219402</c:v>
                </c:pt>
                <c:pt idx="507">
                  <c:v>-1.6159190023496643</c:v>
                </c:pt>
                <c:pt idx="508">
                  <c:v>-1.6647893258492057</c:v>
                </c:pt>
                <c:pt idx="509">
                  <c:v>-1.7145010461891717</c:v>
                </c:pt>
                <c:pt idx="510">
                  <c:v>-1.7639279343142409</c:v>
                </c:pt>
                <c:pt idx="511">
                  <c:v>-1.8130731569372702</c:v>
                </c:pt>
                <c:pt idx="512">
                  <c:v>-1.8619398283900299</c:v>
                </c:pt>
                <c:pt idx="513">
                  <c:v>-1.9116798254626439</c:v>
                </c:pt>
                <c:pt idx="514">
                  <c:v>-1.9611343470919105</c:v>
                </c:pt>
                <c:pt idx="515">
                  <c:v>-2.010306571203027</c:v>
                </c:pt>
                <c:pt idx="516">
                  <c:v>-2.0591996230534946</c:v>
                </c:pt>
                <c:pt idx="517">
                  <c:v>-2.1089393732283286</c:v>
                </c:pt>
                <c:pt idx="518">
                  <c:v>-2.1583933245206182</c:v>
                </c:pt>
                <c:pt idx="519">
                  <c:v>-2.2075646606136821</c:v>
                </c:pt>
                <c:pt idx="520">
                  <c:v>-2.2564565123575901</c:v>
                </c:pt>
                <c:pt idx="521">
                  <c:v>-2.3061967345545935</c:v>
                </c:pt>
                <c:pt idx="522">
                  <c:v>-2.3556508193481687</c:v>
                </c:pt>
                <c:pt idx="523">
                  <c:v>-2.4048219562946724</c:v>
                </c:pt>
                <c:pt idx="524">
                  <c:v>-2.4537132819501632</c:v>
                </c:pt>
                <c:pt idx="525">
                  <c:v>-2.5034539380269534</c:v>
                </c:pt>
                <c:pt idx="526">
                  <c:v>-2.552908110995495</c:v>
                </c:pt>
                <c:pt idx="527">
                  <c:v>-2.6020789962667101</c:v>
                </c:pt>
                <c:pt idx="528">
                  <c:v>-2.6509697360855689</c:v>
                </c:pt>
                <c:pt idx="529">
                  <c:v>-2.7007100901955368</c:v>
                </c:pt>
                <c:pt idx="530">
                  <c:v>-2.7501636155397922</c:v>
                </c:pt>
                <c:pt idx="531">
                  <c:v>-2.7993335132423782</c:v>
                </c:pt>
                <c:pt idx="532">
                  <c:v>-2.8482229310997642</c:v>
                </c:pt>
                <c:pt idx="533">
                  <c:v>-2.8979872096040675</c:v>
                </c:pt>
                <c:pt idx="534">
                  <c:v>-2.9474640254117674</c:v>
                </c:pt>
                <c:pt idx="535">
                  <c:v>-2.9966565900326545</c:v>
                </c:pt>
                <c:pt idx="536">
                  <c:v>-3.0455680613845231</c:v>
                </c:pt>
                <c:pt idx="537">
                  <c:v>-3.0953025074148499</c:v>
                </c:pt>
                <c:pt idx="538">
                  <c:v>-3.1447494658275108</c:v>
                </c:pt>
                <c:pt idx="539">
                  <c:v>-3.1939121481964743</c:v>
                </c:pt>
                <c:pt idx="540">
                  <c:v>-3.2427937124690738</c:v>
                </c:pt>
                <c:pt idx="541">
                  <c:v>-3.2925464712448478</c:v>
                </c:pt>
                <c:pt idx="542">
                  <c:v>-3.342011151648006</c:v>
                </c:pt>
                <c:pt idx="543">
                  <c:v>-3.3911909746230529</c:v>
                </c:pt>
                <c:pt idx="544">
                  <c:v>-3.4400891072473878</c:v>
                </c:pt>
                <c:pt idx="545">
                  <c:v>-3.48983161653031</c:v>
                </c:pt>
                <c:pt idx="546">
                  <c:v>-3.5392857742984423</c:v>
                </c:pt>
                <c:pt idx="547">
                  <c:v>-3.5884548054026055</c:v>
                </c:pt>
                <c:pt idx="548">
                  <c:v>-3.6373418807080915</c:v>
                </c:pt>
                <c:pt idx="549">
                  <c:v>-3.6870707346395903</c:v>
                </c:pt>
                <c:pt idx="550">
                  <c:v>-3.7365109908012166</c:v>
                </c:pt>
                <c:pt idx="551">
                  <c:v>-3.7856658773406866</c:v>
                </c:pt>
                <c:pt idx="552">
                  <c:v>-3.8345385683160913</c:v>
                </c:pt>
                <c:pt idx="553">
                  <c:v>-3.8842727653623417</c:v>
                </c:pt>
                <c:pt idx="554">
                  <c:v>-3.9337178847469345</c:v>
                </c:pt>
                <c:pt idx="555">
                  <c:v>-3.982877161660352</c:v>
                </c:pt>
                <c:pt idx="556">
                  <c:v>-4.0317537770164602</c:v>
                </c:pt>
                <c:pt idx="557">
                  <c:v>-4.1309318566515616</c:v>
                </c:pt>
                <c:pt idx="558">
                  <c:v>-4.2289648223224727</c:v>
                </c:pt>
                <c:pt idx="559">
                  <c:v>-4.3280864039671387</c:v>
                </c:pt>
                <c:pt idx="560">
                  <c:v>-4.4260623880787868</c:v>
                </c:pt>
                <c:pt idx="561">
                  <c:v>-4.5252026415359348</c:v>
                </c:pt>
                <c:pt idx="562">
                  <c:v>-4.6231950182245525</c:v>
                </c:pt>
                <c:pt idx="563">
                  <c:v>-4.722131501509125</c:v>
                </c:pt>
                <c:pt idx="564">
                  <c:v>-4.81992287975089</c:v>
                </c:pt>
                <c:pt idx="565">
                  <c:v>-4.9190172395028835</c:v>
                </c:pt>
                <c:pt idx="566">
                  <c:v>-5.0169608578083231</c:v>
                </c:pt>
                <c:pt idx="567">
                  <c:v>-5.1161459635233753</c:v>
                </c:pt>
                <c:pt idx="568">
                  <c:v>-5.2141761397548079</c:v>
                </c:pt>
                <c:pt idx="569">
                  <c:v>-5.3130035911438531</c:v>
                </c:pt>
                <c:pt idx="570">
                  <c:v>-5.4106822144182249</c:v>
                </c:pt>
                <c:pt idx="571">
                  <c:v>-5.5098722515537428</c:v>
                </c:pt>
                <c:pt idx="572">
                  <c:v>-5.607902786240869</c:v>
                </c:pt>
                <c:pt idx="573">
                  <c:v>-5.7066377791855842</c:v>
                </c:pt>
                <c:pt idx="574">
                  <c:v>-5.8042214624281065</c:v>
                </c:pt>
                <c:pt idx="575">
                  <c:v>-5.9031931257707608</c:v>
                </c:pt>
                <c:pt idx="576">
                  <c:v>-6.0010055060124232</c:v>
                </c:pt>
                <c:pt idx="577">
                  <c:v>-6.4028324106877008</c:v>
                </c:pt>
                <c:pt idx="578">
                  <c:v>-6.7861031150814739</c:v>
                </c:pt>
                <c:pt idx="579">
                  <c:v>-7.5684335691795006</c:v>
                </c:pt>
                <c:pt idx="580">
                  <c:v>-8.3486715028566945</c:v>
                </c:pt>
                <c:pt idx="581">
                  <c:v>-9.1249489715387853</c:v>
                </c:pt>
                <c:pt idx="582">
                  <c:v>-9.896850094563419</c:v>
                </c:pt>
                <c:pt idx="583">
                  <c:v>-10.66266450555619</c:v>
                </c:pt>
                <c:pt idx="584">
                  <c:v>-11.421534854014354</c:v>
                </c:pt>
                <c:pt idx="585">
                  <c:v>-12.171206625967482</c:v>
                </c:pt>
                <c:pt idx="586">
                  <c:v>-12.909471407200193</c:v>
                </c:pt>
                <c:pt idx="587">
                  <c:v>-13.633718679201701</c:v>
                </c:pt>
                <c:pt idx="588">
                  <c:v>-14.339348614916382</c:v>
                </c:pt>
                <c:pt idx="589">
                  <c:v>-15.021771902560161</c:v>
                </c:pt>
                <c:pt idx="590">
                  <c:v>-15.673817580266359</c:v>
                </c:pt>
                <c:pt idx="591">
                  <c:v>-16.286173561070886</c:v>
                </c:pt>
                <c:pt idx="592">
                  <c:v>-16.845836900403544</c:v>
                </c:pt>
                <c:pt idx="593">
                  <c:v>-17.334794515433806</c:v>
                </c:pt>
                <c:pt idx="594">
                  <c:v>-17.726802464356588</c:v>
                </c:pt>
                <c:pt idx="595">
                  <c:v>-17.983490651219856</c:v>
                </c:pt>
                <c:pt idx="596">
                  <c:v>-18.046697443499163</c:v>
                </c:pt>
                <c:pt idx="597">
                  <c:v>-17.826929656915993</c:v>
                </c:pt>
                <c:pt idx="598">
                  <c:v>-17.190952104743506</c:v>
                </c:pt>
                <c:pt idx="599">
                  <c:v>-16.009437028365177</c:v>
                </c:pt>
                <c:pt idx="600">
                  <c:v>-14.79639504040701</c:v>
                </c:pt>
              </c:numCache>
            </c:numRef>
          </c:yVal>
          <c:smooth val="0"/>
          <c:extLst>
            <c:ext xmlns:c16="http://schemas.microsoft.com/office/drawing/2014/chart" uri="{C3380CC4-5D6E-409C-BE32-E72D297353CC}">
              <c16:uniqueId val="{00000000-5314-496C-84FB-BC9D9C42BA7D}"/>
            </c:ext>
          </c:extLst>
        </c:ser>
        <c:dLbls>
          <c:showLegendKey val="0"/>
          <c:showVal val="0"/>
          <c:showCatName val="0"/>
          <c:showSerName val="0"/>
          <c:showPercent val="0"/>
          <c:showBubbleSize val="0"/>
        </c:dLbls>
        <c:axId val="184325248"/>
        <c:axId val="184327168"/>
      </c:scatterChart>
      <c:scatterChart>
        <c:scatterStyle val="lineMarker"/>
        <c:varyColors val="0"/>
        <c:ser>
          <c:idx val="1"/>
          <c:order val="1"/>
          <c:tx>
            <c:strRef>
              <c:f>'Ch2 Stability Calculations'!$S$12</c:f>
              <c:strCache>
                <c:ptCount val="1"/>
                <c:pt idx="0">
                  <c:v>Phase Margin (°)</c:v>
                </c:pt>
              </c:strCache>
            </c:strRef>
          </c:tx>
          <c:spPr>
            <a:ln w="25400">
              <a:solidFill>
                <a:srgbClr val="0000FF"/>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Calculations'!$R$13:$R$613</c:f>
              <c:numCache>
                <c:formatCode>0.00</c:formatCode>
                <c:ptCount val="601"/>
                <c:pt idx="0">
                  <c:v>-62.115049351286508</c:v>
                </c:pt>
                <c:pt idx="1">
                  <c:v>-64.238967282762815</c:v>
                </c:pt>
                <c:pt idx="2">
                  <c:v>-66.244426982766441</c:v>
                </c:pt>
                <c:pt idx="3">
                  <c:v>-68.128843127578605</c:v>
                </c:pt>
                <c:pt idx="4">
                  <c:v>-69.890804099036373</c:v>
                </c:pt>
                <c:pt idx="5">
                  <c:v>-71.534775604440597</c:v>
                </c:pt>
                <c:pt idx="6">
                  <c:v>-73.061422597802292</c:v>
                </c:pt>
                <c:pt idx="7">
                  <c:v>-74.476032679311061</c:v>
                </c:pt>
                <c:pt idx="8">
                  <c:v>-75.78268230219183</c:v>
                </c:pt>
                <c:pt idx="9">
                  <c:v>-76.988004103549031</c:v>
                </c:pt>
                <c:pt idx="10">
                  <c:v>-78.09722760611713</c:v>
                </c:pt>
                <c:pt idx="11">
                  <c:v>-79.116620550085884</c:v>
                </c:pt>
                <c:pt idx="12">
                  <c:v>-80.0527258754325</c:v>
                </c:pt>
                <c:pt idx="13">
                  <c:v>-80.910578135419129</c:v>
                </c:pt>
                <c:pt idx="14">
                  <c:v>-81.696615072998767</c:v>
                </c:pt>
                <c:pt idx="15">
                  <c:v>-82.41598638814996</c:v>
                </c:pt>
                <c:pt idx="16">
                  <c:v>-83.073946534031435</c:v>
                </c:pt>
                <c:pt idx="17">
                  <c:v>-83.675295152390817</c:v>
                </c:pt>
                <c:pt idx="18">
                  <c:v>-84.224772647691239</c:v>
                </c:pt>
                <c:pt idx="19">
                  <c:v>-84.726480884776379</c:v>
                </c:pt>
                <c:pt idx="20">
                  <c:v>-85.184467454208374</c:v>
                </c:pt>
                <c:pt idx="21">
                  <c:v>-85.602288913302516</c:v>
                </c:pt>
                <c:pt idx="22">
                  <c:v>-85.983400440313048</c:v>
                </c:pt>
                <c:pt idx="23">
                  <c:v>-86.330806068997504</c:v>
                </c:pt>
                <c:pt idx="24">
                  <c:v>-86.647439617534701</c:v>
                </c:pt>
                <c:pt idx="25">
                  <c:v>-86.935856162777526</c:v>
                </c:pt>
                <c:pt idx="26">
                  <c:v>-87.198504447122801</c:v>
                </c:pt>
                <c:pt idx="27">
                  <c:v>-87.437481326976609</c:v>
                </c:pt>
                <c:pt idx="28">
                  <c:v>-87.654796641407742</c:v>
                </c:pt>
                <c:pt idx="29">
                  <c:v>-87.852156330190297</c:v>
                </c:pt>
                <c:pt idx="30">
                  <c:v>-88.031541408623099</c:v>
                </c:pt>
                <c:pt idx="31">
                  <c:v>-88.194191644960398</c:v>
                </c:pt>
                <c:pt idx="32">
                  <c:v>-88.341590045832831</c:v>
                </c:pt>
                <c:pt idx="33">
                  <c:v>-88.474876824234144</c:v>
                </c:pt>
                <c:pt idx="34">
                  <c:v>-88.595281764160006</c:v>
                </c:pt>
                <c:pt idx="35">
                  <c:v>-88.703751515711105</c:v>
                </c:pt>
                <c:pt idx="36">
                  <c:v>-88.801224598006229</c:v>
                </c:pt>
                <c:pt idx="37">
                  <c:v>-88.888571905726849</c:v>
                </c:pt>
                <c:pt idx="38">
                  <c:v>-88.966449516535491</c:v>
                </c:pt>
                <c:pt idx="39">
                  <c:v>-89.035582304689044</c:v>
                </c:pt>
                <c:pt idx="40">
                  <c:v>-89.096526512074874</c:v>
                </c:pt>
                <c:pt idx="41">
                  <c:v>-89.149804566471815</c:v>
                </c:pt>
                <c:pt idx="42">
                  <c:v>-89.195862014899575</c:v>
                </c:pt>
                <c:pt idx="43">
                  <c:v>-89.235102640230238</c:v>
                </c:pt>
                <c:pt idx="44">
                  <c:v>-89.267848254346674</c:v>
                </c:pt>
                <c:pt idx="45">
                  <c:v>-89.294383488482879</c:v>
                </c:pt>
                <c:pt idx="46">
                  <c:v>-89.314928383834356</c:v>
                </c:pt>
                <c:pt idx="47">
                  <c:v>-89.329661986665897</c:v>
                </c:pt>
                <c:pt idx="48">
                  <c:v>-89.338706341957931</c:v>
                </c:pt>
                <c:pt idx="49">
                  <c:v>-89.342141256647622</c:v>
                </c:pt>
                <c:pt idx="50">
                  <c:v>-89.33999543112779</c:v>
                </c:pt>
                <c:pt idx="51">
                  <c:v>-89.332249831497506</c:v>
                </c:pt>
                <c:pt idx="52">
                  <c:v>-89.318841927683621</c:v>
                </c:pt>
                <c:pt idx="53">
                  <c:v>-89.299660993435666</c:v>
                </c:pt>
                <c:pt idx="54">
                  <c:v>-89.274565676394346</c:v>
                </c:pt>
                <c:pt idx="55">
                  <c:v>-89.243301271278369</c:v>
                </c:pt>
                <c:pt idx="56">
                  <c:v>-89.205645484636847</c:v>
                </c:pt>
                <c:pt idx="57">
                  <c:v>-89.161260534049433</c:v>
                </c:pt>
                <c:pt idx="58">
                  <c:v>-89.109811510476206</c:v>
                </c:pt>
                <c:pt idx="59">
                  <c:v>-89.050834150846342</c:v>
                </c:pt>
                <c:pt idx="60">
                  <c:v>-88.983874791514395</c:v>
                </c:pt>
                <c:pt idx="61">
                  <c:v>-88.90837820291668</c:v>
                </c:pt>
                <c:pt idx="62">
                  <c:v>-88.823683473787483</c:v>
                </c:pt>
                <c:pt idx="63">
                  <c:v>-88.729187178462993</c:v>
                </c:pt>
                <c:pt idx="64">
                  <c:v>-88.624058322078156</c:v>
                </c:pt>
                <c:pt idx="65">
                  <c:v>-88.507499368327146</c:v>
                </c:pt>
                <c:pt idx="66">
                  <c:v>-88.378589050861393</c:v>
                </c:pt>
                <c:pt idx="67">
                  <c:v>-88.236354516505344</c:v>
                </c:pt>
                <c:pt idx="68">
                  <c:v>-88.079678543486011</c:v>
                </c:pt>
                <c:pt idx="69">
                  <c:v>-87.907445753174144</c:v>
                </c:pt>
                <c:pt idx="70">
                  <c:v>-87.718387359599731</c:v>
                </c:pt>
                <c:pt idx="71">
                  <c:v>-87.511235442376886</c:v>
                </c:pt>
                <c:pt idx="72">
                  <c:v>-87.284576659670307</c:v>
                </c:pt>
                <c:pt idx="73">
                  <c:v>-87.037052871592692</c:v>
                </c:pt>
                <c:pt idx="74">
                  <c:v>-86.767163224159916</c:v>
                </c:pt>
                <c:pt idx="75">
                  <c:v>-86.473517604548931</c:v>
                </c:pt>
                <c:pt idx="76">
                  <c:v>-86.154665938498482</c:v>
                </c:pt>
                <c:pt idx="77">
                  <c:v>-85.809444061484157</c:v>
                </c:pt>
                <c:pt idx="78">
                  <c:v>-85.436774274843955</c:v>
                </c:pt>
                <c:pt idx="79">
                  <c:v>-85.036137917991553</c:v>
                </c:pt>
                <c:pt idx="80">
                  <c:v>-84.606473520016777</c:v>
                </c:pt>
                <c:pt idx="81">
                  <c:v>-84.148545378046421</c:v>
                </c:pt>
                <c:pt idx="82">
                  <c:v>-83.662974752898236</c:v>
                </c:pt>
                <c:pt idx="83">
                  <c:v>-83.151977238852325</c:v>
                </c:pt>
                <c:pt idx="84">
                  <c:v>-82.618181928151415</c:v>
                </c:pt>
                <c:pt idx="85">
                  <c:v>-82.066282067051986</c:v>
                </c:pt>
                <c:pt idx="86">
                  <c:v>-81.502181211557584</c:v>
                </c:pt>
                <c:pt idx="87">
                  <c:v>-80.933299557656468</c:v>
                </c:pt>
                <c:pt idx="88">
                  <c:v>-80.369730763085272</c:v>
                </c:pt>
                <c:pt idx="89">
                  <c:v>-79.822353358597439</c:v>
                </c:pt>
                <c:pt idx="90">
                  <c:v>-79.304279953151834</c:v>
                </c:pt>
                <c:pt idx="91">
                  <c:v>-78.829518220094258</c:v>
                </c:pt>
                <c:pt idx="92">
                  <c:v>-78.412710054281305</c:v>
                </c:pt>
                <c:pt idx="93">
                  <c:v>-78.06804588104562</c:v>
                </c:pt>
                <c:pt idx="94">
                  <c:v>-77.994768026059603</c:v>
                </c:pt>
                <c:pt idx="95">
                  <c:v>-77.959979922802034</c:v>
                </c:pt>
                <c:pt idx="96">
                  <c:v>-77.926987065577833</c:v>
                </c:pt>
                <c:pt idx="97">
                  <c:v>-77.895050780138092</c:v>
                </c:pt>
                <c:pt idx="98">
                  <c:v>-77.864919538330213</c:v>
                </c:pt>
                <c:pt idx="99">
                  <c:v>-77.835912245108645</c:v>
                </c:pt>
                <c:pt idx="100">
                  <c:v>-77.80871701836287</c:v>
                </c:pt>
                <c:pt idx="101">
                  <c:v>-77.782732888499609</c:v>
                </c:pt>
                <c:pt idx="102">
                  <c:v>-77.758562134135659</c:v>
                </c:pt>
                <c:pt idx="103">
                  <c:v>-77.735650040998266</c:v>
                </c:pt>
                <c:pt idx="104">
                  <c:v>-77.714552146706907</c:v>
                </c:pt>
                <c:pt idx="105">
                  <c:v>-77.694795312210431</c:v>
                </c:pt>
                <c:pt idx="106">
                  <c:v>-77.676847435852423</c:v>
                </c:pt>
                <c:pt idx="107">
                  <c:v>-77.660314812169574</c:v>
                </c:pt>
                <c:pt idx="108">
                  <c:v>-77.645579904303716</c:v>
                </c:pt>
                <c:pt idx="109">
                  <c:v>-77.6323177372998</c:v>
                </c:pt>
                <c:pt idx="110">
                  <c:v>-77.620838548309877</c:v>
                </c:pt>
                <c:pt idx="111">
                  <c:v>-77.610882400408883</c:v>
                </c:pt>
                <c:pt idx="112">
                  <c:v>-77.60269316228694</c:v>
                </c:pt>
                <c:pt idx="113">
                  <c:v>-77.596089977479721</c:v>
                </c:pt>
                <c:pt idx="114">
                  <c:v>-77.591231396002669</c:v>
                </c:pt>
                <c:pt idx="115">
                  <c:v>-77.588011365999535</c:v>
                </c:pt>
                <c:pt idx="116">
                  <c:v>-77.586509756341812</c:v>
                </c:pt>
                <c:pt idx="117">
                  <c:v>-77.586696666906022</c:v>
                </c:pt>
                <c:pt idx="118">
                  <c:v>-77.588571866181397</c:v>
                </c:pt>
                <c:pt idx="119">
                  <c:v>-77.592179926265075</c:v>
                </c:pt>
                <c:pt idx="120">
                  <c:v>-77.597440182061263</c:v>
                </c:pt>
                <c:pt idx="121">
                  <c:v>-77.604473134874894</c:v>
                </c:pt>
                <c:pt idx="122">
                  <c:v>-77.61311843995351</c:v>
                </c:pt>
                <c:pt idx="123">
                  <c:v>-77.623579458868647</c:v>
                </c:pt>
                <c:pt idx="124">
                  <c:v>-77.635611044065072</c:v>
                </c:pt>
                <c:pt idx="125">
                  <c:v>-77.649486441304575</c:v>
                </c:pt>
                <c:pt idx="126">
                  <c:v>-77.664884999098192</c:v>
                </c:pt>
                <c:pt idx="127">
                  <c:v>-77.682156235000775</c:v>
                </c:pt>
                <c:pt idx="128">
                  <c:v>-77.70089963708584</c:v>
                </c:pt>
                <c:pt idx="129">
                  <c:v>-77.721540485988271</c:v>
                </c:pt>
                <c:pt idx="130">
                  <c:v>-77.743599032598425</c:v>
                </c:pt>
                <c:pt idx="131">
                  <c:v>-77.76757552509909</c:v>
                </c:pt>
                <c:pt idx="132">
                  <c:v>-77.780077527472628</c:v>
                </c:pt>
                <c:pt idx="133">
                  <c:v>-77.792911916364403</c:v>
                </c:pt>
                <c:pt idx="134">
                  <c:v>-77.806387973005542</c:v>
                </c:pt>
                <c:pt idx="135">
                  <c:v>-77.820196771628417</c:v>
                </c:pt>
                <c:pt idx="136">
                  <c:v>-77.834330600303446</c:v>
                </c:pt>
                <c:pt idx="137">
                  <c:v>-77.848781877936801</c:v>
                </c:pt>
                <c:pt idx="138">
                  <c:v>-77.863881831405664</c:v>
                </c:pt>
                <c:pt idx="139">
                  <c:v>-77.87929818575401</c:v>
                </c:pt>
                <c:pt idx="140">
                  <c:v>-77.895023246147034</c:v>
                </c:pt>
                <c:pt idx="141">
                  <c:v>-77.911049453970861</c:v>
                </c:pt>
                <c:pt idx="142">
                  <c:v>-77.927759891675876</c:v>
                </c:pt>
                <c:pt idx="143">
                  <c:v>-77.94477032784043</c:v>
                </c:pt>
                <c:pt idx="144">
                  <c:v>-77.962073085306628</c:v>
                </c:pt>
                <c:pt idx="145">
                  <c:v>-77.979660628681671</c:v>
                </c:pt>
                <c:pt idx="146">
                  <c:v>-77.997942616728253</c:v>
                </c:pt>
                <c:pt idx="147">
                  <c:v>-78.01650722321763</c:v>
                </c:pt>
                <c:pt idx="148">
                  <c:v>-78.03534682468846</c:v>
                </c:pt>
                <c:pt idx="149">
                  <c:v>-78.054453944271472</c:v>
                </c:pt>
                <c:pt idx="150">
                  <c:v>-78.074272068297688</c:v>
                </c:pt>
                <c:pt idx="151">
                  <c:v>-78.094354850419336</c:v>
                </c:pt>
                <c:pt idx="152">
                  <c:v>-78.11469474508408</c:v>
                </c:pt>
                <c:pt idx="153">
                  <c:v>-78.135284357672319</c:v>
                </c:pt>
                <c:pt idx="154">
                  <c:v>-78.156609702700877</c:v>
                </c:pt>
                <c:pt idx="155">
                  <c:v>-78.178181458848215</c:v>
                </c:pt>
                <c:pt idx="156">
                  <c:v>-78.199992172315817</c:v>
                </c:pt>
                <c:pt idx="157">
                  <c:v>-78.22203454433442</c:v>
                </c:pt>
                <c:pt idx="158">
                  <c:v>-78.24482642699337</c:v>
                </c:pt>
                <c:pt idx="159">
                  <c:v>-78.267845980909058</c:v>
                </c:pt>
                <c:pt idx="160">
                  <c:v>-78.291085868730164</c:v>
                </c:pt>
                <c:pt idx="161">
                  <c:v>-78.314538911662098</c:v>
                </c:pt>
                <c:pt idx="162">
                  <c:v>-78.338742748769292</c:v>
                </c:pt>
                <c:pt idx="163">
                  <c:v>-78.363154924782066</c:v>
                </c:pt>
                <c:pt idx="164">
                  <c:v>-78.387768252296482</c:v>
                </c:pt>
                <c:pt idx="165">
                  <c:v>-78.412575705107358</c:v>
                </c:pt>
                <c:pt idx="166">
                  <c:v>-78.438165654346847</c:v>
                </c:pt>
                <c:pt idx="167">
                  <c:v>-78.463944652360325</c:v>
                </c:pt>
                <c:pt idx="168">
                  <c:v>-78.489905666013968</c:v>
                </c:pt>
                <c:pt idx="169">
                  <c:v>-78.516041825949998</c:v>
                </c:pt>
                <c:pt idx="170">
                  <c:v>-78.542912697067337</c:v>
                </c:pt>
                <c:pt idx="171">
                  <c:v>-78.569952332251503</c:v>
                </c:pt>
                <c:pt idx="172">
                  <c:v>-78.597153918650747</c:v>
                </c:pt>
                <c:pt idx="173">
                  <c:v>-78.624510807729564</c:v>
                </c:pt>
                <c:pt idx="174">
                  <c:v>-78.652711800538128</c:v>
                </c:pt>
                <c:pt idx="175">
                  <c:v>-78.681062388101864</c:v>
                </c:pt>
                <c:pt idx="176">
                  <c:v>-78.709555921892289</c:v>
                </c:pt>
                <c:pt idx="177">
                  <c:v>-78.738185920054619</c:v>
                </c:pt>
                <c:pt idx="178">
                  <c:v>-78.767654867260504</c:v>
                </c:pt>
                <c:pt idx="179">
                  <c:v>-78.797253817208727</c:v>
                </c:pt>
                <c:pt idx="180">
                  <c:v>-78.826976318937014</c:v>
                </c:pt>
                <c:pt idx="181">
                  <c:v>-78.856816089496789</c:v>
                </c:pt>
                <c:pt idx="182">
                  <c:v>-78.887367121121272</c:v>
                </c:pt>
                <c:pt idx="183">
                  <c:v>-78.918027472635345</c:v>
                </c:pt>
                <c:pt idx="184">
                  <c:v>-78.948790992503163</c:v>
                </c:pt>
                <c:pt idx="185">
                  <c:v>-78.97965169494725</c:v>
                </c:pt>
                <c:pt idx="186">
                  <c:v>-79.011454654504249</c:v>
                </c:pt>
                <c:pt idx="187">
                  <c:v>-79.043347915107063</c:v>
                </c:pt>
                <c:pt idx="188">
                  <c:v>-79.075325505645452</c:v>
                </c:pt>
                <c:pt idx="189">
                  <c:v>-79.107381622755241</c:v>
                </c:pt>
                <c:pt idx="190">
                  <c:v>-79.140124448306224</c:v>
                </c:pt>
                <c:pt idx="191">
                  <c:v>-79.172937171512061</c:v>
                </c:pt>
                <c:pt idx="192">
                  <c:v>-79.205814162045442</c:v>
                </c:pt>
                <c:pt idx="193">
                  <c:v>-79.238749953279211</c:v>
                </c:pt>
                <c:pt idx="194">
                  <c:v>-79.272604798260062</c:v>
                </c:pt>
                <c:pt idx="195">
                  <c:v>-79.306510414088834</c:v>
                </c:pt>
                <c:pt idx="196">
                  <c:v>-79.340461403606128</c:v>
                </c:pt>
                <c:pt idx="197">
                  <c:v>-79.374452533338399</c:v>
                </c:pt>
                <c:pt idx="198">
                  <c:v>-79.409224183377958</c:v>
                </c:pt>
                <c:pt idx="199">
                  <c:v>-79.444027205424135</c:v>
                </c:pt>
                <c:pt idx="200">
                  <c:v>-79.478856516930477</c:v>
                </c:pt>
                <c:pt idx="201">
                  <c:v>-79.513707195684361</c:v>
                </c:pt>
                <c:pt idx="202">
                  <c:v>-79.549321778866954</c:v>
                </c:pt>
                <c:pt idx="203">
                  <c:v>-79.584948767012648</c:v>
                </c:pt>
                <c:pt idx="204">
                  <c:v>-79.620583405034694</c:v>
                </c:pt>
                <c:pt idx="205">
                  <c:v>-79.656221094059759</c:v>
                </c:pt>
                <c:pt idx="206">
                  <c:v>-79.692729549873278</c:v>
                </c:pt>
                <c:pt idx="207">
                  <c:v>-79.729231920208832</c:v>
                </c:pt>
                <c:pt idx="208">
                  <c:v>-79.765723742103773</c:v>
                </c:pt>
                <c:pt idx="209">
                  <c:v>-79.802200706052588</c:v>
                </c:pt>
                <c:pt idx="210">
                  <c:v>-79.839653785271921</c:v>
                </c:pt>
                <c:pt idx="211">
                  <c:v>-79.8770824424507</c:v>
                </c:pt>
                <c:pt idx="212">
                  <c:v>-79.914482482420496</c:v>
                </c:pt>
                <c:pt idx="213">
                  <c:v>-79.951849861813059</c:v>
                </c:pt>
                <c:pt idx="214">
                  <c:v>-79.989924423002947</c:v>
                </c:pt>
                <c:pt idx="215">
                  <c:v>-80.027956975408657</c:v>
                </c:pt>
                <c:pt idx="216">
                  <c:v>-80.065943688256908</c:v>
                </c:pt>
                <c:pt idx="217">
                  <c:v>-80.103880876104128</c:v>
                </c:pt>
                <c:pt idx="218">
                  <c:v>-80.142628155768122</c:v>
                </c:pt>
                <c:pt idx="219">
                  <c:v>-80.181316273842995</c:v>
                </c:pt>
                <c:pt idx="220">
                  <c:v>-80.219941730201796</c:v>
                </c:pt>
                <c:pt idx="221">
                  <c:v>-80.258501164900522</c:v>
                </c:pt>
                <c:pt idx="222">
                  <c:v>-80.297848602232335</c:v>
                </c:pt>
                <c:pt idx="223">
                  <c:v>-80.337120369726634</c:v>
                </c:pt>
                <c:pt idx="224">
                  <c:v>-80.37631330361269</c:v>
                </c:pt>
                <c:pt idx="225">
                  <c:v>-80.415424374533629</c:v>
                </c:pt>
                <c:pt idx="226">
                  <c:v>-80.455422194734808</c:v>
                </c:pt>
                <c:pt idx="227">
                  <c:v>-80.495327991180091</c:v>
                </c:pt>
                <c:pt idx="228">
                  <c:v>-80.535138913563316</c:v>
                </c:pt>
                <c:pt idx="229">
                  <c:v>-80.574852241236911</c:v>
                </c:pt>
                <c:pt idx="230">
                  <c:v>-80.655894674774444</c:v>
                </c:pt>
                <c:pt idx="231">
                  <c:v>-80.696251694156928</c:v>
                </c:pt>
                <c:pt idx="232">
                  <c:v>-80.736496000812323</c:v>
                </c:pt>
                <c:pt idx="233">
                  <c:v>-80.777576519003105</c:v>
                </c:pt>
                <c:pt idx="234">
                  <c:v>-80.818534189430892</c:v>
                </c:pt>
                <c:pt idx="235">
                  <c:v>-80.859366808669122</c:v>
                </c:pt>
                <c:pt idx="236">
                  <c:v>-80.900072291441361</c:v>
                </c:pt>
                <c:pt idx="237">
                  <c:v>-80.941470605615294</c:v>
                </c:pt>
                <c:pt idx="238">
                  <c:v>-80.982732543962712</c:v>
                </c:pt>
                <c:pt idx="239">
                  <c:v>-81.023856245013391</c:v>
                </c:pt>
                <c:pt idx="240">
                  <c:v>-81.064839957656744</c:v>
                </c:pt>
                <c:pt idx="241">
                  <c:v>-81.106724423943973</c:v>
                </c:pt>
                <c:pt idx="242">
                  <c:v>-81.148458259707667</c:v>
                </c:pt>
                <c:pt idx="243">
                  <c:v>-81.190039911271654</c:v>
                </c:pt>
                <c:pt idx="244">
                  <c:v>-81.231467929646968</c:v>
                </c:pt>
                <c:pt idx="245">
                  <c:v>-81.273653839406123</c:v>
                </c:pt>
                <c:pt idx="246">
                  <c:v>-81.315676487405568</c:v>
                </c:pt>
                <c:pt idx="247">
                  <c:v>-81.35753463958477</c:v>
                </c:pt>
                <c:pt idx="248">
                  <c:v>-81.39922715931344</c:v>
                </c:pt>
                <c:pt idx="249">
                  <c:v>-81.441763738554187</c:v>
                </c:pt>
                <c:pt idx="250">
                  <c:v>-81.484124389360304</c:v>
                </c:pt>
                <c:pt idx="251">
                  <c:v>-81.526308182933306</c:v>
                </c:pt>
                <c:pt idx="252">
                  <c:v>-81.568314281380154</c:v>
                </c:pt>
                <c:pt idx="253">
                  <c:v>-81.611025241982915</c:v>
                </c:pt>
                <c:pt idx="254">
                  <c:v>-81.653549414195126</c:v>
                </c:pt>
                <c:pt idx="255">
                  <c:v>-81.695886175316588</c:v>
                </c:pt>
                <c:pt idx="256">
                  <c:v>-81.738034985837359</c:v>
                </c:pt>
                <c:pt idx="257">
                  <c:v>-81.781079935460639</c:v>
                </c:pt>
                <c:pt idx="258">
                  <c:v>-81.823926172921759</c:v>
                </c:pt>
                <c:pt idx="259">
                  <c:v>-81.866573365455579</c:v>
                </c:pt>
                <c:pt idx="260">
                  <c:v>-81.909021257255816</c:v>
                </c:pt>
                <c:pt idx="261">
                  <c:v>-81.952227537719935</c:v>
                </c:pt>
                <c:pt idx="262">
                  <c:v>-81.995225045746636</c:v>
                </c:pt>
                <c:pt idx="263">
                  <c:v>-82.038013735269303</c:v>
                </c:pt>
                <c:pt idx="264">
                  <c:v>-82.080593629912713</c:v>
                </c:pt>
                <c:pt idx="265">
                  <c:v>-82.123904032262857</c:v>
                </c:pt>
                <c:pt idx="266">
                  <c:v>-82.16699651552517</c:v>
                </c:pt>
                <c:pt idx="267">
                  <c:v>-82.209871309691209</c:v>
                </c:pt>
                <c:pt idx="268">
                  <c:v>-82.252528707113399</c:v>
                </c:pt>
                <c:pt idx="269">
                  <c:v>-82.295991507321759</c:v>
                </c:pt>
                <c:pt idx="270">
                  <c:v>-82.339227089510501</c:v>
                </c:pt>
                <c:pt idx="271">
                  <c:v>-82.382235951129061</c:v>
                </c:pt>
                <c:pt idx="272">
                  <c:v>-82.425018645183172</c:v>
                </c:pt>
                <c:pt idx="273">
                  <c:v>-82.468576765796627</c:v>
                </c:pt>
                <c:pt idx="274">
                  <c:v>-82.511899262898211</c:v>
                </c:pt>
                <c:pt idx="275">
                  <c:v>-82.554986891493797</c:v>
                </c:pt>
                <c:pt idx="276">
                  <c:v>-82.597840455253788</c:v>
                </c:pt>
                <c:pt idx="277">
                  <c:v>-82.64134217385471</c:v>
                </c:pt>
                <c:pt idx="278">
                  <c:v>-82.684601854428209</c:v>
                </c:pt>
                <c:pt idx="279">
                  <c:v>-82.727620490987107</c:v>
                </c:pt>
                <c:pt idx="280">
                  <c:v>-82.770399118950039</c:v>
                </c:pt>
                <c:pt idx="281">
                  <c:v>-82.814087815897111</c:v>
                </c:pt>
                <c:pt idx="282">
                  <c:v>-82.857525662692112</c:v>
                </c:pt>
                <c:pt idx="283">
                  <c:v>-82.900713901008046</c:v>
                </c:pt>
                <c:pt idx="284">
                  <c:v>-82.943653807782951</c:v>
                </c:pt>
                <c:pt idx="285">
                  <c:v>-82.987188685093244</c:v>
                </c:pt>
                <c:pt idx="286">
                  <c:v>-83.030468093506911</c:v>
                </c:pt>
                <c:pt idx="287">
                  <c:v>-83.07349348530326</c:v>
                </c:pt>
                <c:pt idx="288">
                  <c:v>-83.116266341020136</c:v>
                </c:pt>
                <c:pt idx="289">
                  <c:v>-83.159884553293537</c:v>
                </c:pt>
                <c:pt idx="290">
                  <c:v>-83.203240236712873</c:v>
                </c:pt>
                <c:pt idx="291">
                  <c:v>-83.24633506825576</c:v>
                </c:pt>
                <c:pt idx="292">
                  <c:v>-83.289170747020904</c:v>
                </c:pt>
                <c:pt idx="293">
                  <c:v>-83.332729913758527</c:v>
                </c:pt>
                <c:pt idx="294">
                  <c:v>-83.376021472064537</c:v>
                </c:pt>
                <c:pt idx="295">
                  <c:v>-83.419047300517647</c:v>
                </c:pt>
                <c:pt idx="296">
                  <c:v>-83.461809293554268</c:v>
                </c:pt>
                <c:pt idx="297">
                  <c:v>-83.505266310050516</c:v>
                </c:pt>
                <c:pt idx="298">
                  <c:v>-83.548451487489828</c:v>
                </c:pt>
                <c:pt idx="299">
                  <c:v>-83.591366891340897</c:v>
                </c:pt>
                <c:pt idx="300">
                  <c:v>-83.634014596854684</c:v>
                </c:pt>
                <c:pt idx="301">
                  <c:v>-83.677329855594522</c:v>
                </c:pt>
                <c:pt idx="302">
                  <c:v>-83.720369867365292</c:v>
                </c:pt>
                <c:pt idx="303">
                  <c:v>-83.763136869224653</c:v>
                </c:pt>
                <c:pt idx="304">
                  <c:v>-83.805633102174397</c:v>
                </c:pt>
                <c:pt idx="305">
                  <c:v>-83.848935820117163</c:v>
                </c:pt>
                <c:pt idx="306">
                  <c:v>-83.891958542026202</c:v>
                </c:pt>
                <c:pt idx="307">
                  <c:v>-83.934703688616921</c:v>
                </c:pt>
                <c:pt idx="308">
                  <c:v>-83.977173678954728</c:v>
                </c:pt>
                <c:pt idx="309">
                  <c:v>-84.020257226472168</c:v>
                </c:pt>
                <c:pt idx="310">
                  <c:v>-84.063058985521508</c:v>
                </c:pt>
                <c:pt idx="311">
                  <c:v>-84.105581517893697</c:v>
                </c:pt>
                <c:pt idx="312">
                  <c:v>-84.147827378386978</c:v>
                </c:pt>
                <c:pt idx="313">
                  <c:v>-84.190819411442817</c:v>
                </c:pt>
                <c:pt idx="314">
                  <c:v>-84.233526511905566</c:v>
                </c:pt>
                <c:pt idx="315">
                  <c:v>-84.275951396283517</c:v>
                </c:pt>
                <c:pt idx="316">
                  <c:v>-84.318096768916732</c:v>
                </c:pt>
                <c:pt idx="317">
                  <c:v>-84.360958839418331</c:v>
                </c:pt>
                <c:pt idx="318">
                  <c:v>-84.403533623363501</c:v>
                </c:pt>
                <c:pt idx="319">
                  <c:v>-84.445823977352376</c:v>
                </c:pt>
                <c:pt idx="320">
                  <c:v>-84.487832740869223</c:v>
                </c:pt>
                <c:pt idx="321">
                  <c:v>-84.530529906146924</c:v>
                </c:pt>
                <c:pt idx="322">
                  <c:v>-84.572938188600233</c:v>
                </c:pt>
                <c:pt idx="323">
                  <c:v>-84.615060569994483</c:v>
                </c:pt>
                <c:pt idx="324">
                  <c:v>-84.656900010299921</c:v>
                </c:pt>
                <c:pt idx="325">
                  <c:v>-84.699400748446692</c:v>
                </c:pt>
                <c:pt idx="326">
                  <c:v>-84.741611728513021</c:v>
                </c:pt>
                <c:pt idx="327">
                  <c:v>-84.783536042421801</c:v>
                </c:pt>
                <c:pt idx="328">
                  <c:v>-84.825176755919983</c:v>
                </c:pt>
                <c:pt idx="329">
                  <c:v>-84.867523311206057</c:v>
                </c:pt>
                <c:pt idx="330">
                  <c:v>-84.909578949051749</c:v>
                </c:pt>
                <c:pt idx="331">
                  <c:v>-84.951346872581126</c:v>
                </c:pt>
                <c:pt idx="332">
                  <c:v>-84.9928302544796</c:v>
                </c:pt>
                <c:pt idx="333">
                  <c:v>-85.034923340090543</c:v>
                </c:pt>
                <c:pt idx="334">
                  <c:v>-85.076725996604026</c:v>
                </c:pt>
                <c:pt idx="335">
                  <c:v>-85.118241507612709</c:v>
                </c:pt>
                <c:pt idx="336">
                  <c:v>-85.159473122529292</c:v>
                </c:pt>
                <c:pt idx="337">
                  <c:v>-85.201424258796877</c:v>
                </c:pt>
                <c:pt idx="338">
                  <c:v>-85.243084206275469</c:v>
                </c:pt>
                <c:pt idx="339">
                  <c:v>-85.284456346804276</c:v>
                </c:pt>
                <c:pt idx="340">
                  <c:v>-85.325544024170114</c:v>
                </c:pt>
                <c:pt idx="341">
                  <c:v>-85.367323360130186</c:v>
                </c:pt>
                <c:pt idx="342">
                  <c:v>-85.408811432468028</c:v>
                </c:pt>
                <c:pt idx="343">
                  <c:v>-85.450011706849352</c:v>
                </c:pt>
                <c:pt idx="344">
                  <c:v>-85.490927607311875</c:v>
                </c:pt>
                <c:pt idx="345">
                  <c:v>-85.532445530493689</c:v>
                </c:pt>
                <c:pt idx="346">
                  <c:v>-85.573673637556524</c:v>
                </c:pt>
                <c:pt idx="347">
                  <c:v>-85.614615447762944</c:v>
                </c:pt>
                <c:pt idx="348">
                  <c:v>-85.655274435759779</c:v>
                </c:pt>
                <c:pt idx="349">
                  <c:v>-85.696635438350228</c:v>
                </c:pt>
                <c:pt idx="350">
                  <c:v>-85.737706893263365</c:v>
                </c:pt>
                <c:pt idx="351">
                  <c:v>-85.778492391822311</c:v>
                </c:pt>
                <c:pt idx="352">
                  <c:v>-85.818995477528063</c:v>
                </c:pt>
                <c:pt idx="353">
                  <c:v>-85.860173993708969</c:v>
                </c:pt>
                <c:pt idx="354">
                  <c:v>-85.901063853741832</c:v>
                </c:pt>
                <c:pt idx="355">
                  <c:v>-85.941668707130546</c:v>
                </c:pt>
                <c:pt idx="356">
                  <c:v>-85.98199215266439</c:v>
                </c:pt>
                <c:pt idx="357">
                  <c:v>-86.022907757159558</c:v>
                </c:pt>
                <c:pt idx="358">
                  <c:v>-86.06353698634301</c:v>
                </c:pt>
                <c:pt idx="359">
                  <c:v>-86.103883518821604</c:v>
                </c:pt>
                <c:pt idx="360">
                  <c:v>-86.143950980219387</c:v>
                </c:pt>
                <c:pt idx="361">
                  <c:v>-86.184701814028514</c:v>
                </c:pt>
                <c:pt idx="362">
                  <c:v>-86.22516744699422</c:v>
                </c:pt>
                <c:pt idx="363">
                  <c:v>-86.265351605406863</c:v>
                </c:pt>
                <c:pt idx="364">
                  <c:v>-86.305257960027262</c:v>
                </c:pt>
                <c:pt idx="365">
                  <c:v>-86.345767754759109</c:v>
                </c:pt>
                <c:pt idx="366">
                  <c:v>-86.385994843902978</c:v>
                </c:pt>
                <c:pt idx="367">
                  <c:v>-86.425942973198687</c:v>
                </c:pt>
                <c:pt idx="368">
                  <c:v>-86.465615830939612</c:v>
                </c:pt>
                <c:pt idx="369">
                  <c:v>-86.505977292945943</c:v>
                </c:pt>
                <c:pt idx="370">
                  <c:v>-86.546057509537519</c:v>
                </c:pt>
                <c:pt idx="371">
                  <c:v>-86.585860264067421</c:v>
                </c:pt>
                <c:pt idx="372">
                  <c:v>-86.625389280218883</c:v>
                </c:pt>
                <c:pt idx="373">
                  <c:v>-86.665530286388687</c:v>
                </c:pt>
                <c:pt idx="374">
                  <c:v>-86.705392759093371</c:v>
                </c:pt>
                <c:pt idx="375">
                  <c:v>-86.744980491967439</c:v>
                </c:pt>
                <c:pt idx="376">
                  <c:v>-86.784297217383539</c:v>
                </c:pt>
                <c:pt idx="377">
                  <c:v>-86.82430556978359</c:v>
                </c:pt>
                <c:pt idx="378">
                  <c:v>-86.864037133914564</c:v>
                </c:pt>
                <c:pt idx="379">
                  <c:v>-86.903495731275825</c:v>
                </c:pt>
                <c:pt idx="380">
                  <c:v>-86.942685120189509</c:v>
                </c:pt>
                <c:pt idx="381">
                  <c:v>-86.982443708064551</c:v>
                </c:pt>
                <c:pt idx="382">
                  <c:v>-87.021929107674026</c:v>
                </c:pt>
                <c:pt idx="383">
                  <c:v>-87.061145127970093</c:v>
                </c:pt>
                <c:pt idx="384">
                  <c:v>-87.10009551375768</c:v>
                </c:pt>
                <c:pt idx="385">
                  <c:v>-87.139739472674393</c:v>
                </c:pt>
                <c:pt idx="386">
                  <c:v>-87.179112228649728</c:v>
                </c:pt>
                <c:pt idx="387">
                  <c:v>-87.218217609641798</c:v>
                </c:pt>
                <c:pt idx="388">
                  <c:v>-87.257059377838459</c:v>
                </c:pt>
                <c:pt idx="389">
                  <c:v>-87.296524608381617</c:v>
                </c:pt>
                <c:pt idx="390">
                  <c:v>-87.335721733206725</c:v>
                </c:pt>
                <c:pt idx="391">
                  <c:v>-87.374654574036001</c:v>
                </c:pt>
                <c:pt idx="392">
                  <c:v>-87.413326885817725</c:v>
                </c:pt>
                <c:pt idx="393">
                  <c:v>-87.452602196106199</c:v>
                </c:pt>
                <c:pt idx="394">
                  <c:v>-87.491612874687647</c:v>
                </c:pt>
                <c:pt idx="395">
                  <c:v>-87.530362726945228</c:v>
                </c:pt>
                <c:pt idx="396">
                  <c:v>-87.568855490772407</c:v>
                </c:pt>
                <c:pt idx="397">
                  <c:v>-87.608020071544146</c:v>
                </c:pt>
                <c:pt idx="398">
                  <c:v>-87.646922656511848</c:v>
                </c:pt>
                <c:pt idx="399">
                  <c:v>-87.685567050884899</c:v>
                </c:pt>
                <c:pt idx="400">
                  <c:v>-87.723956991329899</c:v>
                </c:pt>
                <c:pt idx="401">
                  <c:v>-87.762954210131241</c:v>
                </c:pt>
                <c:pt idx="402">
                  <c:v>-87.801693046889227</c:v>
                </c:pt>
                <c:pt idx="403">
                  <c:v>-87.840177283666208</c:v>
                </c:pt>
                <c:pt idx="404">
                  <c:v>-87.878410633520502</c:v>
                </c:pt>
                <c:pt idx="405">
                  <c:v>-87.917274311598192</c:v>
                </c:pt>
                <c:pt idx="406">
                  <c:v>-87.955882986807168</c:v>
                </c:pt>
                <c:pt idx="407">
                  <c:v>-87.99424042134676</c:v>
                </c:pt>
                <c:pt idx="408">
                  <c:v>-88.032350307915323</c:v>
                </c:pt>
                <c:pt idx="409">
                  <c:v>-88.071111990172852</c:v>
                </c:pt>
                <c:pt idx="410">
                  <c:v>-88.109621850277833</c:v>
                </c:pt>
                <c:pt idx="411">
                  <c:v>-88.147883633283072</c:v>
                </c:pt>
                <c:pt idx="412">
                  <c:v>-88.185901014214949</c:v>
                </c:pt>
                <c:pt idx="413">
                  <c:v>-88.224550520246396</c:v>
                </c:pt>
                <c:pt idx="414">
                  <c:v>-88.262951727200857</c:v>
                </c:pt>
                <c:pt idx="415">
                  <c:v>-88.30110835377269</c:v>
                </c:pt>
                <c:pt idx="416">
                  <c:v>-88.339024048368955</c:v>
                </c:pt>
                <c:pt idx="417">
                  <c:v>-88.377592025756144</c:v>
                </c:pt>
                <c:pt idx="418">
                  <c:v>-88.415915040223041</c:v>
                </c:pt>
                <c:pt idx="419">
                  <c:v>-88.453996786717013</c:v>
                </c:pt>
                <c:pt idx="420">
                  <c:v>-88.491840889606749</c:v>
                </c:pt>
                <c:pt idx="421">
                  <c:v>-88.530280697934529</c:v>
                </c:pt>
                <c:pt idx="422">
                  <c:v>-88.568479664900707</c:v>
                </c:pt>
                <c:pt idx="423">
                  <c:v>-88.606441442399628</c:v>
                </c:pt>
                <c:pt idx="424">
                  <c:v>-88.644169611981752</c:v>
                </c:pt>
                <c:pt idx="425">
                  <c:v>-88.682587504181441</c:v>
                </c:pt>
                <c:pt idx="426">
                  <c:v>-88.720767543457498</c:v>
                </c:pt>
                <c:pt idx="427">
                  <c:v>-88.758713362834143</c:v>
                </c:pt>
                <c:pt idx="428">
                  <c:v>-88.796428524639964</c:v>
                </c:pt>
                <c:pt idx="429">
                  <c:v>-88.834778147121881</c:v>
                </c:pt>
                <c:pt idx="430">
                  <c:v>-88.872893677227026</c:v>
                </c:pt>
                <c:pt idx="431">
                  <c:v>-88.910778710137194</c:v>
                </c:pt>
                <c:pt idx="432">
                  <c:v>-88.948436770505239</c:v>
                </c:pt>
                <c:pt idx="433">
                  <c:v>-88.986712360633874</c:v>
                </c:pt>
                <c:pt idx="434">
                  <c:v>-89.024757868164997</c:v>
                </c:pt>
                <c:pt idx="435">
                  <c:v>-89.062576843221535</c:v>
                </c:pt>
                <c:pt idx="436">
                  <c:v>-89.100172765785004</c:v>
                </c:pt>
                <c:pt idx="437">
                  <c:v>-89.138438753488941</c:v>
                </c:pt>
                <c:pt idx="438">
                  <c:v>-89.176478075878393</c:v>
                </c:pt>
                <c:pt idx="439">
                  <c:v>-89.21429425028019</c:v>
                </c:pt>
                <c:pt idx="440">
                  <c:v>-89.251890723974867</c:v>
                </c:pt>
                <c:pt idx="441">
                  <c:v>-89.290139966488738</c:v>
                </c:pt>
                <c:pt idx="442">
                  <c:v>-89.328166229208094</c:v>
                </c:pt>
                <c:pt idx="443">
                  <c:v>-89.365972989152482</c:v>
                </c:pt>
                <c:pt idx="444">
                  <c:v>-89.403563653615308</c:v>
                </c:pt>
                <c:pt idx="445">
                  <c:v>-89.441790839874955</c:v>
                </c:pt>
                <c:pt idx="446">
                  <c:v>-89.479798963879958</c:v>
                </c:pt>
                <c:pt idx="447">
                  <c:v>-89.517591455602229</c:v>
                </c:pt>
                <c:pt idx="448">
                  <c:v>-89.555171675815117</c:v>
                </c:pt>
                <c:pt idx="449">
                  <c:v>-89.593437031092833</c:v>
                </c:pt>
                <c:pt idx="450">
                  <c:v>-89.631486723883199</c:v>
                </c:pt>
                <c:pt idx="451">
                  <c:v>-89.669324147963536</c:v>
                </c:pt>
                <c:pt idx="452">
                  <c:v>-89.706952628174349</c:v>
                </c:pt>
                <c:pt idx="453">
                  <c:v>-89.745218606863119</c:v>
                </c:pt>
                <c:pt idx="454">
                  <c:v>-89.783272911879195</c:v>
                </c:pt>
                <c:pt idx="455">
                  <c:v>-89.821118885733497</c:v>
                </c:pt>
                <c:pt idx="456">
                  <c:v>-89.858759802693143</c:v>
                </c:pt>
                <c:pt idx="457">
                  <c:v>-89.897084932916485</c:v>
                </c:pt>
                <c:pt idx="458">
                  <c:v>-89.935201890658021</c:v>
                </c:pt>
                <c:pt idx="459">
                  <c:v>-89.973113977446104</c:v>
                </c:pt>
                <c:pt idx="460">
                  <c:v>-90.010824427003683</c:v>
                </c:pt>
                <c:pt idx="461">
                  <c:v>-90.049203660407244</c:v>
                </c:pt>
                <c:pt idx="462">
                  <c:v>-90.087378438807733</c:v>
                </c:pt>
                <c:pt idx="463">
                  <c:v>-90.125352016478871</c:v>
                </c:pt>
                <c:pt idx="464">
                  <c:v>-90.163127580520936</c:v>
                </c:pt>
                <c:pt idx="465">
                  <c:v>-90.201586736978996</c:v>
                </c:pt>
                <c:pt idx="466">
                  <c:v>-90.239845035560464</c:v>
                </c:pt>
                <c:pt idx="467">
                  <c:v>-90.277905685007198</c:v>
                </c:pt>
                <c:pt idx="468">
                  <c:v>-90.315771827494657</c:v>
                </c:pt>
                <c:pt idx="469">
                  <c:v>-90.354307101772974</c:v>
                </c:pt>
                <c:pt idx="470">
                  <c:v>-90.392645303062153</c:v>
                </c:pt>
                <c:pt idx="471">
                  <c:v>-90.430789588972573</c:v>
                </c:pt>
                <c:pt idx="472">
                  <c:v>-90.468743051330804</c:v>
                </c:pt>
                <c:pt idx="473">
                  <c:v>-90.507408313200003</c:v>
                </c:pt>
                <c:pt idx="474">
                  <c:v>-90.545879884477984</c:v>
                </c:pt>
                <c:pt idx="475">
                  <c:v>-90.584160880204266</c:v>
                </c:pt>
                <c:pt idx="476">
                  <c:v>-90.622254350201089</c:v>
                </c:pt>
                <c:pt idx="477">
                  <c:v>-90.661045275439491</c:v>
                </c:pt>
                <c:pt idx="478">
                  <c:v>-90.699646085307435</c:v>
                </c:pt>
                <c:pt idx="479">
                  <c:v>-90.73805984662016</c:v>
                </c:pt>
                <c:pt idx="480">
                  <c:v>-90.776289561718045</c:v>
                </c:pt>
                <c:pt idx="481">
                  <c:v>-90.815203286668819</c:v>
                </c:pt>
                <c:pt idx="482">
                  <c:v>-90.853930633909684</c:v>
                </c:pt>
                <c:pt idx="483">
                  <c:v>-90.892474617072125</c:v>
                </c:pt>
                <c:pt idx="484">
                  <c:v>-90.930838186213663</c:v>
                </c:pt>
                <c:pt idx="485">
                  <c:v>-90.969899699707923</c:v>
                </c:pt>
                <c:pt idx="486">
                  <c:v>-91.008778460541677</c:v>
                </c:pt>
                <c:pt idx="487">
                  <c:v>-91.047477430850137</c:v>
                </c:pt>
                <c:pt idx="488">
                  <c:v>-91.085999510067268</c:v>
                </c:pt>
                <c:pt idx="489">
                  <c:v>-91.12525910645283</c:v>
                </c:pt>
                <c:pt idx="490">
                  <c:v>-91.164339238674032</c:v>
                </c:pt>
                <c:pt idx="491">
                  <c:v>-91.203242824552973</c:v>
                </c:pt>
                <c:pt idx="492">
                  <c:v>-91.241972719899252</c:v>
                </c:pt>
                <c:pt idx="493">
                  <c:v>-91.281427024619575</c:v>
                </c:pt>
                <c:pt idx="494">
                  <c:v>-91.320705318912204</c:v>
                </c:pt>
                <c:pt idx="495">
                  <c:v>-91.359810471346648</c:v>
                </c:pt>
                <c:pt idx="496">
                  <c:v>-91.398745289324523</c:v>
                </c:pt>
                <c:pt idx="497">
                  <c:v>-91.438417372396287</c:v>
                </c:pt>
                <c:pt idx="498">
                  <c:v>-91.477916818895025</c:v>
                </c:pt>
                <c:pt idx="499">
                  <c:v>-91.51724644915808</c:v>
                </c:pt>
                <c:pt idx="500">
                  <c:v>-91.556409023187641</c:v>
                </c:pt>
                <c:pt idx="501">
                  <c:v>-91.596321436549374</c:v>
                </c:pt>
                <c:pt idx="502">
                  <c:v>-91.636064515983264</c:v>
                </c:pt>
                <c:pt idx="503">
                  <c:v>-91.675641034438598</c:v>
                </c:pt>
                <c:pt idx="504">
                  <c:v>-91.715053705353782</c:v>
                </c:pt>
                <c:pt idx="505">
                  <c:v>-91.755204245982895</c:v>
                </c:pt>
                <c:pt idx="506">
                  <c:v>-91.795188891276297</c:v>
                </c:pt>
                <c:pt idx="507">
                  <c:v>-91.835010362585294</c:v>
                </c:pt>
                <c:pt idx="508">
                  <c:v>-91.874671322710995</c:v>
                </c:pt>
                <c:pt idx="509">
                  <c:v>-91.915082855523096</c:v>
                </c:pt>
                <c:pt idx="510">
                  <c:v>-91.955331851263225</c:v>
                </c:pt>
                <c:pt idx="511">
                  <c:v>-91.995420980775492</c:v>
                </c:pt>
                <c:pt idx="512">
                  <c:v>-92.035352857298662</c:v>
                </c:pt>
                <c:pt idx="513">
                  <c:v>-92.07607132708236</c:v>
                </c:pt>
                <c:pt idx="514">
                  <c:v>-92.116630362081239</c:v>
                </c:pt>
                <c:pt idx="515">
                  <c:v>-92.15703258808135</c:v>
                </c:pt>
                <c:pt idx="516">
                  <c:v>-92.197280574066994</c:v>
                </c:pt>
                <c:pt idx="517">
                  <c:v>-92.238303747279772</c:v>
                </c:pt>
                <c:pt idx="518">
                  <c:v>-92.279170718244103</c:v>
                </c:pt>
                <c:pt idx="519">
                  <c:v>-92.319884063676952</c:v>
                </c:pt>
                <c:pt idx="520">
                  <c:v>-92.360446304426191</c:v>
                </c:pt>
                <c:pt idx="521">
                  <c:v>-92.401795885590204</c:v>
                </c:pt>
                <c:pt idx="522">
                  <c:v>-92.442992435363877</c:v>
                </c:pt>
                <c:pt idx="523">
                  <c:v>-92.484038482110634</c:v>
                </c:pt>
                <c:pt idx="524">
                  <c:v>-92.524936499251083</c:v>
                </c:pt>
                <c:pt idx="525">
                  <c:v>-92.566633877292446</c:v>
                </c:pt>
                <c:pt idx="526">
                  <c:v>-92.608181337979516</c:v>
                </c:pt>
                <c:pt idx="527">
                  <c:v>-92.649581361942282</c:v>
                </c:pt>
                <c:pt idx="528">
                  <c:v>-92.690836375790113</c:v>
                </c:pt>
                <c:pt idx="529">
                  <c:v>-92.732902661091785</c:v>
                </c:pt>
                <c:pt idx="530">
                  <c:v>-92.774822090407497</c:v>
                </c:pt>
                <c:pt idx="531">
                  <c:v>-92.816597097173997</c:v>
                </c:pt>
                <c:pt idx="532">
                  <c:v>-92.858230061726871</c:v>
                </c:pt>
                <c:pt idx="533">
                  <c:v>-92.900708000314864</c:v>
                </c:pt>
                <c:pt idx="534">
                  <c:v>-92.943041947824085</c:v>
                </c:pt>
                <c:pt idx="535">
                  <c:v>-92.985234294629663</c:v>
                </c:pt>
                <c:pt idx="536">
                  <c:v>-93.027287378817505</c:v>
                </c:pt>
                <c:pt idx="537">
                  <c:v>-93.070153570687694</c:v>
                </c:pt>
                <c:pt idx="538">
                  <c:v>-93.112878889616852</c:v>
                </c:pt>
                <c:pt idx="539">
                  <c:v>-93.155465675918492</c:v>
                </c:pt>
                <c:pt idx="540">
                  <c:v>-93.197916218645062</c:v>
                </c:pt>
                <c:pt idx="541">
                  <c:v>-93.241234618355278</c:v>
                </c:pt>
                <c:pt idx="542">
                  <c:v>-93.284414932307811</c:v>
                </c:pt>
                <c:pt idx="543">
                  <c:v>-93.327459458257636</c:v>
                </c:pt>
                <c:pt idx="544">
                  <c:v>-93.370370443520514</c:v>
                </c:pt>
                <c:pt idx="545">
                  <c:v>-93.414139499953393</c:v>
                </c:pt>
                <c:pt idx="546">
                  <c:v>-93.457773361251483</c:v>
                </c:pt>
                <c:pt idx="547">
                  <c:v>-93.501274279360842</c:v>
                </c:pt>
                <c:pt idx="548">
                  <c:v>-93.544644456716782</c:v>
                </c:pt>
                <c:pt idx="549">
                  <c:v>-93.588884349135341</c:v>
                </c:pt>
                <c:pt idx="550">
                  <c:v>-93.632991896357467</c:v>
                </c:pt>
                <c:pt idx="551">
                  <c:v>-93.676969304856797</c:v>
                </c:pt>
                <c:pt idx="552">
                  <c:v>-93.720818732526141</c:v>
                </c:pt>
                <c:pt idx="553">
                  <c:v>-93.765570064417901</c:v>
                </c:pt>
                <c:pt idx="554">
                  <c:v>-93.810191743430039</c:v>
                </c:pt>
                <c:pt idx="555">
                  <c:v>-93.854685933836492</c:v>
                </c:pt>
                <c:pt idx="556">
                  <c:v>-93.899054752175942</c:v>
                </c:pt>
                <c:pt idx="557">
                  <c:v>-93.989491789230371</c:v>
                </c:pt>
                <c:pt idx="558">
                  <c:v>-94.079429328205208</c:v>
                </c:pt>
                <c:pt idx="559">
                  <c:v>-94.170928669740903</c:v>
                </c:pt>
                <c:pt idx="560">
                  <c:v>-94.261939341011043</c:v>
                </c:pt>
                <c:pt idx="561">
                  <c:v>-94.354619894616036</c:v>
                </c:pt>
                <c:pt idx="562">
                  <c:v>-94.446821646704763</c:v>
                </c:pt>
                <c:pt idx="563">
                  <c:v>-94.540524044528084</c:v>
                </c:pt>
                <c:pt idx="564">
                  <c:v>-94.633759388302963</c:v>
                </c:pt>
                <c:pt idx="565">
                  <c:v>-94.728876419174227</c:v>
                </c:pt>
                <c:pt idx="566">
                  <c:v>-94.823534527233036</c:v>
                </c:pt>
                <c:pt idx="567">
                  <c:v>-94.920060127255056</c:v>
                </c:pt>
                <c:pt idx="568">
                  <c:v>-95.016135406999354</c:v>
                </c:pt>
                <c:pt idx="569">
                  <c:v>-95.113683699451201</c:v>
                </c:pt>
                <c:pt idx="570">
                  <c:v>-95.210794052013682</c:v>
                </c:pt>
                <c:pt idx="571">
                  <c:v>-95.310129206531997</c:v>
                </c:pt>
                <c:pt idx="572">
                  <c:v>-95.40903224526113</c:v>
                </c:pt>
                <c:pt idx="573">
                  <c:v>-95.509392989640503</c:v>
                </c:pt>
                <c:pt idx="574">
                  <c:v>-95.609334294217831</c:v>
                </c:pt>
                <c:pt idx="575">
                  <c:v>-95.711474210379038</c:v>
                </c:pt>
                <c:pt idx="576">
                  <c:v>-95.813201267744859</c:v>
                </c:pt>
                <c:pt idx="577">
                  <c:v>-96.239600441714984</c:v>
                </c:pt>
                <c:pt idx="578">
                  <c:v>-96.659757742028575</c:v>
                </c:pt>
                <c:pt idx="579">
                  <c:v>-97.562261421961523</c:v>
                </c:pt>
                <c:pt idx="580">
                  <c:v>-98.529816057936898</c:v>
                </c:pt>
                <c:pt idx="581">
                  <c:v>-99.56924871247972</c:v>
                </c:pt>
                <c:pt idx="582">
                  <c:v>-100.69002922859191</c:v>
                </c:pt>
                <c:pt idx="583">
                  <c:v>-101.90086464166555</c:v>
                </c:pt>
                <c:pt idx="584">
                  <c:v>-103.21308737308325</c:v>
                </c:pt>
                <c:pt idx="585">
                  <c:v>-104.63744604532479</c:v>
                </c:pt>
                <c:pt idx="586">
                  <c:v>-106.18688953057688</c:v>
                </c:pt>
                <c:pt idx="587">
                  <c:v>-107.87680482936116</c:v>
                </c:pt>
                <c:pt idx="588">
                  <c:v>-109.7223121320167</c:v>
                </c:pt>
                <c:pt idx="589">
                  <c:v>-111.74477794603139</c:v>
                </c:pt>
                <c:pt idx="590">
                  <c:v>-113.96810728754407</c:v>
                </c:pt>
                <c:pt idx="591">
                  <c:v>-116.42430754134415</c:v>
                </c:pt>
                <c:pt idx="592">
                  <c:v>-119.15648302953643</c:v>
                </c:pt>
                <c:pt idx="593">
                  <c:v>-122.22864449495638</c:v>
                </c:pt>
                <c:pt idx="594">
                  <c:v>-125.73818266734253</c:v>
                </c:pt>
                <c:pt idx="595">
                  <c:v>-129.84989537805697</c:v>
                </c:pt>
                <c:pt idx="596">
                  <c:v>-134.86044420817055</c:v>
                </c:pt>
                <c:pt idx="597">
                  <c:v>-141.36496814744891</c:v>
                </c:pt>
                <c:pt idx="598">
                  <c:v>-150.69521681824762</c:v>
                </c:pt>
                <c:pt idx="599">
                  <c:v>-166.24701878318362</c:v>
                </c:pt>
                <c:pt idx="600">
                  <c:v>-196.19504932073804</c:v>
                </c:pt>
              </c:numCache>
            </c:numRef>
          </c:yVal>
          <c:smooth val="0"/>
          <c:extLst>
            <c:ext xmlns:c16="http://schemas.microsoft.com/office/drawing/2014/chart" uri="{C3380CC4-5D6E-409C-BE32-E72D297353CC}">
              <c16:uniqueId val="{00000001-5314-496C-84FB-BC9D9C42BA7D}"/>
            </c:ext>
          </c:extLst>
        </c:ser>
        <c:dLbls>
          <c:showLegendKey val="0"/>
          <c:showVal val="0"/>
          <c:showCatName val="0"/>
          <c:showSerName val="0"/>
          <c:showPercent val="0"/>
          <c:showBubbleSize val="0"/>
        </c:dLbls>
        <c:axId val="184341632"/>
        <c:axId val="184343168"/>
      </c:scatterChart>
      <c:valAx>
        <c:axId val="184325248"/>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4327168"/>
        <c:crossesAt val="-40"/>
        <c:crossBetween val="midCat"/>
        <c:majorUnit val="10"/>
        <c:minorUnit val="10"/>
      </c:valAx>
      <c:valAx>
        <c:axId val="184327168"/>
        <c:scaling>
          <c:orientation val="minMax"/>
          <c:max val="8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84325248"/>
        <c:crossesAt val="0.1"/>
        <c:crossBetween val="midCat"/>
        <c:majorUnit val="20"/>
        <c:minorUnit val="4"/>
      </c:valAx>
      <c:valAx>
        <c:axId val="184341632"/>
        <c:scaling>
          <c:logBase val="10"/>
          <c:orientation val="minMax"/>
        </c:scaling>
        <c:delete val="1"/>
        <c:axPos val="t"/>
        <c:numFmt formatCode="General" sourceLinked="1"/>
        <c:majorTickMark val="out"/>
        <c:minorTickMark val="none"/>
        <c:tickLblPos val="none"/>
        <c:crossAx val="184343168"/>
        <c:crossesAt val="0"/>
        <c:crossBetween val="midCat"/>
      </c:valAx>
      <c:valAx>
        <c:axId val="184343168"/>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84341632"/>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B49-4ADE-B8CD-DD5F374AD671}"/>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Calculations'!$A$627</c:f>
              <c:numCache>
                <c:formatCode>0</c:formatCode>
                <c:ptCount val="1"/>
                <c:pt idx="0">
                  <c:v>1017886.0502993048</c:v>
                </c:pt>
              </c:numCache>
            </c:numRef>
          </c:xVal>
          <c:yVal>
            <c:numRef>
              <c:f>'Stability Calculations'!$Q$627</c:f>
              <c:numCache>
                <c:formatCode>0.00</c:formatCode>
                <c:ptCount val="1"/>
                <c:pt idx="0">
                  <c:v>-35.277036057252182</c:v>
                </c:pt>
              </c:numCache>
            </c:numRef>
          </c:yVal>
          <c:smooth val="0"/>
          <c:extLst>
            <c:ext xmlns:c16="http://schemas.microsoft.com/office/drawing/2014/chart" uri="{C3380CC4-5D6E-409C-BE32-E72D297353CC}">
              <c16:uniqueId val="{00000001-4B49-4ADE-B8CD-DD5F374AD671}"/>
            </c:ext>
          </c:extLst>
        </c:ser>
        <c:dLbls>
          <c:showLegendKey val="0"/>
          <c:showVal val="0"/>
          <c:showCatName val="0"/>
          <c:showSerName val="0"/>
          <c:showPercent val="0"/>
          <c:showBubbleSize val="0"/>
        </c:dLbls>
        <c:axId val="165647872"/>
        <c:axId val="165649792"/>
      </c:scatterChart>
      <c:scatterChart>
        <c:scatterStyle val="smoothMarker"/>
        <c:varyColors val="0"/>
        <c:ser>
          <c:idx val="2"/>
          <c:order val="0"/>
          <c:tx>
            <c:v>Loop Gain</c:v>
          </c:tx>
          <c:spPr>
            <a:ln w="3175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Calculations'!$Q$13:$Q$613</c:f>
              <c:numCache>
                <c:formatCode>0.00</c:formatCode>
                <c:ptCount val="601"/>
                <c:pt idx="0">
                  <c:v>79.058569084588839</c:v>
                </c:pt>
                <c:pt idx="1">
                  <c:v>78.27210454154806</c:v>
                </c:pt>
                <c:pt idx="2">
                  <c:v>77.483453739634996</c:v>
                </c:pt>
                <c:pt idx="3">
                  <c:v>76.69295774439189</c:v>
                </c:pt>
                <c:pt idx="4">
                  <c:v>75.901421169291183</c:v>
                </c:pt>
                <c:pt idx="5">
                  <c:v>75.107766491172725</c:v>
                </c:pt>
                <c:pt idx="6">
                  <c:v>74.313320940246101</c:v>
                </c:pt>
                <c:pt idx="7">
                  <c:v>73.517729826252179</c:v>
                </c:pt>
                <c:pt idx="8">
                  <c:v>72.721714398054118</c:v>
                </c:pt>
                <c:pt idx="9">
                  <c:v>71.924790194710994</c:v>
                </c:pt>
                <c:pt idx="10">
                  <c:v>71.127514090212912</c:v>
                </c:pt>
                <c:pt idx="11">
                  <c:v>70.32985534144531</c:v>
                </c:pt>
                <c:pt idx="12">
                  <c:v>69.531460743975984</c:v>
                </c:pt>
                <c:pt idx="13">
                  <c:v>68.733155012020376</c:v>
                </c:pt>
                <c:pt idx="14">
                  <c:v>67.934349214166389</c:v>
                </c:pt>
                <c:pt idx="15">
                  <c:v>67.135390773917848</c:v>
                </c:pt>
                <c:pt idx="16">
                  <c:v>66.336248862493377</c:v>
                </c:pt>
                <c:pt idx="17">
                  <c:v>65.537065010396475</c:v>
                </c:pt>
                <c:pt idx="18">
                  <c:v>64.737630132641854</c:v>
                </c:pt>
                <c:pt idx="19">
                  <c:v>63.938177837751631</c:v>
                </c:pt>
                <c:pt idx="20">
                  <c:v>63.138563940327337</c:v>
                </c:pt>
                <c:pt idx="21">
                  <c:v>62.338963737648214</c:v>
                </c:pt>
                <c:pt idx="22">
                  <c:v>61.539216177111548</c:v>
                </c:pt>
                <c:pt idx="23">
                  <c:v>60.739526931969017</c:v>
                </c:pt>
                <c:pt idx="24">
                  <c:v>59.939698711064793</c:v>
                </c:pt>
                <c:pt idx="25">
                  <c:v>59.139860312493433</c:v>
                </c:pt>
                <c:pt idx="26">
                  <c:v>58.339829417753251</c:v>
                </c:pt>
                <c:pt idx="27">
                  <c:v>57.53986402701338</c:v>
                </c:pt>
                <c:pt idx="28">
                  <c:v>56.739935817798575</c:v>
                </c:pt>
                <c:pt idx="29">
                  <c:v>55.940544154607963</c:v>
                </c:pt>
                <c:pt idx="30">
                  <c:v>55.140339575059237</c:v>
                </c:pt>
                <c:pt idx="31">
                  <c:v>54.340442491780642</c:v>
                </c:pt>
                <c:pt idx="32">
                  <c:v>53.54031263486057</c:v>
                </c:pt>
                <c:pt idx="33">
                  <c:v>52.740522618478536</c:v>
                </c:pt>
                <c:pt idx="34">
                  <c:v>51.940458362203884</c:v>
                </c:pt>
                <c:pt idx="35">
                  <c:v>51.140573101807796</c:v>
                </c:pt>
                <c:pt idx="36">
                  <c:v>50.340747599939284</c:v>
                </c:pt>
                <c:pt idx="37">
                  <c:v>49.540554603927227</c:v>
                </c:pt>
                <c:pt idx="38">
                  <c:v>48.740759792824008</c:v>
                </c:pt>
                <c:pt idx="39">
                  <c:v>47.94072256574794</c:v>
                </c:pt>
                <c:pt idx="40">
                  <c:v>47.140749212017326</c:v>
                </c:pt>
                <c:pt idx="41">
                  <c:v>46.340774401636871</c:v>
                </c:pt>
                <c:pt idx="42">
                  <c:v>45.540911510334951</c:v>
                </c:pt>
                <c:pt idx="43">
                  <c:v>44.740928220353588</c:v>
                </c:pt>
                <c:pt idx="44">
                  <c:v>43.941039685576371</c:v>
                </c:pt>
                <c:pt idx="45">
                  <c:v>43.141086817291026</c:v>
                </c:pt>
                <c:pt idx="46">
                  <c:v>42.341233468694448</c:v>
                </c:pt>
                <c:pt idx="47">
                  <c:v>41.541309932666309</c:v>
                </c:pt>
                <c:pt idx="48">
                  <c:v>40.741515945040931</c:v>
                </c:pt>
                <c:pt idx="49">
                  <c:v>39.941650627090922</c:v>
                </c:pt>
                <c:pt idx="50">
                  <c:v>39.141841531431517</c:v>
                </c:pt>
                <c:pt idx="51">
                  <c:v>38.341907360043919</c:v>
                </c:pt>
                <c:pt idx="52">
                  <c:v>37.542109378922902</c:v>
                </c:pt>
                <c:pt idx="53">
                  <c:v>36.742424941144506</c:v>
                </c:pt>
                <c:pt idx="54">
                  <c:v>35.94336144316204</c:v>
                </c:pt>
                <c:pt idx="55">
                  <c:v>35.143581170515461</c:v>
                </c:pt>
                <c:pt idx="56">
                  <c:v>34.344218430597081</c:v>
                </c:pt>
                <c:pt idx="57">
                  <c:v>33.54475144147257</c:v>
                </c:pt>
                <c:pt idx="58">
                  <c:v>32.745774792464523</c:v>
                </c:pt>
                <c:pt idx="59">
                  <c:v>31.946702594698234</c:v>
                </c:pt>
                <c:pt idx="60">
                  <c:v>31.14802115752784</c:v>
                </c:pt>
                <c:pt idx="61">
                  <c:v>30.349652072042286</c:v>
                </c:pt>
                <c:pt idx="62">
                  <c:v>29.551218294513298</c:v>
                </c:pt>
                <c:pt idx="63">
                  <c:v>28.753543203562995</c:v>
                </c:pt>
                <c:pt idx="64">
                  <c:v>27.956059317675141</c:v>
                </c:pt>
                <c:pt idx="65">
                  <c:v>27.159158075397293</c:v>
                </c:pt>
                <c:pt idx="66">
                  <c:v>26.362877585208881</c:v>
                </c:pt>
                <c:pt idx="67">
                  <c:v>25.567454386283433</c:v>
                </c:pt>
                <c:pt idx="68">
                  <c:v>24.772805860591323</c:v>
                </c:pt>
                <c:pt idx="69">
                  <c:v>23.979323395250791</c:v>
                </c:pt>
                <c:pt idx="70">
                  <c:v>23.187061534542387</c:v>
                </c:pt>
                <c:pt idx="71">
                  <c:v>22.396436105238642</c:v>
                </c:pt>
                <c:pt idx="72">
                  <c:v>21.607581758988573</c:v>
                </c:pt>
                <c:pt idx="73">
                  <c:v>20.82105526165677</c:v>
                </c:pt>
                <c:pt idx="74">
                  <c:v>20.03708653828393</c:v>
                </c:pt>
                <c:pt idx="75">
                  <c:v>19.256307525095082</c:v>
                </c:pt>
                <c:pt idx="76">
                  <c:v>18.479140743120844</c:v>
                </c:pt>
                <c:pt idx="77">
                  <c:v>17.706545320147828</c:v>
                </c:pt>
                <c:pt idx="78">
                  <c:v>16.939324244521199</c:v>
                </c:pt>
                <c:pt idx="79">
                  <c:v>16.178920498851699</c:v>
                </c:pt>
                <c:pt idx="80">
                  <c:v>15.425180877580901</c:v>
                </c:pt>
                <c:pt idx="81">
                  <c:v>14.680466412823298</c:v>
                </c:pt>
                <c:pt idx="82">
                  <c:v>13.945756987697619</c:v>
                </c:pt>
                <c:pt idx="83">
                  <c:v>13.223252931950938</c:v>
                </c:pt>
                <c:pt idx="84">
                  <c:v>12.514270814532907</c:v>
                </c:pt>
                <c:pt idx="85">
                  <c:v>11.821274797464529</c:v>
                </c:pt>
                <c:pt idx="86">
                  <c:v>11.146381095176528</c:v>
                </c:pt>
                <c:pt idx="87">
                  <c:v>10.491597774721349</c:v>
                </c:pt>
                <c:pt idx="88">
                  <c:v>9.8599808355958132</c:v>
                </c:pt>
                <c:pt idx="89">
                  <c:v>9.2534462484741926</c:v>
                </c:pt>
                <c:pt idx="90">
                  <c:v>8.674563907883627</c:v>
                </c:pt>
                <c:pt idx="91">
                  <c:v>8.1254008930490027</c:v>
                </c:pt>
                <c:pt idx="92">
                  <c:v>7.6078122668009476</c:v>
                </c:pt>
                <c:pt idx="93">
                  <c:v>7.1229766431216435</c:v>
                </c:pt>
                <c:pt idx="94">
                  <c:v>7.0070491828136312</c:v>
                </c:pt>
                <c:pt idx="95">
                  <c:v>6.9495231625262495</c:v>
                </c:pt>
                <c:pt idx="96">
                  <c:v>6.8931804858909471</c:v>
                </c:pt>
                <c:pt idx="97">
                  <c:v>6.8367227401114192</c:v>
                </c:pt>
                <c:pt idx="98">
                  <c:v>6.7814363876123176</c:v>
                </c:pt>
                <c:pt idx="99">
                  <c:v>6.7260333112183002</c:v>
                </c:pt>
                <c:pt idx="100">
                  <c:v>6.6717895814302732</c:v>
                </c:pt>
                <c:pt idx="101">
                  <c:v>6.6174692248759186</c:v>
                </c:pt>
                <c:pt idx="102">
                  <c:v>6.5642942911557274</c:v>
                </c:pt>
                <c:pt idx="103">
                  <c:v>6.5110023557751067</c:v>
                </c:pt>
                <c:pt idx="104">
                  <c:v>6.4588434340758125</c:v>
                </c:pt>
                <c:pt idx="105">
                  <c:v>6.4066069714727387</c:v>
                </c:pt>
                <c:pt idx="106">
                  <c:v>6.3554891868685992</c:v>
                </c:pt>
                <c:pt idx="107">
                  <c:v>6.304329612329143</c:v>
                </c:pt>
                <c:pt idx="108">
                  <c:v>6.2542726024576867</c:v>
                </c:pt>
                <c:pt idx="109">
                  <c:v>6.2041722650140603</c:v>
                </c:pt>
                <c:pt idx="110">
                  <c:v>6.1551582072011666</c:v>
                </c:pt>
                <c:pt idx="111">
                  <c:v>6.106067945143117</c:v>
                </c:pt>
                <c:pt idx="112">
                  <c:v>6.058048846921869</c:v>
                </c:pt>
                <c:pt idx="113">
                  <c:v>6.0099873716063144</c:v>
                </c:pt>
                <c:pt idx="114">
                  <c:v>5.9629801605465271</c:v>
                </c:pt>
                <c:pt idx="115">
                  <c:v>5.9159312553705048</c:v>
                </c:pt>
                <c:pt idx="116">
                  <c:v>5.8699193895383832</c:v>
                </c:pt>
                <c:pt idx="117">
                  <c:v>5.8238669410115147</c:v>
                </c:pt>
                <c:pt idx="118">
                  <c:v>5.7788339463720382</c:v>
                </c:pt>
                <c:pt idx="119">
                  <c:v>5.7337887715867435</c:v>
                </c:pt>
                <c:pt idx="120">
                  <c:v>5.689743883481845</c:v>
                </c:pt>
                <c:pt idx="121">
                  <c:v>5.6456859883362736</c:v>
                </c:pt>
                <c:pt idx="122">
                  <c:v>5.6026089426569916</c:v>
                </c:pt>
                <c:pt idx="123">
                  <c:v>5.559493560836585</c:v>
                </c:pt>
                <c:pt idx="124">
                  <c:v>5.5173403977634772</c:v>
                </c:pt>
                <c:pt idx="125">
                  <c:v>5.4751740803796869</c:v>
                </c:pt>
                <c:pt idx="126">
                  <c:v>5.4339498708370648</c:v>
                </c:pt>
                <c:pt idx="127">
                  <c:v>5.3927118264283074</c:v>
                </c:pt>
                <c:pt idx="128">
                  <c:v>5.3523954754524716</c:v>
                </c:pt>
                <c:pt idx="129">
                  <c:v>5.3120644739162124</c:v>
                </c:pt>
                <c:pt idx="130">
                  <c:v>5.2726344482421803</c:v>
                </c:pt>
                <c:pt idx="131">
                  <c:v>5.2331887365034699</c:v>
                </c:pt>
                <c:pt idx="132">
                  <c:v>5.2137977814498893</c:v>
                </c:pt>
                <c:pt idx="133">
                  <c:v>5.1946229858141688</c:v>
                </c:pt>
                <c:pt idx="134">
                  <c:v>5.1752123984323219</c:v>
                </c:pt>
                <c:pt idx="135">
                  <c:v>5.1560205247288486</c:v>
                </c:pt>
                <c:pt idx="136">
                  <c:v>5.1370435145280346</c:v>
                </c:pt>
                <c:pt idx="137">
                  <c:v>5.1182775948507677</c:v>
                </c:pt>
                <c:pt idx="138">
                  <c:v>5.0993000979815353</c:v>
                </c:pt>
                <c:pt idx="139">
                  <c:v>5.0805356430740005</c:v>
                </c:pt>
                <c:pt idx="140">
                  <c:v>5.0619804334524598</c:v>
                </c:pt>
                <c:pt idx="141">
                  <c:v>5.0436307493763453</c:v>
                </c:pt>
                <c:pt idx="142">
                  <c:v>5.0250550207918572</c:v>
                </c:pt>
                <c:pt idx="143">
                  <c:v>5.0066870312074307</c:v>
                </c:pt>
                <c:pt idx="144">
                  <c:v>4.9885230290017066</c:v>
                </c:pt>
                <c:pt idx="145">
                  <c:v>4.9705593394565755</c:v>
                </c:pt>
                <c:pt idx="146">
                  <c:v>4.9523831093771964</c:v>
                </c:pt>
                <c:pt idx="147">
                  <c:v>4.9344090354369792</c:v>
                </c:pt>
                <c:pt idx="148">
                  <c:v>4.9166334199914941</c:v>
                </c:pt>
                <c:pt idx="149">
                  <c:v>4.8990526420256932</c:v>
                </c:pt>
                <c:pt idx="150">
                  <c:v>4.8812633210379071</c:v>
                </c:pt>
                <c:pt idx="151">
                  <c:v>4.8636705209643925</c:v>
                </c:pt>
                <c:pt idx="152">
                  <c:v>4.8462706011679613</c:v>
                </c:pt>
                <c:pt idx="153">
                  <c:v>4.8290599972793782</c:v>
                </c:pt>
                <c:pt idx="154">
                  <c:v>4.8116366585661252</c:v>
                </c:pt>
                <c:pt idx="155">
                  <c:v>4.7944043345896601</c:v>
                </c:pt>
                <c:pt idx="156">
                  <c:v>4.7773594397864541</c:v>
                </c:pt>
                <c:pt idx="157">
                  <c:v>4.7604984645479922</c:v>
                </c:pt>
                <c:pt idx="158">
                  <c:v>4.7434288040046235</c:v>
                </c:pt>
                <c:pt idx="159">
                  <c:v>4.7265445906065287</c:v>
                </c:pt>
                <c:pt idx="160">
                  <c:v>4.7098422972496845</c:v>
                </c:pt>
                <c:pt idx="161">
                  <c:v>4.6933184723703931</c:v>
                </c:pt>
                <c:pt idx="162">
                  <c:v>4.6765970294543289</c:v>
                </c:pt>
                <c:pt idx="163">
                  <c:v>4.6600552583892982</c:v>
                </c:pt>
                <c:pt idx="164">
                  <c:v>4.6436896982919187</c:v>
                </c:pt>
                <c:pt idx="165">
                  <c:v>4.6274969631724066</c:v>
                </c:pt>
                <c:pt idx="166">
                  <c:v>4.6110956076698164</c:v>
                </c:pt>
                <c:pt idx="167">
                  <c:v>4.59486842651184</c:v>
                </c:pt>
                <c:pt idx="168">
                  <c:v>4.5788120189656212</c:v>
                </c:pt>
                <c:pt idx="169">
                  <c:v>4.5629230587073462</c:v>
                </c:pt>
                <c:pt idx="170">
                  <c:v>4.5468626265330663</c:v>
                </c:pt>
                <c:pt idx="171">
                  <c:v>4.5309701191370291</c:v>
                </c:pt>
                <c:pt idx="172">
                  <c:v>4.5152422200556481</c:v>
                </c:pt>
                <c:pt idx="173">
                  <c:v>4.4996756860298381</c:v>
                </c:pt>
                <c:pt idx="174">
                  <c:v>4.4838809166943907</c:v>
                </c:pt>
                <c:pt idx="175">
                  <c:v>4.46824907552916</c:v>
                </c:pt>
                <c:pt idx="176">
                  <c:v>4.4527768954741633</c:v>
                </c:pt>
                <c:pt idx="177">
                  <c:v>4.4374611824768673</c:v>
                </c:pt>
                <c:pt idx="178">
                  <c:v>4.4219278741451689</c:v>
                </c:pt>
                <c:pt idx="179">
                  <c:v>4.406552261026361</c:v>
                </c:pt>
                <c:pt idx="180">
                  <c:v>4.3913311340940044</c:v>
                </c:pt>
                <c:pt idx="181">
                  <c:v>4.3762613568703221</c:v>
                </c:pt>
                <c:pt idx="182">
                  <c:v>4.3610429254993885</c:v>
                </c:pt>
                <c:pt idx="183">
                  <c:v>4.3459755893307701</c:v>
                </c:pt>
                <c:pt idx="184">
                  <c:v>4.3310562413600149</c:v>
                </c:pt>
                <c:pt idx="185">
                  <c:v>4.3162818453272429</c:v>
                </c:pt>
                <c:pt idx="186">
                  <c:v>4.3012497343637355</c:v>
                </c:pt>
                <c:pt idx="187">
                  <c:v>4.2863643658765236</c:v>
                </c:pt>
                <c:pt idx="188">
                  <c:v>4.2716226680492948</c:v>
                </c:pt>
                <c:pt idx="189">
                  <c:v>4.2570216400137761</c:v>
                </c:pt>
                <c:pt idx="190">
                  <c:v>4.242283653532251</c:v>
                </c:pt>
                <c:pt idx="191">
                  <c:v>4.2276856816628952</c:v>
                </c:pt>
                <c:pt idx="192">
                  <c:v>4.2132247640946217</c:v>
                </c:pt>
                <c:pt idx="193">
                  <c:v>4.1988980093102359</c:v>
                </c:pt>
                <c:pt idx="194">
                  <c:v>4.1843321698872025</c:v>
                </c:pt>
                <c:pt idx="195">
                  <c:v>4.1699016647805855</c:v>
                </c:pt>
                <c:pt idx="196">
                  <c:v>4.1556035832341447</c:v>
                </c:pt>
                <c:pt idx="197">
                  <c:v>4.1414350830204931</c:v>
                </c:pt>
                <c:pt idx="198">
                  <c:v>4.1270873044887662</c:v>
                </c:pt>
                <c:pt idx="199">
                  <c:v>4.112869054522502</c:v>
                </c:pt>
                <c:pt idx="200">
                  <c:v>4.0987775101857951</c:v>
                </c:pt>
                <c:pt idx="201">
                  <c:v>4.0848099155942919</c:v>
                </c:pt>
                <c:pt idx="202">
                  <c:v>4.0706681804889762</c:v>
                </c:pt>
                <c:pt idx="203">
                  <c:v>4.0566501582941479</c:v>
                </c:pt>
                <c:pt idx="204">
                  <c:v>4.0427531173210687</c:v>
                </c:pt>
                <c:pt idx="205">
                  <c:v>4.0289743913144358</c:v>
                </c:pt>
                <c:pt idx="206">
                  <c:v>4.0149783973608564</c:v>
                </c:pt>
                <c:pt idx="207">
                  <c:v>4.0011011186224419</c:v>
                </c:pt>
                <c:pt idx="208">
                  <c:v>3.9873398904821795</c:v>
                </c:pt>
                <c:pt idx="209">
                  <c:v>3.9736921128831071</c:v>
                </c:pt>
                <c:pt idx="210">
                  <c:v>3.9597871732636887</c:v>
                </c:pt>
                <c:pt idx="211">
                  <c:v>3.9459966029159683</c:v>
                </c:pt>
                <c:pt idx="212">
                  <c:v>3.9323177843024433</c:v>
                </c:pt>
                <c:pt idx="213">
                  <c:v>3.9187481642112667</c:v>
                </c:pt>
                <c:pt idx="214">
                  <c:v>3.9050179562854037</c:v>
                </c:pt>
                <c:pt idx="215">
                  <c:v>3.8913961755445987</c:v>
                </c:pt>
                <c:pt idx="216">
                  <c:v>3.8778803085580131</c:v>
                </c:pt>
                <c:pt idx="217">
                  <c:v>3.8644679041072667</c:v>
                </c:pt>
                <c:pt idx="218">
                  <c:v>3.8508542158467374</c:v>
                </c:pt>
                <c:pt idx="219">
                  <c:v>3.8373437669218324</c:v>
                </c:pt>
                <c:pt idx="220">
                  <c:v>3.8239341254994867</c:v>
                </c:pt>
                <c:pt idx="221">
                  <c:v>3.8106229205517272</c:v>
                </c:pt>
                <c:pt idx="222">
                  <c:v>3.7971143143693133</c:v>
                </c:pt>
                <c:pt idx="223">
                  <c:v>3.7837037585911464</c:v>
                </c:pt>
                <c:pt idx="224">
                  <c:v>3.7703889062455835</c:v>
                </c:pt>
                <c:pt idx="225">
                  <c:v>3.7571674696233908</c:v>
                </c:pt>
                <c:pt idx="226">
                  <c:v>3.7437111306712567</c:v>
                </c:pt>
                <c:pt idx="227">
                  <c:v>3.7303482392534115</c:v>
                </c:pt>
                <c:pt idx="228">
                  <c:v>3.7170765153429093</c:v>
                </c:pt>
                <c:pt idx="229">
                  <c:v>3.7038937372135043</c:v>
                </c:pt>
                <c:pt idx="230">
                  <c:v>3.6771557662939127</c:v>
                </c:pt>
                <c:pt idx="231">
                  <c:v>3.6639177509828724</c:v>
                </c:pt>
                <c:pt idx="232">
                  <c:v>3.6507641620204021</c:v>
                </c:pt>
                <c:pt idx="233">
                  <c:v>3.6373835905570107</c:v>
                </c:pt>
                <c:pt idx="234">
                  <c:v>3.6240871156854286</c:v>
                </c:pt>
                <c:pt idx="235">
                  <c:v>3.6108726051689293</c:v>
                </c:pt>
                <c:pt idx="236">
                  <c:v>3.5977379826314437</c:v>
                </c:pt>
                <c:pt idx="237">
                  <c:v>3.5844170984003787</c:v>
                </c:pt>
                <c:pt idx="238">
                  <c:v>3.5711751808261907</c:v>
                </c:pt>
                <c:pt idx="239">
                  <c:v>3.5580101941287912</c:v>
                </c:pt>
                <c:pt idx="240">
                  <c:v>3.5449201563480703</c:v>
                </c:pt>
                <c:pt idx="241">
                  <c:v>3.531571256898359</c:v>
                </c:pt>
                <c:pt idx="242">
                  <c:v>3.5182971324605852</c:v>
                </c:pt>
                <c:pt idx="243">
                  <c:v>3.5050958114177924</c:v>
                </c:pt>
                <c:pt idx="244">
                  <c:v>3.4919653750440514</c:v>
                </c:pt>
                <c:pt idx="245">
                  <c:v>3.4786152739416649</c:v>
                </c:pt>
                <c:pt idx="246">
                  <c:v>3.4653353426608504</c:v>
                </c:pt>
                <c:pt idx="247">
                  <c:v>3.4521236935119308</c:v>
                </c:pt>
                <c:pt idx="248">
                  <c:v>3.4389784900477354</c:v>
                </c:pt>
                <c:pt idx="249">
                  <c:v>3.4255797008890259</c:v>
                </c:pt>
                <c:pt idx="250">
                  <c:v>3.4122468953191825</c:v>
                </c:pt>
                <c:pt idx="251">
                  <c:v>3.3989782567579985</c:v>
                </c:pt>
                <c:pt idx="252">
                  <c:v>3.3857720186612634</c:v>
                </c:pt>
                <c:pt idx="253">
                  <c:v>3.3723488937046415</c:v>
                </c:pt>
                <c:pt idx="254">
                  <c:v>3.3589872684351354</c:v>
                </c:pt>
                <c:pt idx="255">
                  <c:v>3.3456854138358763</c:v>
                </c:pt>
                <c:pt idx="256">
                  <c:v>3.3324416490954563</c:v>
                </c:pt>
                <c:pt idx="257">
                  <c:v>3.3189134359266363</c:v>
                </c:pt>
                <c:pt idx="258">
                  <c:v>3.3054429270960055</c:v>
                </c:pt>
                <c:pt idx="259">
                  <c:v>3.292028456595931</c:v>
                </c:pt>
                <c:pt idx="260">
                  <c:v>3.2786684056855342</c:v>
                </c:pt>
                <c:pt idx="261">
                  <c:v>3.2650593671259753</c:v>
                </c:pt>
                <c:pt idx="262">
                  <c:v>3.2515039703511213</c:v>
                </c:pt>
                <c:pt idx="263">
                  <c:v>3.2380006280195635</c:v>
                </c:pt>
                <c:pt idx="264">
                  <c:v>3.2245477985168285</c:v>
                </c:pt>
                <c:pt idx="265">
                  <c:v>3.2108466675428593</c:v>
                </c:pt>
                <c:pt idx="266">
                  <c:v>3.1971952020636838</c:v>
                </c:pt>
                <c:pt idx="267">
                  <c:v>3.1835918946847999</c:v>
                </c:pt>
                <c:pt idx="268">
                  <c:v>3.1700352821244766</c:v>
                </c:pt>
                <c:pt idx="269">
                  <c:v>3.156198131446093</c:v>
                </c:pt>
                <c:pt idx="270">
                  <c:v>3.1424069879328926</c:v>
                </c:pt>
                <c:pt idx="271">
                  <c:v>3.1286604148943962</c:v>
                </c:pt>
                <c:pt idx="272">
                  <c:v>3.1149570184772508</c:v>
                </c:pt>
                <c:pt idx="273">
                  <c:v>3.100973733537792</c:v>
                </c:pt>
                <c:pt idx="274">
                  <c:v>3.0870328625179964</c:v>
                </c:pt>
                <c:pt idx="275">
                  <c:v>3.0731330415707685</c:v>
                </c:pt>
                <c:pt idx="276">
                  <c:v>3.0592729483101166</c:v>
                </c:pt>
                <c:pt idx="277">
                  <c:v>3.0451650744556651</c:v>
                </c:pt>
                <c:pt idx="278">
                  <c:v>3.0310959354336466</c:v>
                </c:pt>
                <c:pt idx="279">
                  <c:v>3.0170642503468463</c:v>
                </c:pt>
                <c:pt idx="280">
                  <c:v>3.0030687779462379</c:v>
                </c:pt>
                <c:pt idx="281">
                  <c:v>2.9887306298568901</c:v>
                </c:pt>
                <c:pt idx="282">
                  <c:v>2.9744281517684028</c:v>
                </c:pt>
                <c:pt idx="283">
                  <c:v>2.9601601213641255</c:v>
                </c:pt>
                <c:pt idx="284">
                  <c:v>2.9459253551479985</c:v>
                </c:pt>
                <c:pt idx="285">
                  <c:v>2.9314420920621109</c:v>
                </c:pt>
                <c:pt idx="286">
                  <c:v>2.9169910542904418</c:v>
                </c:pt>
                <c:pt idx="287">
                  <c:v>2.9025711036696231</c:v>
                </c:pt>
                <c:pt idx="288">
                  <c:v>2.8881811389321066</c:v>
                </c:pt>
                <c:pt idx="289">
                  <c:v>2.8734490625433096</c:v>
                </c:pt>
                <c:pt idx="290">
                  <c:v>2.8587463093081689</c:v>
                </c:pt>
                <c:pt idx="291">
                  <c:v>2.8440718037268882</c:v>
                </c:pt>
                <c:pt idx="292">
                  <c:v>2.8294245061669487</c:v>
                </c:pt>
                <c:pt idx="293">
                  <c:v>2.8144658312281678</c:v>
                </c:pt>
                <c:pt idx="294">
                  <c:v>2.7995335447569984</c:v>
                </c:pt>
                <c:pt idx="295">
                  <c:v>2.7846266425282491</c:v>
                </c:pt>
                <c:pt idx="296">
                  <c:v>2.7697441547593376</c:v>
                </c:pt>
                <c:pt idx="297">
                  <c:v>2.754549784578515</c:v>
                </c:pt>
                <c:pt idx="298">
                  <c:v>2.7393789985979824</c:v>
                </c:pt>
                <c:pt idx="299">
                  <c:v>2.724230864391159</c:v>
                </c:pt>
                <c:pt idx="300">
                  <c:v>2.7091044824920369</c:v>
                </c:pt>
                <c:pt idx="301">
                  <c:v>2.6936655590765914</c:v>
                </c:pt>
                <c:pt idx="302">
                  <c:v>2.6782475602145479</c:v>
                </c:pt>
                <c:pt idx="303">
                  <c:v>2.6628496253340463</c:v>
                </c:pt>
                <c:pt idx="304">
                  <c:v>2.6474709252976818</c:v>
                </c:pt>
                <c:pt idx="305">
                  <c:v>2.6317185905698053</c:v>
                </c:pt>
                <c:pt idx="306">
                  <c:v>2.6159848163748602</c:v>
                </c:pt>
                <c:pt idx="307">
                  <c:v>2.6002688046602458</c:v>
                </c:pt>
                <c:pt idx="308">
                  <c:v>2.5845697877042668</c:v>
                </c:pt>
                <c:pt idx="309">
                  <c:v>2.5685567171579429</c:v>
                </c:pt>
                <c:pt idx="310">
                  <c:v>2.5525598397750509</c:v>
                </c:pt>
                <c:pt idx="311">
                  <c:v>2.5365784296429728</c:v>
                </c:pt>
                <c:pt idx="312">
                  <c:v>2.5206117895533287</c:v>
                </c:pt>
                <c:pt idx="313">
                  <c:v>2.5042703343697865</c:v>
                </c:pt>
                <c:pt idx="314">
                  <c:v>2.4879429855214497</c:v>
                </c:pt>
                <c:pt idx="315">
                  <c:v>2.4716290809068679</c:v>
                </c:pt>
                <c:pt idx="316">
                  <c:v>2.4553279858879029</c:v>
                </c:pt>
                <c:pt idx="317">
                  <c:v>2.4386514054089488</c:v>
                </c:pt>
                <c:pt idx="318">
                  <c:v>2.4219869896038513</c:v>
                </c:pt>
                <c:pt idx="319">
                  <c:v>2.4053341407482263</c:v>
                </c:pt>
                <c:pt idx="320">
                  <c:v>2.3886922872694853</c:v>
                </c:pt>
                <c:pt idx="321">
                  <c:v>2.3716742260631292</c:v>
                </c:pt>
                <c:pt idx="322">
                  <c:v>2.3546665466433399</c:v>
                </c:pt>
                <c:pt idx="323">
                  <c:v>2.3376687157265312</c:v>
                </c:pt>
                <c:pt idx="324">
                  <c:v>2.3206802248121186</c:v>
                </c:pt>
                <c:pt idx="325">
                  <c:v>2.3033147877367082</c:v>
                </c:pt>
                <c:pt idx="326">
                  <c:v>2.2859581197264065</c:v>
                </c:pt>
                <c:pt idx="327">
                  <c:v>2.2686097515357737</c:v>
                </c:pt>
                <c:pt idx="328">
                  <c:v>2.251269237288605</c:v>
                </c:pt>
                <c:pt idx="329">
                  <c:v>2.2335214324545336</c:v>
                </c:pt>
                <c:pt idx="330">
                  <c:v>2.2157809872387757</c:v>
                </c:pt>
                <c:pt idx="331">
                  <c:v>2.1980474936167962</c:v>
                </c:pt>
                <c:pt idx="332">
                  <c:v>2.180320565630578</c:v>
                </c:pt>
                <c:pt idx="333">
                  <c:v>2.1622153146261649</c:v>
                </c:pt>
                <c:pt idx="334">
                  <c:v>2.1441161697161388</c:v>
                </c:pt>
                <c:pt idx="335">
                  <c:v>2.126022785335719</c:v>
                </c:pt>
                <c:pt idx="336">
                  <c:v>2.1079348364994903</c:v>
                </c:pt>
                <c:pt idx="337">
                  <c:v>2.0894088736200676</c:v>
                </c:pt>
                <c:pt idx="338">
                  <c:v>2.0708879882300453</c:v>
                </c:pt>
                <c:pt idx="339">
                  <c:v>2.0523718929455677</c:v>
                </c:pt>
                <c:pt idx="340">
                  <c:v>2.0338603197044143</c:v>
                </c:pt>
                <c:pt idx="341">
                  <c:v>2.0149103109865112</c:v>
                </c:pt>
                <c:pt idx="342">
                  <c:v>1.9959645332416951</c:v>
                </c:pt>
                <c:pt idx="343">
                  <c:v>1.9770227567394203</c:v>
                </c:pt>
                <c:pt idx="344">
                  <c:v>1.958084769756657</c:v>
                </c:pt>
                <c:pt idx="345">
                  <c:v>1.9387375170128882</c:v>
                </c:pt>
                <c:pt idx="346">
                  <c:v>1.9193938282883527</c:v>
                </c:pt>
                <c:pt idx="347">
                  <c:v>1.9000535312557429</c:v>
                </c:pt>
                <c:pt idx="348">
                  <c:v>1.8807164701385988</c:v>
                </c:pt>
                <c:pt idx="349">
                  <c:v>1.8609109824762369</c:v>
                </c:pt>
                <c:pt idx="350">
                  <c:v>1.8411086098055864</c:v>
                </c:pt>
                <c:pt idx="351">
                  <c:v>1.8213092341721293</c:v>
                </c:pt>
                <c:pt idx="352">
                  <c:v>1.8015127528861077</c:v>
                </c:pt>
                <c:pt idx="353">
                  <c:v>1.7812478334340098</c:v>
                </c:pt>
                <c:pt idx="354">
                  <c:v>1.7609857760864442</c:v>
                </c:pt>
                <c:pt idx="355">
                  <c:v>1.7407265160319674</c:v>
                </c:pt>
                <c:pt idx="356">
                  <c:v>1.7204700023934951</c:v>
                </c:pt>
                <c:pt idx="357">
                  <c:v>1.6997746474970978</c:v>
                </c:pt>
                <c:pt idx="358">
                  <c:v>1.6790820944276799</c:v>
                </c:pt>
                <c:pt idx="359">
                  <c:v>1.658392329874059</c:v>
                </c:pt>
                <c:pt idx="360">
                  <c:v>1.6377053530280052</c:v>
                </c:pt>
                <c:pt idx="361">
                  <c:v>1.6165210234129346</c:v>
                </c:pt>
                <c:pt idx="362">
                  <c:v>1.5953396538235707</c:v>
                </c:pt>
                <c:pt idx="363">
                  <c:v>1.5741612802521709</c:v>
                </c:pt>
                <c:pt idx="364">
                  <c:v>1.5529859498855347</c:v>
                </c:pt>
                <c:pt idx="365">
                  <c:v>1.5313432622584831</c:v>
                </c:pt>
                <c:pt idx="366">
                  <c:v>1.5097038876152025</c:v>
                </c:pt>
                <c:pt idx="367">
                  <c:v>1.4880679089217286</c:v>
                </c:pt>
                <c:pt idx="368">
                  <c:v>1.4664354189495281</c:v>
                </c:pt>
                <c:pt idx="369">
                  <c:v>1.4442775979843445</c:v>
                </c:pt>
                <c:pt idx="370">
                  <c:v>1.4221236647833138</c:v>
                </c:pt>
                <c:pt idx="371">
                  <c:v>1.3999737475909937</c:v>
                </c:pt>
                <c:pt idx="372">
                  <c:v>1.3778279831588209</c:v>
                </c:pt>
                <c:pt idx="373">
                  <c:v>1.3551873561409113</c:v>
                </c:pt>
                <c:pt idx="374">
                  <c:v>1.3325513854665516</c:v>
                </c:pt>
                <c:pt idx="375">
                  <c:v>1.3099202416371982</c:v>
                </c:pt>
                <c:pt idx="376">
                  <c:v>1.287294102303991</c:v>
                </c:pt>
                <c:pt idx="377">
                  <c:v>1.2641157635730358</c:v>
                </c:pt>
                <c:pt idx="378">
                  <c:v>1.2409430775977599</c:v>
                </c:pt>
                <c:pt idx="379">
                  <c:v>1.2177762557395329</c:v>
                </c:pt>
                <c:pt idx="380">
                  <c:v>1.1946155152168025</c:v>
                </c:pt>
                <c:pt idx="381">
                  <c:v>1.1709628895860167</c:v>
                </c:pt>
                <c:pt idx="382">
                  <c:v>1.1473170848075211</c:v>
                </c:pt>
                <c:pt idx="383">
                  <c:v>1.1236783484781396</c:v>
                </c:pt>
                <c:pt idx="384">
                  <c:v>1.1000469327026292</c:v>
                </c:pt>
                <c:pt idx="385">
                  <c:v>1.0758377190237123</c:v>
                </c:pt>
                <c:pt idx="386">
                  <c:v>1.0516367420477093</c:v>
                </c:pt>
                <c:pt idx="387">
                  <c:v>1.0274442851497538</c:v>
                </c:pt>
                <c:pt idx="388">
                  <c:v>1.0032606349383573</c:v>
                </c:pt>
                <c:pt idx="389">
                  <c:v>0.97853078918760872</c:v>
                </c:pt>
                <c:pt idx="390">
                  <c:v>0.95381077489249622</c:v>
                </c:pt>
                <c:pt idx="391">
                  <c:v>0.92910090691632896</c:v>
                </c:pt>
                <c:pt idx="392">
                  <c:v>0.90440150206998382</c:v>
                </c:pt>
                <c:pt idx="393">
                  <c:v>0.87915853239167197</c:v>
                </c:pt>
                <c:pt idx="394">
                  <c:v>0.85392717566921905</c:v>
                </c:pt>
                <c:pt idx="395">
                  <c:v>0.82870777462526535</c:v>
                </c:pt>
                <c:pt idx="396">
                  <c:v>0.80350067266871128</c:v>
                </c:pt>
                <c:pt idx="397">
                  <c:v>0.77769471626792874</c:v>
                </c:pt>
                <c:pt idx="398">
                  <c:v>0.75190239355676414</c:v>
                </c:pt>
                <c:pt idx="399">
                  <c:v>0.72612407379065103</c:v>
                </c:pt>
                <c:pt idx="400">
                  <c:v>0.70036012567962203</c:v>
                </c:pt>
                <c:pt idx="401">
                  <c:v>0.67402984383307152</c:v>
                </c:pt>
                <c:pt idx="402">
                  <c:v>0.64771536664059204</c:v>
                </c:pt>
                <c:pt idx="403">
                  <c:v>0.62141708479166879</c:v>
                </c:pt>
                <c:pt idx="404">
                  <c:v>0.59513538723042947</c:v>
                </c:pt>
                <c:pt idx="405">
                  <c:v>0.56826208018713509</c:v>
                </c:pt>
                <c:pt idx="406">
                  <c:v>0.54140695230886593</c:v>
                </c:pt>
                <c:pt idx="407">
                  <c:v>0.51457041298376194</c:v>
                </c:pt>
                <c:pt idx="408">
                  <c:v>0.48775286868850765</c:v>
                </c:pt>
                <c:pt idx="409">
                  <c:v>0.46031897550647155</c:v>
                </c:pt>
                <c:pt idx="410">
                  <c:v>0.43290584151005418</c:v>
                </c:pt>
                <c:pt idx="411">
                  <c:v>0.40551389199180887</c:v>
                </c:pt>
                <c:pt idx="412">
                  <c:v>0.37814354819676149</c:v>
                </c:pt>
                <c:pt idx="413">
                  <c:v>0.35016149473532626</c:v>
                </c:pt>
                <c:pt idx="414">
                  <c:v>0.3222029388526374</c:v>
                </c:pt>
                <c:pt idx="415">
                  <c:v>0.29426831751205862</c:v>
                </c:pt>
                <c:pt idx="416">
                  <c:v>0.266358062542913</c:v>
                </c:pt>
                <c:pt idx="417">
                  <c:v>0.23781238381519934</c:v>
                </c:pt>
                <c:pt idx="418">
                  <c:v>0.20929313815683098</c:v>
                </c:pt>
                <c:pt idx="419">
                  <c:v>0.18080077122144822</c:v>
                </c:pt>
                <c:pt idx="420">
                  <c:v>0.15233572247764804</c:v>
                </c:pt>
                <c:pt idx="421">
                  <c:v>0.12326934534990576</c:v>
                </c:pt>
                <c:pt idx="422">
                  <c:v>9.4232417276818359E-2</c:v>
                </c:pt>
                <c:pt idx="423">
                  <c:v>6.5225386880871081E-2</c:v>
                </c:pt>
                <c:pt idx="424">
                  <c:v>3.6248695640479424E-2</c:v>
                </c:pt>
                <c:pt idx="425">
                  <c:v>6.5909174789485613E-3</c:v>
                </c:pt>
                <c:pt idx="426">
                  <c:v>-2.3034095026363523E-2</c:v>
                </c:pt>
                <c:pt idx="427">
                  <c:v>-5.2625890751832362E-2</c:v>
                </c:pt>
                <c:pt idx="428">
                  <c:v>-8.218402669100297E-2</c:v>
                </c:pt>
                <c:pt idx="429">
                  <c:v>-0.11238833203754389</c:v>
                </c:pt>
                <c:pt idx="430">
                  <c:v>-0.14255649579529781</c:v>
                </c:pt>
                <c:pt idx="431">
                  <c:v>-0.17268807016843063</c:v>
                </c:pt>
                <c:pt idx="432">
                  <c:v>-0.2027826163461196</c:v>
                </c:pt>
                <c:pt idx="433">
                  <c:v>-0.23351661247446825</c:v>
                </c:pt>
                <c:pt idx="434">
                  <c:v>-0.26421099350556243</c:v>
                </c:pt>
                <c:pt idx="435">
                  <c:v>-0.29486531939361138</c:v>
                </c:pt>
                <c:pt idx="436">
                  <c:v>-0.32547915985998405</c:v>
                </c:pt>
                <c:pt idx="437">
                  <c:v>-0.35678152329562979</c:v>
                </c:pt>
                <c:pt idx="438">
                  <c:v>-0.388040563349134</c:v>
                </c:pt>
                <c:pt idx="439">
                  <c:v>-0.41925584974627517</c:v>
                </c:pt>
                <c:pt idx="440">
                  <c:v>-0.45042696274470917</c:v>
                </c:pt>
                <c:pt idx="441">
                  <c:v>-0.48227877835405042</c:v>
                </c:pt>
                <c:pt idx="442">
                  <c:v>-0.51408348057123709</c:v>
                </c:pt>
                <c:pt idx="443">
                  <c:v>-0.54584065337368526</c:v>
                </c:pt>
                <c:pt idx="444">
                  <c:v>-0.57754989194250206</c:v>
                </c:pt>
                <c:pt idx="445">
                  <c:v>-0.60993169444575757</c:v>
                </c:pt>
                <c:pt idx="446">
                  <c:v>-0.64226253209254081</c:v>
                </c:pt>
                <c:pt idx="447">
                  <c:v>-0.67454200743425508</c:v>
                </c:pt>
                <c:pt idx="448">
                  <c:v>-0.70676973479836969</c:v>
                </c:pt>
                <c:pt idx="449">
                  <c:v>-0.7397166907974404</c:v>
                </c:pt>
                <c:pt idx="450">
                  <c:v>-0.77260860458423242</c:v>
                </c:pt>
                <c:pt idx="451">
                  <c:v>-0.80544509954180032</c:v>
                </c:pt>
                <c:pt idx="452">
                  <c:v>-0.83822581137942376</c:v>
                </c:pt>
                <c:pt idx="453">
                  <c:v>-0.87168912054142633</c:v>
                </c:pt>
                <c:pt idx="454">
                  <c:v>-0.90509336561242115</c:v>
                </c:pt>
                <c:pt idx="455">
                  <c:v>-0.93843819593817202</c:v>
                </c:pt>
                <c:pt idx="456">
                  <c:v>-0.97172327359290733</c:v>
                </c:pt>
                <c:pt idx="457">
                  <c:v>-1.0057360227899141</c:v>
                </c:pt>
                <c:pt idx="458">
                  <c:v>-1.0396854729218539</c:v>
                </c:pt>
                <c:pt idx="459">
                  <c:v>-1.0735713015938653</c:v>
                </c:pt>
                <c:pt idx="460">
                  <c:v>-1.1073931995151522</c:v>
                </c:pt>
                <c:pt idx="461">
                  <c:v>-1.1419326582043252</c:v>
                </c:pt>
                <c:pt idx="462">
                  <c:v>-1.1764045737155864</c:v>
                </c:pt>
                <c:pt idx="463">
                  <c:v>-1.2108086558719446</c:v>
                </c:pt>
                <c:pt idx="464">
                  <c:v>-1.2451446278635379</c:v>
                </c:pt>
                <c:pt idx="465">
                  <c:v>-1.2802145507381884</c:v>
                </c:pt>
                <c:pt idx="466">
                  <c:v>-1.315212588502056</c:v>
                </c:pt>
                <c:pt idx="467">
                  <c:v>-1.3501384862687265</c:v>
                </c:pt>
                <c:pt idx="468">
                  <c:v>-1.3849920027092852</c:v>
                </c:pt>
                <c:pt idx="469">
                  <c:v>-1.4205685669301014</c:v>
                </c:pt>
                <c:pt idx="470">
                  <c:v>-1.4560689281299313</c:v>
                </c:pt>
                <c:pt idx="471">
                  <c:v>-1.4914928702437718</c:v>
                </c:pt>
                <c:pt idx="472">
                  <c:v>-1.5268401908392712</c:v>
                </c:pt>
                <c:pt idx="473">
                  <c:v>-1.5629520411311992</c:v>
                </c:pt>
                <c:pt idx="474">
                  <c:v>-1.5989831796748151</c:v>
                </c:pt>
                <c:pt idx="475">
                  <c:v>-1.6349334316529573</c:v>
                </c:pt>
                <c:pt idx="476">
                  <c:v>-1.6708026359211268</c:v>
                </c:pt>
                <c:pt idx="477">
                  <c:v>-1.7074243803486038</c:v>
                </c:pt>
                <c:pt idx="478">
                  <c:v>-1.7439609533594813</c:v>
                </c:pt>
                <c:pt idx="479">
                  <c:v>-1.78041222464342</c:v>
                </c:pt>
                <c:pt idx="480">
                  <c:v>-1.8167780774853486</c:v>
                </c:pt>
                <c:pt idx="481">
                  <c:v>-1.8538843129961793</c:v>
                </c:pt>
                <c:pt idx="482">
                  <c:v>-1.8909009870729434</c:v>
                </c:pt>
                <c:pt idx="483">
                  <c:v>-1.9278280167607029</c:v>
                </c:pt>
                <c:pt idx="484">
                  <c:v>-1.9646653325080932</c:v>
                </c:pt>
                <c:pt idx="485">
                  <c:v>-2.0022562992655133</c:v>
                </c:pt>
                <c:pt idx="486">
                  <c:v>-2.039753275532405</c:v>
                </c:pt>
                <c:pt idx="487">
                  <c:v>-2.0771562280766984</c:v>
                </c:pt>
                <c:pt idx="488">
                  <c:v>-2.1144651368038767</c:v>
                </c:pt>
                <c:pt idx="489">
                  <c:v>-2.1525655185042858</c:v>
                </c:pt>
                <c:pt idx="490">
                  <c:v>-2.1905673196442352</c:v>
                </c:pt>
                <c:pt idx="491">
                  <c:v>-2.2284705590454061</c:v>
                </c:pt>
                <c:pt idx="492">
                  <c:v>-2.266275268359967</c:v>
                </c:pt>
                <c:pt idx="493">
                  <c:v>-2.3048577914503516</c:v>
                </c:pt>
                <c:pt idx="494">
                  <c:v>-2.3433372518002815</c:v>
                </c:pt>
                <c:pt idx="495">
                  <c:v>-2.3817137225509319</c:v>
                </c:pt>
                <c:pt idx="496">
                  <c:v>-2.4199872892559346</c:v>
                </c:pt>
                <c:pt idx="497">
                  <c:v>-2.4590497030835392</c:v>
                </c:pt>
                <c:pt idx="498">
                  <c:v>-2.4980045617567437</c:v>
                </c:pt>
                <c:pt idx="499">
                  <c:v>-2.5368519947949633</c:v>
                </c:pt>
                <c:pt idx="500">
                  <c:v>-2.5755921436377331</c:v>
                </c:pt>
                <c:pt idx="501">
                  <c:v>-2.6151314439239188</c:v>
                </c:pt>
                <c:pt idx="502">
                  <c:v>-2.6545586964774435</c:v>
                </c:pt>
                <c:pt idx="503">
                  <c:v>-2.6938740891243187</c:v>
                </c:pt>
                <c:pt idx="504">
                  <c:v>-2.7330778210448754</c:v>
                </c:pt>
                <c:pt idx="505">
                  <c:v>-2.773066075088801</c:v>
                </c:pt>
                <c:pt idx="506">
                  <c:v>-2.8129379399829242</c:v>
                </c:pt>
                <c:pt idx="507">
                  <c:v>-2.8526936631840742</c:v>
                </c:pt>
                <c:pt idx="508">
                  <c:v>-2.8923335028398665</c:v>
                </c:pt>
                <c:pt idx="509">
                  <c:v>-2.9327671736120484</c:v>
                </c:pt>
                <c:pt idx="510">
                  <c:v>-2.9730801374878801</c:v>
                </c:pt>
                <c:pt idx="511">
                  <c:v>-3.013272702962944</c:v>
                </c:pt>
                <c:pt idx="512">
                  <c:v>-3.053345188494986</c:v>
                </c:pt>
                <c:pt idx="513">
                  <c:v>-3.0942437799132727</c:v>
                </c:pt>
                <c:pt idx="514">
                  <c:v>-3.1350172351266319</c:v>
                </c:pt>
                <c:pt idx="515">
                  <c:v>-3.1756659255765389</c:v>
                </c:pt>
                <c:pt idx="516">
                  <c:v>-3.2161902318958742</c:v>
                </c:pt>
                <c:pt idx="517">
                  <c:v>-3.2575248113583681</c:v>
                </c:pt>
                <c:pt idx="518">
                  <c:v>-3.2987300119828249</c:v>
                </c:pt>
                <c:pt idx="519">
                  <c:v>-3.339806268706532</c:v>
                </c:pt>
                <c:pt idx="520">
                  <c:v>-3.3807540248029273</c:v>
                </c:pt>
                <c:pt idx="521">
                  <c:v>-3.4225193616490683</c:v>
                </c:pt>
                <c:pt idx="522">
                  <c:v>-3.4641511293676066</c:v>
                </c:pt>
                <c:pt idx="523">
                  <c:v>-3.505649827304274</c:v>
                </c:pt>
                <c:pt idx="524">
                  <c:v>-3.5470159622282393</c:v>
                </c:pt>
                <c:pt idx="525">
                  <c:v>-3.5892063541653192</c:v>
                </c:pt>
                <c:pt idx="526">
                  <c:v>-3.6312590482510601</c:v>
                </c:pt>
                <c:pt idx="527">
                  <c:v>-3.6731746089745982</c:v>
                </c:pt>
                <c:pt idx="528">
                  <c:v>-3.7149536072816032</c:v>
                </c:pt>
                <c:pt idx="529">
                  <c:v>-3.7575629264216275</c:v>
                </c:pt>
                <c:pt idx="530">
                  <c:v>-3.8000304895845276</c:v>
                </c:pt>
                <c:pt idx="531">
                  <c:v>-3.8423569269549218</c:v>
                </c:pt>
                <c:pt idx="532">
                  <c:v>-3.8845428741564731</c:v>
                </c:pt>
                <c:pt idx="533">
                  <c:v>-3.9275867864508984</c:v>
                </c:pt>
                <c:pt idx="534">
                  <c:v>-3.9704848138705802</c:v>
                </c:pt>
                <c:pt idx="535">
                  <c:v>-4.0132376537433903</c:v>
                </c:pt>
                <c:pt idx="536">
                  <c:v>-4.055846007780759</c:v>
                </c:pt>
                <c:pt idx="537">
                  <c:v>-4.0992730259963066</c:v>
                </c:pt>
                <c:pt idx="538">
                  <c:v>-4.1425504201501866</c:v>
                </c:pt>
                <c:pt idx="539">
                  <c:v>-4.1856789527320624</c:v>
                </c:pt>
                <c:pt idx="540">
                  <c:v>-4.2286593894991107</c:v>
                </c:pt>
                <c:pt idx="541">
                  <c:v>-4.2725064367507191</c:v>
                </c:pt>
                <c:pt idx="542">
                  <c:v>-4.3161999142316754</c:v>
                </c:pt>
                <c:pt idx="543">
                  <c:v>-4.3597406518810029</c:v>
                </c:pt>
                <c:pt idx="544">
                  <c:v>-4.4031294817644193</c:v>
                </c:pt>
                <c:pt idx="545">
                  <c:v>-4.4473670187152363</c:v>
                </c:pt>
                <c:pt idx="546">
                  <c:v>-4.4914472964674346</c:v>
                </c:pt>
                <c:pt idx="547">
                  <c:v>-4.5353712110472824</c:v>
                </c:pt>
                <c:pt idx="548">
                  <c:v>-4.5791396594265885</c:v>
                </c:pt>
                <c:pt idx="549">
                  <c:v>-4.6237601315402053</c:v>
                </c:pt>
                <c:pt idx="550">
                  <c:v>-4.6682197664172129</c:v>
                </c:pt>
                <c:pt idx="551">
                  <c:v>-4.7125195257719472</c:v>
                </c:pt>
                <c:pt idx="552">
                  <c:v>-4.756660371054596</c:v>
                </c:pt>
                <c:pt idx="553">
                  <c:v>-4.801676746865172</c:v>
                </c:pt>
                <c:pt idx="554">
                  <c:v>-4.8465286748254117</c:v>
                </c:pt>
                <c:pt idx="555">
                  <c:v>-4.8912171831718467</c:v>
                </c:pt>
                <c:pt idx="556">
                  <c:v>-4.9357432986404639</c:v>
                </c:pt>
                <c:pt idx="557">
                  <c:v>-5.0263825154703987</c:v>
                </c:pt>
                <c:pt idx="558">
                  <c:v>-5.1163543811232977</c:v>
                </c:pt>
                <c:pt idx="559">
                  <c:v>-5.2077071407499425</c:v>
                </c:pt>
                <c:pt idx="560">
                  <c:v>-5.2983800030881589</c:v>
                </c:pt>
                <c:pt idx="561">
                  <c:v>-5.3905094858977893</c:v>
                </c:pt>
                <c:pt idx="562">
                  <c:v>-5.4819458843027107</c:v>
                </c:pt>
                <c:pt idx="563">
                  <c:v>-5.5746389896938089</c:v>
                </c:pt>
                <c:pt idx="564">
                  <c:v>-5.666629347019537</c:v>
                </c:pt>
                <c:pt idx="565">
                  <c:v>-5.7602198736259886</c:v>
                </c:pt>
                <c:pt idx="566">
                  <c:v>-5.8530932687554209</c:v>
                </c:pt>
                <c:pt idx="567">
                  <c:v>-5.9475178194085547</c:v>
                </c:pt>
                <c:pt idx="568">
                  <c:v>-6.0412121248179851</c:v>
                </c:pt>
                <c:pt idx="569">
                  <c:v>-6.136039644993593</c:v>
                </c:pt>
                <c:pt idx="570">
                  <c:v>-6.2301308186634223</c:v>
                </c:pt>
                <c:pt idx="571">
                  <c:v>-6.3260501010042383</c:v>
                </c:pt>
                <c:pt idx="572">
                  <c:v>-6.4212166263452675</c:v>
                </c:pt>
                <c:pt idx="573">
                  <c:v>-6.5174374621801014</c:v>
                </c:pt>
                <c:pt idx="574">
                  <c:v>-6.6129018451009891</c:v>
                </c:pt>
                <c:pt idx="575">
                  <c:v>-6.710095648177349</c:v>
                </c:pt>
                <c:pt idx="576">
                  <c:v>-6.8065191789519073</c:v>
                </c:pt>
                <c:pt idx="577">
                  <c:v>-7.206497351552529</c:v>
                </c:pt>
                <c:pt idx="578">
                  <c:v>-7.5938385354790539</c:v>
                </c:pt>
                <c:pt idx="579">
                  <c:v>-8.4026092953496896</c:v>
                </c:pt>
                <c:pt idx="580">
                  <c:v>-9.234633881310943</c:v>
                </c:pt>
                <c:pt idx="581">
                  <c:v>-10.08968877417086</c:v>
                </c:pt>
                <c:pt idx="582">
                  <c:v>-10.969778790920452</c:v>
                </c:pt>
                <c:pt idx="583">
                  <c:v>-11.876214919516359</c:v>
                </c:pt>
                <c:pt idx="584">
                  <c:v>-12.812149345356554</c:v>
                </c:pt>
                <c:pt idx="585">
                  <c:v>-13.780013048154123</c:v>
                </c:pt>
                <c:pt idx="586">
                  <c:v>-14.783357316919147</c:v>
                </c:pt>
                <c:pt idx="587">
                  <c:v>-15.826580035352855</c:v>
                </c:pt>
                <c:pt idx="588">
                  <c:v>-16.912868808106111</c:v>
                </c:pt>
                <c:pt idx="589">
                  <c:v>-18.04753104729588</c:v>
                </c:pt>
                <c:pt idx="590">
                  <c:v>-19.234753392703887</c:v>
                </c:pt>
                <c:pt idx="591">
                  <c:v>-20.479268849787097</c:v>
                </c:pt>
                <c:pt idx="592">
                  <c:v>-21.785443839712944</c:v>
                </c:pt>
                <c:pt idx="593">
                  <c:v>-23.158007571649652</c:v>
                </c:pt>
                <c:pt idx="594">
                  <c:v>-24.600626613624357</c:v>
                </c:pt>
                <c:pt idx="595">
                  <c:v>-26.117209015932769</c:v>
                </c:pt>
                <c:pt idx="596">
                  <c:v>-27.710584239874443</c:v>
                </c:pt>
                <c:pt idx="597">
                  <c:v>-29.383700498471658</c:v>
                </c:pt>
                <c:pt idx="598">
                  <c:v>-31.138180747628859</c:v>
                </c:pt>
                <c:pt idx="599">
                  <c:v>-32.975923431249292</c:v>
                </c:pt>
                <c:pt idx="600">
                  <c:v>-34.897513640047656</c:v>
                </c:pt>
              </c:numCache>
            </c:numRef>
          </c:yVal>
          <c:smooth val="1"/>
          <c:extLst>
            <c:ext xmlns:c16="http://schemas.microsoft.com/office/drawing/2014/chart" uri="{C3380CC4-5D6E-409C-BE32-E72D297353CC}">
              <c16:uniqueId val="{00000002-4B49-4ADE-B8CD-DD5F374AD671}"/>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Calculations'!$C$635</c:f>
              <c:numCache>
                <c:formatCode>0.00</c:formatCode>
                <c:ptCount val="1"/>
                <c:pt idx="0">
                  <c:v>6014.9260496506558</c:v>
                </c:pt>
              </c:numCache>
            </c:numRef>
          </c:xVal>
          <c:yVal>
            <c:numRef>
              <c:f>'Stability Calculations'!$D$635</c:f>
              <c:numCache>
                <c:formatCode>0.00</c:formatCode>
                <c:ptCount val="1"/>
                <c:pt idx="0">
                  <c:v>6.4668860997192947</c:v>
                </c:pt>
              </c:numCache>
            </c:numRef>
          </c:yVal>
          <c:smooth val="1"/>
          <c:extLst>
            <c:ext xmlns:c16="http://schemas.microsoft.com/office/drawing/2014/chart" uri="{C3380CC4-5D6E-409C-BE32-E72D297353CC}">
              <c16:uniqueId val="{00000004-4B49-4ADE-B8CD-DD5F374AD671}"/>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Calculations'!$C$5</c:f>
              <c:numCache>
                <c:formatCode>0.000</c:formatCode>
                <c:ptCount val="1"/>
                <c:pt idx="0">
                  <c:v>0.13815215952049953</c:v>
                </c:pt>
              </c:numCache>
            </c:numRef>
          </c:xVal>
          <c:yVal>
            <c:numRef>
              <c:f>'Stability Calculations'!$Q$624</c:f>
              <c:numCache>
                <c:formatCode>0.00</c:formatCode>
                <c:ptCount val="1"/>
                <c:pt idx="0">
                  <c:v>93.323223889182557</c:v>
                </c:pt>
              </c:numCache>
            </c:numRef>
          </c:yVal>
          <c:smooth val="1"/>
          <c:extLst>
            <c:ext xmlns:c16="http://schemas.microsoft.com/office/drawing/2014/chart" uri="{C3380CC4-5D6E-409C-BE32-E72D297353CC}">
              <c16:uniqueId val="{00000006-4B49-4ADE-B8CD-DD5F374AD671}"/>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Calculations'!$K$4</c:f>
              <c:numCache>
                <c:formatCode>0</c:formatCode>
                <c:ptCount val="1"/>
                <c:pt idx="0">
                  <c:v>39664.985700375459</c:v>
                </c:pt>
              </c:numCache>
            </c:numRef>
          </c:xVal>
          <c:yVal>
            <c:numRef>
              <c:f>'Stability Calculations'!$D$632</c:f>
              <c:numCache>
                <c:formatCode>0.00</c:formatCode>
                <c:ptCount val="1"/>
                <c:pt idx="0">
                  <c:v>0.61207608866541174</c:v>
                </c:pt>
              </c:numCache>
            </c:numRef>
          </c:yVal>
          <c:smooth val="1"/>
          <c:extLst>
            <c:ext xmlns:c16="http://schemas.microsoft.com/office/drawing/2014/chart" uri="{C3380CC4-5D6E-409C-BE32-E72D297353CC}">
              <c16:uniqueId val="{00000008-4B49-4ADE-B8CD-DD5F374AD671}"/>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B49-4ADE-B8CD-DD5F374AD671}"/>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Calculations'!$A$623</c:f>
              <c:numCache>
                <c:formatCode>0</c:formatCode>
                <c:ptCount val="1"/>
                <c:pt idx="0">
                  <c:v>16931376.944016635</c:v>
                </c:pt>
              </c:numCache>
            </c:numRef>
          </c:xVal>
          <c:yVal>
            <c:numRef>
              <c:f>'Stability Calculations'!$Q$623</c:f>
              <c:numCache>
                <c:formatCode>0.00</c:formatCode>
                <c:ptCount val="1"/>
                <c:pt idx="0">
                  <c:v>-118.84440452254782</c:v>
                </c:pt>
              </c:numCache>
            </c:numRef>
          </c:yVal>
          <c:smooth val="1"/>
          <c:extLst>
            <c:ext xmlns:c16="http://schemas.microsoft.com/office/drawing/2014/chart" uri="{C3380CC4-5D6E-409C-BE32-E72D297353CC}">
              <c16:uniqueId val="{0000000A-4B49-4ADE-B8CD-DD5F374AD671}"/>
            </c:ext>
          </c:extLst>
        </c:ser>
        <c:dLbls>
          <c:showLegendKey val="0"/>
          <c:showVal val="0"/>
          <c:showCatName val="0"/>
          <c:showSerName val="0"/>
          <c:showPercent val="0"/>
          <c:showBubbleSize val="0"/>
        </c:dLbls>
        <c:axId val="165647872"/>
        <c:axId val="165649792"/>
      </c:scatterChart>
      <c:scatterChart>
        <c:scatterStyle val="lineMarker"/>
        <c:varyColors val="0"/>
        <c:ser>
          <c:idx val="3"/>
          <c:order val="1"/>
          <c:tx>
            <c:v>Loop Phase</c:v>
          </c:tx>
          <c:spPr>
            <a:ln w="34925">
              <a:solidFill>
                <a:srgbClr val="002060"/>
              </a:solidFill>
              <a:prstDash val="sysDash"/>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Calculations'!$R$13:$R$613</c:f>
              <c:numCache>
                <c:formatCode>0.00</c:formatCode>
                <c:ptCount val="601"/>
                <c:pt idx="0">
                  <c:v>-82.126361673497513</c:v>
                </c:pt>
                <c:pt idx="1">
                  <c:v>-82.810274130016893</c:v>
                </c:pt>
                <c:pt idx="2">
                  <c:v>-83.43559832661721</c:v>
                </c:pt>
                <c:pt idx="3">
                  <c:v>-84.007081102623061</c:v>
                </c:pt>
                <c:pt idx="4">
                  <c:v>-84.528814759624538</c:v>
                </c:pt>
                <c:pt idx="5">
                  <c:v>-85.005739375511553</c:v>
                </c:pt>
                <c:pt idx="6">
                  <c:v>-85.440926435330397</c:v>
                </c:pt>
                <c:pt idx="7">
                  <c:v>-85.838170136705145</c:v>
                </c:pt>
                <c:pt idx="8">
                  <c:v>-86.200411002149195</c:v>
                </c:pt>
                <c:pt idx="9">
                  <c:v>-86.530890686197594</c:v>
                </c:pt>
                <c:pt idx="10">
                  <c:v>-86.83213206330187</c:v>
                </c:pt>
                <c:pt idx="11">
                  <c:v>-87.106682103013426</c:v>
                </c:pt>
                <c:pt idx="12">
                  <c:v>-87.356952494041039</c:v>
                </c:pt>
                <c:pt idx="13">
                  <c:v>-87.584789586808398</c:v>
                </c:pt>
                <c:pt idx="14">
                  <c:v>-87.792287365070081</c:v>
                </c:pt>
                <c:pt idx="15">
                  <c:v>-87.98109829181513</c:v>
                </c:pt>
                <c:pt idx="16">
                  <c:v>-88.152825696003092</c:v>
                </c:pt>
                <c:pt idx="17">
                  <c:v>-88.308893176920876</c:v>
                </c:pt>
                <c:pt idx="18">
                  <c:v>-88.450660819738061</c:v>
                </c:pt>
                <c:pt idx="19">
                  <c:v>-88.579285434435178</c:v>
                </c:pt>
                <c:pt idx="20">
                  <c:v>-88.6958794674469</c:v>
                </c:pt>
                <c:pt idx="21">
                  <c:v>-88.801404903296373</c:v>
                </c:pt>
                <c:pt idx="22">
                  <c:v>-88.896777091226681</c:v>
                </c:pt>
                <c:pt idx="23">
                  <c:v>-88.982780004986523</c:v>
                </c:pt>
                <c:pt idx="24">
                  <c:v>-89.060164159474027</c:v>
                </c:pt>
                <c:pt idx="25">
                  <c:v>-89.129572008102883</c:v>
                </c:pt>
                <c:pt idx="26">
                  <c:v>-89.191606107865383</c:v>
                </c:pt>
                <c:pt idx="27">
                  <c:v>-89.246771635446834</c:v>
                </c:pt>
                <c:pt idx="28">
                  <c:v>-89.29554041628019</c:v>
                </c:pt>
                <c:pt idx="29">
                  <c:v>-89.338302553770887</c:v>
                </c:pt>
                <c:pt idx="30">
                  <c:v>-89.375490527365457</c:v>
                </c:pt>
                <c:pt idx="31">
                  <c:v>-89.407362596492604</c:v>
                </c:pt>
                <c:pt idx="32">
                  <c:v>-89.434211807580667</c:v>
                </c:pt>
                <c:pt idx="33">
                  <c:v>-89.45624783250986</c:v>
                </c:pt>
                <c:pt idx="34">
                  <c:v>-89.473675349870689</c:v>
                </c:pt>
                <c:pt idx="35">
                  <c:v>-89.486631592289569</c:v>
                </c:pt>
                <c:pt idx="36">
                  <c:v>-89.495230471101948</c:v>
                </c:pt>
                <c:pt idx="37">
                  <c:v>-89.499547108873259</c:v>
                </c:pt>
                <c:pt idx="38">
                  <c:v>-89.499614255991261</c:v>
                </c:pt>
                <c:pt idx="39">
                  <c:v>-89.495433782620964</c:v>
                </c:pt>
                <c:pt idx="40">
                  <c:v>-89.486970378935965</c:v>
                </c:pt>
                <c:pt idx="41">
                  <c:v>-89.474152001077783</c:v>
                </c:pt>
                <c:pt idx="42">
                  <c:v>-89.456872568550466</c:v>
                </c:pt>
                <c:pt idx="43">
                  <c:v>-89.43498027924575</c:v>
                </c:pt>
                <c:pt idx="44">
                  <c:v>-89.408294970391168</c:v>
                </c:pt>
                <c:pt idx="45">
                  <c:v>-89.376585039702675</c:v>
                </c:pt>
                <c:pt idx="46">
                  <c:v>-89.339588150871933</c:v>
                </c:pt>
                <c:pt idx="47">
                  <c:v>-89.296982626777165</c:v>
                </c:pt>
                <c:pt idx="48">
                  <c:v>-89.248418101815631</c:v>
                </c:pt>
                <c:pt idx="49">
                  <c:v>-89.19347070734598</c:v>
                </c:pt>
                <c:pt idx="50">
                  <c:v>-89.131682567489207</c:v>
                </c:pt>
                <c:pt idx="51">
                  <c:v>-89.062514043015284</c:v>
                </c:pt>
                <c:pt idx="52">
                  <c:v>-88.985400601023571</c:v>
                </c:pt>
                <c:pt idx="53">
                  <c:v>-88.899689088751387</c:v>
                </c:pt>
                <c:pt idx="54">
                  <c:v>-88.804719012124067</c:v>
                </c:pt>
                <c:pt idx="55">
                  <c:v>-88.699522902837217</c:v>
                </c:pt>
                <c:pt idx="56">
                  <c:v>-88.583351606610336</c:v>
                </c:pt>
                <c:pt idx="57">
                  <c:v>-88.455149120726162</c:v>
                </c:pt>
                <c:pt idx="58">
                  <c:v>-88.313931744587251</c:v>
                </c:pt>
                <c:pt idx="59">
                  <c:v>-88.158406544184047</c:v>
                </c:pt>
                <c:pt idx="60">
                  <c:v>-87.987356375436946</c:v>
                </c:pt>
                <c:pt idx="61">
                  <c:v>-87.799333656547844</c:v>
                </c:pt>
                <c:pt idx="62">
                  <c:v>-87.592660936658078</c:v>
                </c:pt>
                <c:pt idx="63">
                  <c:v>-87.36582259650794</c:v>
                </c:pt>
                <c:pt idx="64">
                  <c:v>-87.116768164849134</c:v>
                </c:pt>
                <c:pt idx="65">
                  <c:v>-86.84353920168347</c:v>
                </c:pt>
                <c:pt idx="66">
                  <c:v>-86.543885720725925</c:v>
                </c:pt>
                <c:pt idx="67">
                  <c:v>-86.215429531555046</c:v>
                </c:pt>
                <c:pt idx="68">
                  <c:v>-85.855440119797109</c:v>
                </c:pt>
                <c:pt idx="69">
                  <c:v>-85.461159463590022</c:v>
                </c:pt>
                <c:pt idx="70">
                  <c:v>-85.029429136067748</c:v>
                </c:pt>
                <c:pt idx="71">
                  <c:v>-84.557023646089988</c:v>
                </c:pt>
                <c:pt idx="72">
                  <c:v>-84.040290368405792</c:v>
                </c:pt>
                <c:pt idx="73">
                  <c:v>-83.475574202375356</c:v>
                </c:pt>
                <c:pt idx="74">
                  <c:v>-82.858723961693698</c:v>
                </c:pt>
                <c:pt idx="75">
                  <c:v>-82.18561725867032</c:v>
                </c:pt>
                <c:pt idx="76">
                  <c:v>-81.451702287200405</c:v>
                </c:pt>
                <c:pt idx="77">
                  <c:v>-80.65270832322237</c:v>
                </c:pt>
                <c:pt idx="78">
                  <c:v>-79.784085505386116</c:v>
                </c:pt>
                <c:pt idx="79">
                  <c:v>-78.841983088269629</c:v>
                </c:pt>
                <c:pt idx="80">
                  <c:v>-77.820494422579259</c:v>
                </c:pt>
                <c:pt idx="81">
                  <c:v>-76.717068711953004</c:v>
                </c:pt>
                <c:pt idx="82">
                  <c:v>-75.527654482034166</c:v>
                </c:pt>
                <c:pt idx="83">
                  <c:v>-74.250664470865473</c:v>
                </c:pt>
                <c:pt idx="84">
                  <c:v>-72.883851779832085</c:v>
                </c:pt>
                <c:pt idx="85">
                  <c:v>-71.428242069482863</c:v>
                </c:pt>
                <c:pt idx="86">
                  <c:v>-69.885869906512482</c:v>
                </c:pt>
                <c:pt idx="87">
                  <c:v>-68.260437329065979</c:v>
                </c:pt>
                <c:pt idx="88">
                  <c:v>-66.560841885504658</c:v>
                </c:pt>
                <c:pt idx="89">
                  <c:v>-64.796197234545104</c:v>
                </c:pt>
                <c:pt idx="90">
                  <c:v>-62.980969557737723</c:v>
                </c:pt>
                <c:pt idx="91">
                  <c:v>-61.132282814032976</c:v>
                </c:pt>
                <c:pt idx="92">
                  <c:v>-59.271016935147877</c:v>
                </c:pt>
                <c:pt idx="93">
                  <c:v>-57.420267190336858</c:v>
                </c:pt>
                <c:pt idx="94">
                  <c:v>-56.962472309563957</c:v>
                </c:pt>
                <c:pt idx="95">
                  <c:v>-56.733160926676902</c:v>
                </c:pt>
                <c:pt idx="96">
                  <c:v>-56.507206184928982</c:v>
                </c:pt>
                <c:pt idx="97">
                  <c:v>-56.279454722378539</c:v>
                </c:pt>
                <c:pt idx="98">
                  <c:v>-56.055150041974898</c:v>
                </c:pt>
                <c:pt idx="99">
                  <c:v>-55.829121286519033</c:v>
                </c:pt>
                <c:pt idx="100">
                  <c:v>-55.606629805267772</c:v>
                </c:pt>
                <c:pt idx="101">
                  <c:v>-55.382664084676556</c:v>
                </c:pt>
                <c:pt idx="102">
                  <c:v>-55.162320756765681</c:v>
                </c:pt>
                <c:pt idx="103">
                  <c:v>-54.940426934588402</c:v>
                </c:pt>
                <c:pt idx="104">
                  <c:v>-54.722245705970849</c:v>
                </c:pt>
                <c:pt idx="105">
                  <c:v>-54.502774333533424</c:v>
                </c:pt>
                <c:pt idx="106">
                  <c:v>-54.28709966145216</c:v>
                </c:pt>
                <c:pt idx="107">
                  <c:v>-54.070388841954291</c:v>
                </c:pt>
                <c:pt idx="108">
                  <c:v>-53.857552452298329</c:v>
                </c:pt>
                <c:pt idx="109">
                  <c:v>-53.64378284730094</c:v>
                </c:pt>
                <c:pt idx="110">
                  <c:v>-53.433964128529666</c:v>
                </c:pt>
                <c:pt idx="111">
                  <c:v>-53.223185089408936</c:v>
                </c:pt>
                <c:pt idx="112">
                  <c:v>-53.01643709668808</c:v>
                </c:pt>
                <c:pt idx="113">
                  <c:v>-52.808992864828511</c:v>
                </c:pt>
                <c:pt idx="114">
                  <c:v>-52.605652448669865</c:v>
                </c:pt>
                <c:pt idx="115">
                  <c:v>-52.401743291990336</c:v>
                </c:pt>
                <c:pt idx="116">
                  <c:v>-52.20200840137916</c:v>
                </c:pt>
                <c:pt idx="117">
                  <c:v>-52.001839243587995</c:v>
                </c:pt>
                <c:pt idx="118">
                  <c:v>-51.805912142889042</c:v>
                </c:pt>
                <c:pt idx="119">
                  <c:v>-51.609809204250737</c:v>
                </c:pt>
                <c:pt idx="120">
                  <c:v>-51.418007943569144</c:v>
                </c:pt>
                <c:pt idx="121">
                  <c:v>-51.226166943323911</c:v>
                </c:pt>
                <c:pt idx="122">
                  <c:v>-51.038684110643821</c:v>
                </c:pt>
                <c:pt idx="123">
                  <c:v>-50.851195542060438</c:v>
                </c:pt>
                <c:pt idx="124">
                  <c:v>-50.668123276741099</c:v>
                </c:pt>
                <c:pt idx="125">
                  <c:v>-50.485303504725032</c:v>
                </c:pt>
                <c:pt idx="126">
                  <c:v>-50.306949250223887</c:v>
                </c:pt>
                <c:pt idx="127">
                  <c:v>-50.12899722013757</c:v>
                </c:pt>
                <c:pt idx="128">
                  <c:v>-49.955555948433144</c:v>
                </c:pt>
                <c:pt idx="129">
                  <c:v>-49.782669929576606</c:v>
                </c:pt>
                <c:pt idx="130">
                  <c:v>-49.614335690702752</c:v>
                </c:pt>
                <c:pt idx="131">
                  <c:v>-49.446712412653014</c:v>
                </c:pt>
                <c:pt idx="132">
                  <c:v>-49.364626913761484</c:v>
                </c:pt>
                <c:pt idx="133">
                  <c:v>-49.283677489930284</c:v>
                </c:pt>
                <c:pt idx="134">
                  <c:v>-49.201969280952667</c:v>
                </c:pt>
                <c:pt idx="135">
                  <c:v>-49.121428787855692</c:v>
                </c:pt>
                <c:pt idx="136">
                  <c:v>-49.04204451991906</c:v>
                </c:pt>
                <c:pt idx="137">
                  <c:v>-48.963805088276409</c:v>
                </c:pt>
                <c:pt idx="138">
                  <c:v>-48.884961680175103</c:v>
                </c:pt>
                <c:pt idx="139">
                  <c:v>-48.8072919140442</c:v>
                </c:pt>
                <c:pt idx="140">
                  <c:v>-48.730783937058462</c:v>
                </c:pt>
                <c:pt idx="141">
                  <c:v>-48.655426006963367</c:v>
                </c:pt>
                <c:pt idx="142">
                  <c:v>-48.579460216542699</c:v>
                </c:pt>
                <c:pt idx="143">
                  <c:v>-48.504675113088268</c:v>
                </c:pt>
                <c:pt idx="144">
                  <c:v>-48.431058456907934</c:v>
                </c:pt>
                <c:pt idx="145">
                  <c:v>-48.358598128121173</c:v>
                </c:pt>
                <c:pt idx="146">
                  <c:v>-48.285643619195021</c:v>
                </c:pt>
                <c:pt idx="147">
                  <c:v>-48.213874340944407</c:v>
                </c:pt>
                <c:pt idx="148">
                  <c:v>-48.143277697601818</c:v>
                </c:pt>
                <c:pt idx="149">
                  <c:v>-48.073841222262843</c:v>
                </c:pt>
                <c:pt idx="150">
                  <c:v>-48.003987126818636</c:v>
                </c:pt>
                <c:pt idx="151">
                  <c:v>-47.93532147709152</c:v>
                </c:pt>
                <c:pt idx="152">
                  <c:v>-47.867831335363086</c:v>
                </c:pt>
                <c:pt idx="153">
                  <c:v>-47.80150390182007</c:v>
                </c:pt>
                <c:pt idx="154">
                  <c:v>-47.734805958921392</c:v>
                </c:pt>
                <c:pt idx="155">
                  <c:v>-47.669299413834743</c:v>
                </c:pt>
                <c:pt idx="156">
                  <c:v>-47.604970984133423</c:v>
                </c:pt>
                <c:pt idx="157">
                  <c:v>-47.541807534553854</c:v>
                </c:pt>
                <c:pt idx="158">
                  <c:v>-47.478355070254132</c:v>
                </c:pt>
                <c:pt idx="159">
                  <c:v>-47.416095512835106</c:v>
                </c:pt>
                <c:pt idx="160">
                  <c:v>-47.35501525212505</c:v>
                </c:pt>
                <c:pt idx="161">
                  <c:v>-47.295100834292803</c:v>
                </c:pt>
                <c:pt idx="162">
                  <c:v>-47.235005466612286</c:v>
                </c:pt>
                <c:pt idx="163">
                  <c:v>-47.17610201671723</c:v>
                </c:pt>
                <c:pt idx="164">
                  <c:v>-47.118376583133717</c:v>
                </c:pt>
                <c:pt idx="165">
                  <c:v>-47.061815429489705</c:v>
                </c:pt>
                <c:pt idx="166">
                  <c:v>-47.005104188271048</c:v>
                </c:pt>
                <c:pt idx="167">
                  <c:v>-46.949584519309376</c:v>
                </c:pt>
                <c:pt idx="168">
                  <c:v>-46.895242212437317</c:v>
                </c:pt>
                <c:pt idx="169">
                  <c:v>-46.842063231758004</c:v>
                </c:pt>
                <c:pt idx="170">
                  <c:v>-46.788929697100812</c:v>
                </c:pt>
                <c:pt idx="171">
                  <c:v>-46.736980896905976</c:v>
                </c:pt>
                <c:pt idx="172">
                  <c:v>-46.68620242348711</c:v>
                </c:pt>
                <c:pt idx="173">
                  <c:v>-46.636580050869711</c:v>
                </c:pt>
                <c:pt idx="174">
                  <c:v>-46.586892177064058</c:v>
                </c:pt>
                <c:pt idx="175">
                  <c:v>-46.538389725156684</c:v>
                </c:pt>
                <c:pt idx="176">
                  <c:v>-46.491057947285327</c:v>
                </c:pt>
                <c:pt idx="177">
                  <c:v>-46.444882287243281</c:v>
                </c:pt>
                <c:pt idx="178">
                  <c:v>-46.398755249162988</c:v>
                </c:pt>
                <c:pt idx="179">
                  <c:v>-46.353811555657046</c:v>
                </c:pt>
                <c:pt idx="180">
                  <c:v>-46.310036161017123</c:v>
                </c:pt>
                <c:pt idx="181">
                  <c:v>-46.267414220567488</c:v>
                </c:pt>
                <c:pt idx="182">
                  <c:v>-46.225112941734601</c:v>
                </c:pt>
                <c:pt idx="183">
                  <c:v>-46.183981146755805</c:v>
                </c:pt>
                <c:pt idx="184">
                  <c:v>-46.144003712266702</c:v>
                </c:pt>
                <c:pt idx="185">
                  <c:v>-46.105165721439043</c:v>
                </c:pt>
                <c:pt idx="186">
                  <c:v>-46.066432917745004</c:v>
                </c:pt>
                <c:pt idx="187">
                  <c:v>-46.028871705861015</c:v>
                </c:pt>
                <c:pt idx="188">
                  <c:v>-45.992466569478076</c:v>
                </c:pt>
                <c:pt idx="189">
                  <c:v>-45.957202210152055</c:v>
                </c:pt>
                <c:pt idx="190">
                  <c:v>-45.922422891660688</c:v>
                </c:pt>
                <c:pt idx="191">
                  <c:v>-45.888796905131315</c:v>
                </c:pt>
                <c:pt idx="192">
                  <c:v>-45.856308738143277</c:v>
                </c:pt>
                <c:pt idx="193">
                  <c:v>-45.824943100128976</c:v>
                </c:pt>
                <c:pt idx="194">
                  <c:v>-45.793906395870557</c:v>
                </c:pt>
                <c:pt idx="195">
                  <c:v>-45.764019926839595</c:v>
                </c:pt>
                <c:pt idx="196">
                  <c:v>-45.735267875436122</c:v>
                </c:pt>
                <c:pt idx="197">
                  <c:v>-45.707634655812321</c:v>
                </c:pt>
                <c:pt idx="198">
                  <c:v>-45.680536198896206</c:v>
                </c:pt>
                <c:pt idx="199">
                  <c:v>-45.654573927140518</c:v>
                </c:pt>
                <c:pt idx="200">
                  <c:v>-45.629731935475185</c:v>
                </c:pt>
                <c:pt idx="201">
                  <c:v>-45.605994556315039</c:v>
                </c:pt>
                <c:pt idx="202">
                  <c:v>-45.582872844558111</c:v>
                </c:pt>
                <c:pt idx="203">
                  <c:v>-45.560871291900391</c:v>
                </c:pt>
                <c:pt idx="204">
                  <c:v>-45.539973945074877</c:v>
                </c:pt>
                <c:pt idx="205">
                  <c:v>-45.520165093221031</c:v>
                </c:pt>
                <c:pt idx="206">
                  <c:v>-45.500984018103225</c:v>
                </c:pt>
                <c:pt idx="207">
                  <c:v>-45.482912753760004</c:v>
                </c:pt>
                <c:pt idx="208">
                  <c:v>-45.465935173107532</c:v>
                </c:pt>
                <c:pt idx="209">
                  <c:v>-45.45003539894374</c:v>
                </c:pt>
                <c:pt idx="210">
                  <c:v>-45.434807427806753</c:v>
                </c:pt>
                <c:pt idx="211">
                  <c:v>-45.420683745679085</c:v>
                </c:pt>
                <c:pt idx="212">
                  <c:v>-45.407647935270724</c:v>
                </c:pt>
                <c:pt idx="213">
                  <c:v>-45.395683839176193</c:v>
                </c:pt>
                <c:pt idx="214">
                  <c:v>-45.384568739784932</c:v>
                </c:pt>
                <c:pt idx="215">
                  <c:v>-45.374535362155363</c:v>
                </c:pt>
                <c:pt idx="216">
                  <c:v>-45.365567369977192</c:v>
                </c:pt>
                <c:pt idx="217">
                  <c:v>-45.357648689054621</c:v>
                </c:pt>
                <c:pt idx="218">
                  <c:v>-45.350618439780156</c:v>
                </c:pt>
                <c:pt idx="219">
                  <c:v>-45.34465270361531</c:v>
                </c:pt>
                <c:pt idx="220">
                  <c:v>-45.339735102562074</c:v>
                </c:pt>
                <c:pt idx="221">
                  <c:v>-45.335849525529248</c:v>
                </c:pt>
                <c:pt idx="222">
                  <c:v>-45.332927615007677</c:v>
                </c:pt>
                <c:pt idx="223">
                  <c:v>-45.3310510378763</c:v>
                </c:pt>
                <c:pt idx="224">
                  <c:v>-45.330203415208942</c:v>
                </c:pt>
                <c:pt idx="225">
                  <c:v>-45.330368638879328</c:v>
                </c:pt>
                <c:pt idx="226">
                  <c:v>-45.331572430230949</c:v>
                </c:pt>
                <c:pt idx="227">
                  <c:v>-45.333806768680205</c:v>
                </c:pt>
                <c:pt idx="228">
                  <c:v>-45.33705516446431</c:v>
                </c:pt>
                <c:pt idx="229">
                  <c:v>-45.341301404952084</c:v>
                </c:pt>
                <c:pt idx="230">
                  <c:v>-45.353049538216645</c:v>
                </c:pt>
                <c:pt idx="231">
                  <c:v>-45.360427144814018</c:v>
                </c:pt>
                <c:pt idx="232">
                  <c:v>-45.368785321974194</c:v>
                </c:pt>
                <c:pt idx="233">
                  <c:v>-45.378340978293579</c:v>
                </c:pt>
                <c:pt idx="234">
                  <c:v>-45.388890685586055</c:v>
                </c:pt>
                <c:pt idx="235">
                  <c:v>-45.400417870633895</c:v>
                </c:pt>
                <c:pt idx="236">
                  <c:v>-45.412906247059766</c:v>
                </c:pt>
                <c:pt idx="237">
                  <c:v>-45.426622048037686</c:v>
                </c:pt>
                <c:pt idx="238">
                  <c:v>-45.441305077172395</c:v>
                </c:pt>
                <c:pt idx="239">
                  <c:v>-45.456938923750023</c:v>
                </c:pt>
                <c:pt idx="240">
                  <c:v>-45.473507464050535</c:v>
                </c:pt>
                <c:pt idx="241">
                  <c:v>-45.491453885081398</c:v>
                </c:pt>
                <c:pt idx="242">
                  <c:v>-45.5103499582289</c:v>
                </c:pt>
                <c:pt idx="243">
                  <c:v>-45.53017919448218</c:v>
                </c:pt>
                <c:pt idx="244">
                  <c:v>-45.550925397586234</c:v>
                </c:pt>
                <c:pt idx="245">
                  <c:v>-45.573062461242635</c:v>
                </c:pt>
                <c:pt idx="246">
                  <c:v>-45.596124274666415</c:v>
                </c:pt>
                <c:pt idx="247">
                  <c:v>-45.620094451007667</c:v>
                </c:pt>
                <c:pt idx="248">
                  <c:v>-45.644956897716959</c:v>
                </c:pt>
                <c:pt idx="249">
                  <c:v>-45.671334406756642</c:v>
                </c:pt>
                <c:pt idx="250">
                  <c:v>-45.698614976966937</c:v>
                </c:pt>
                <c:pt idx="251">
                  <c:v>-45.726782230814692</c:v>
                </c:pt>
                <c:pt idx="252">
                  <c:v>-45.755820088853</c:v>
                </c:pt>
                <c:pt idx="253">
                  <c:v>-45.786354536479465</c:v>
                </c:pt>
                <c:pt idx="254">
                  <c:v>-45.817763863590045</c:v>
                </c:pt>
                <c:pt idx="255">
                  <c:v>-45.85003187060687</c:v>
                </c:pt>
                <c:pt idx="256">
                  <c:v>-45.88314265576205</c:v>
                </c:pt>
                <c:pt idx="257">
                  <c:v>-45.917970684463697</c:v>
                </c:pt>
                <c:pt idx="258">
                  <c:v>-45.95365275293797</c:v>
                </c:pt>
                <c:pt idx="259">
                  <c:v>-45.99017262751569</c:v>
                </c:pt>
                <c:pt idx="260">
                  <c:v>-46.027514377294096</c:v>
                </c:pt>
                <c:pt idx="261">
                  <c:v>-46.066538616715725</c:v>
                </c:pt>
                <c:pt idx="262">
                  <c:v>-46.106389750312772</c:v>
                </c:pt>
                <c:pt idx="263">
                  <c:v>-46.147051677137668</c:v>
                </c:pt>
                <c:pt idx="264">
                  <c:v>-46.188508599913227</c:v>
                </c:pt>
                <c:pt idx="265">
                  <c:v>-46.23169234210917</c:v>
                </c:pt>
                <c:pt idx="266">
                  <c:v>-46.275674367708177</c:v>
                </c:pt>
                <c:pt idx="267">
                  <c:v>-46.320438744476448</c:v>
                </c:pt>
                <c:pt idx="268">
                  <c:v>-46.365969843881125</c:v>
                </c:pt>
                <c:pt idx="269">
                  <c:v>-46.413379436891134</c:v>
                </c:pt>
                <c:pt idx="270">
                  <c:v>-46.461561006237801</c:v>
                </c:pt>
                <c:pt idx="271">
                  <c:v>-46.510498711003009</c:v>
                </c:pt>
                <c:pt idx="272">
                  <c:v>-46.560177016022585</c:v>
                </c:pt>
                <c:pt idx="273">
                  <c:v>-46.611778084253409</c:v>
                </c:pt>
                <c:pt idx="274">
                  <c:v>-46.664123114044749</c:v>
                </c:pt>
                <c:pt idx="275">
                  <c:v>-46.717196396710257</c:v>
                </c:pt>
                <c:pt idx="276">
                  <c:v>-46.770982530414038</c:v>
                </c:pt>
                <c:pt idx="277">
                  <c:v>-46.826603542136603</c:v>
                </c:pt>
                <c:pt idx="278">
                  <c:v>-46.88293579735565</c:v>
                </c:pt>
                <c:pt idx="279">
                  <c:v>-46.939963861609471</c:v>
                </c:pt>
                <c:pt idx="280">
                  <c:v>-46.997672604749233</c:v>
                </c:pt>
                <c:pt idx="281">
                  <c:v>-47.057637572291362</c:v>
                </c:pt>
                <c:pt idx="282">
                  <c:v>-47.118289197350968</c:v>
                </c:pt>
                <c:pt idx="283">
                  <c:v>-47.179612044598784</c:v>
                </c:pt>
                <c:pt idx="284">
                  <c:v>-47.241590987816792</c:v>
                </c:pt>
                <c:pt idx="285">
                  <c:v>-47.305456213072979</c:v>
                </c:pt>
                <c:pt idx="286">
                  <c:v>-47.369972926002909</c:v>
                </c:pt>
                <c:pt idx="287">
                  <c:v>-47.435126033532491</c:v>
                </c:pt>
                <c:pt idx="288">
                  <c:v>-47.500900747493787</c:v>
                </c:pt>
                <c:pt idx="289">
                  <c:v>-47.569007275009987</c:v>
                </c:pt>
                <c:pt idx="290">
                  <c:v>-47.637737403324671</c:v>
                </c:pt>
                <c:pt idx="291">
                  <c:v>-47.707076122090093</c:v>
                </c:pt>
                <c:pt idx="292">
                  <c:v>-47.777008728740419</c:v>
                </c:pt>
                <c:pt idx="293">
                  <c:v>-47.84915703998773</c:v>
                </c:pt>
                <c:pt idx="294">
                  <c:v>-47.921896825544188</c:v>
                </c:pt>
                <c:pt idx="295">
                  <c:v>-47.995213294482618</c:v>
                </c:pt>
                <c:pt idx="296">
                  <c:v>-48.069091962985866</c:v>
                </c:pt>
                <c:pt idx="297">
                  <c:v>-48.14520596295143</c:v>
                </c:pt>
                <c:pt idx="298">
                  <c:v>-48.221878165806949</c:v>
                </c:pt>
                <c:pt idx="299">
                  <c:v>-48.299094034521438</c:v>
                </c:pt>
                <c:pt idx="300">
                  <c:v>-48.376839337678554</c:v>
                </c:pt>
                <c:pt idx="301">
                  <c:v>-48.456834509384073</c:v>
                </c:pt>
                <c:pt idx="302">
                  <c:v>-48.537353646340677</c:v>
                </c:pt>
                <c:pt idx="303">
                  <c:v>-48.618382497145831</c:v>
                </c:pt>
                <c:pt idx="304">
                  <c:v>-48.699907113750264</c:v>
                </c:pt>
                <c:pt idx="305">
                  <c:v>-48.78401451393448</c:v>
                </c:pt>
                <c:pt idx="306">
                  <c:v>-48.868614561739179</c:v>
                </c:pt>
                <c:pt idx="307">
                  <c:v>-48.953693160747967</c:v>
                </c:pt>
                <c:pt idx="308">
                  <c:v>-49.039236519521126</c:v>
                </c:pt>
                <c:pt idx="309">
                  <c:v>-49.127048050359491</c:v>
                </c:pt>
                <c:pt idx="310">
                  <c:v>-49.215316015491389</c:v>
                </c:pt>
                <c:pt idx="311">
                  <c:v>-49.304026671244841</c:v>
                </c:pt>
                <c:pt idx="312">
                  <c:v>-49.393166575047815</c:v>
                </c:pt>
                <c:pt idx="313">
                  <c:v>-49.484911960175303</c:v>
                </c:pt>
                <c:pt idx="314">
                  <c:v>-49.577080168809836</c:v>
                </c:pt>
                <c:pt idx="315">
                  <c:v>-49.669657687125031</c:v>
                </c:pt>
                <c:pt idx="316">
                  <c:v>-49.762631302263102</c:v>
                </c:pt>
                <c:pt idx="317">
                  <c:v>-49.858215441721939</c:v>
                </c:pt>
                <c:pt idx="318">
                  <c:v>-49.954187671140261</c:v>
                </c:pt>
                <c:pt idx="319">
                  <c:v>-50.050534745149747</c:v>
                </c:pt>
                <c:pt idx="320">
                  <c:v>-50.147243718311316</c:v>
                </c:pt>
                <c:pt idx="321">
                  <c:v>-50.246563161426714</c:v>
                </c:pt>
                <c:pt idx="322">
                  <c:v>-50.346235038346826</c:v>
                </c:pt>
                <c:pt idx="323">
                  <c:v>-50.446246407890598</c:v>
                </c:pt>
                <c:pt idx="324">
                  <c:v>-50.546584626910949</c:v>
                </c:pt>
                <c:pt idx="325">
                  <c:v>-50.649528464728903</c:v>
                </c:pt>
                <c:pt idx="326">
                  <c:v>-50.752788351619529</c:v>
                </c:pt>
                <c:pt idx="327">
                  <c:v>-50.856351683407439</c:v>
                </c:pt>
                <c:pt idx="328">
                  <c:v>-50.960206151254631</c:v>
                </c:pt>
                <c:pt idx="329">
                  <c:v>-51.066835142354968</c:v>
                </c:pt>
                <c:pt idx="330">
                  <c:v>-51.173744169891755</c:v>
                </c:pt>
                <c:pt idx="331">
                  <c:v>-51.280920935850538</c:v>
                </c:pt>
                <c:pt idx="332">
                  <c:v>-51.388353436043126</c:v>
                </c:pt>
                <c:pt idx="333">
                  <c:v>-51.498369458295123</c:v>
                </c:pt>
                <c:pt idx="334">
                  <c:v>-51.608628008949843</c:v>
                </c:pt>
                <c:pt idx="335">
                  <c:v>-51.719117189058231</c:v>
                </c:pt>
                <c:pt idx="336">
                  <c:v>-51.829825389245038</c:v>
                </c:pt>
                <c:pt idx="337">
                  <c:v>-51.943462322757085</c:v>
                </c:pt>
                <c:pt idx="338">
                  <c:v>-52.057305375591774</c:v>
                </c:pt>
                <c:pt idx="339">
                  <c:v>-52.171342962731906</c:v>
                </c:pt>
                <c:pt idx="340">
                  <c:v>-52.285563787460106</c:v>
                </c:pt>
                <c:pt idx="341">
                  <c:v>-52.402695529941603</c:v>
                </c:pt>
                <c:pt idx="342">
                  <c:v>-52.519996306690075</c:v>
                </c:pt>
                <c:pt idx="343">
                  <c:v>-52.63745488357285</c:v>
                </c:pt>
                <c:pt idx="344">
                  <c:v>-52.755060312555351</c:v>
                </c:pt>
                <c:pt idx="345">
                  <c:v>-52.875370937232418</c:v>
                </c:pt>
                <c:pt idx="346">
                  <c:v>-52.995812660661109</c:v>
                </c:pt>
                <c:pt idx="347">
                  <c:v>-53.116374682137746</c:v>
                </c:pt>
                <c:pt idx="348">
                  <c:v>-53.237046482280618</c:v>
                </c:pt>
                <c:pt idx="349">
                  <c:v>-53.360764616907716</c:v>
                </c:pt>
                <c:pt idx="350">
                  <c:v>-53.484576477913059</c:v>
                </c:pt>
                <c:pt idx="351">
                  <c:v>-53.608471629165173</c:v>
                </c:pt>
                <c:pt idx="352">
                  <c:v>-53.732439913691145</c:v>
                </c:pt>
                <c:pt idx="353">
                  <c:v>-53.859425269470506</c:v>
                </c:pt>
                <c:pt idx="354">
                  <c:v>-53.98646660191001</c:v>
                </c:pt>
                <c:pt idx="355">
                  <c:v>-54.113553874097079</c:v>
                </c:pt>
                <c:pt idx="356">
                  <c:v>-54.240677325181409</c:v>
                </c:pt>
                <c:pt idx="357">
                  <c:v>-54.370599859379759</c:v>
                </c:pt>
                <c:pt idx="358">
                  <c:v>-54.500540413724252</c:v>
                </c:pt>
                <c:pt idx="359">
                  <c:v>-54.630489421993467</c:v>
                </c:pt>
                <c:pt idx="360">
                  <c:v>-54.76043758852915</c:v>
                </c:pt>
                <c:pt idx="361">
                  <c:v>-54.893517862767936</c:v>
                </c:pt>
                <c:pt idx="362">
                  <c:v>-55.026578356199515</c:v>
                </c:pt>
                <c:pt idx="363">
                  <c:v>-55.159609918866366</c:v>
                </c:pt>
                <c:pt idx="364">
                  <c:v>-55.292603668132912</c:v>
                </c:pt>
                <c:pt idx="365">
                  <c:v>-55.428504774331856</c:v>
                </c:pt>
                <c:pt idx="366">
                  <c:v>-55.564348422226686</c:v>
                </c:pt>
                <c:pt idx="367">
                  <c:v>-55.700125944148127</c:v>
                </c:pt>
                <c:pt idx="368">
                  <c:v>-55.835828934173463</c:v>
                </c:pt>
                <c:pt idx="369">
                  <c:v>-55.974764938925638</c:v>
                </c:pt>
                <c:pt idx="370">
                  <c:v>-56.113605673435138</c:v>
                </c:pt>
                <c:pt idx="371">
                  <c:v>-56.252342908710951</c:v>
                </c:pt>
                <c:pt idx="372">
                  <c:v>-56.390968673910244</c:v>
                </c:pt>
                <c:pt idx="373">
                  <c:v>-56.532596644055609</c:v>
                </c:pt>
                <c:pt idx="374">
                  <c:v>-56.674092000280439</c:v>
                </c:pt>
                <c:pt idx="375">
                  <c:v>-56.815447012265643</c:v>
                </c:pt>
                <c:pt idx="376">
                  <c:v>-56.956654201983277</c:v>
                </c:pt>
                <c:pt idx="377">
                  <c:v>-57.101180311921688</c:v>
                </c:pt>
                <c:pt idx="378">
                  <c:v>-57.245536110416268</c:v>
                </c:pt>
                <c:pt idx="379">
                  <c:v>-57.389714331698734</c:v>
                </c:pt>
                <c:pt idx="380">
                  <c:v>-57.53370795814935</c:v>
                </c:pt>
                <c:pt idx="381">
                  <c:v>-57.680602539943187</c:v>
                </c:pt>
                <c:pt idx="382">
                  <c:v>-57.82729045537117</c:v>
                </c:pt>
                <c:pt idx="383">
                  <c:v>-57.973764981146033</c:v>
                </c:pt>
                <c:pt idx="384">
                  <c:v>-58.120019634634012</c:v>
                </c:pt>
                <c:pt idx="385">
                  <c:v>-58.269664290068306</c:v>
                </c:pt>
                <c:pt idx="386">
                  <c:v>-58.419065000592944</c:v>
                </c:pt>
                <c:pt idx="387">
                  <c:v>-58.568215531385249</c:v>
                </c:pt>
                <c:pt idx="388">
                  <c:v>-58.717109883513217</c:v>
                </c:pt>
                <c:pt idx="389">
                  <c:v>-58.869153935478934</c:v>
                </c:pt>
                <c:pt idx="390">
                  <c:v>-59.020917928860754</c:v>
                </c:pt>
                <c:pt idx="391">
                  <c:v>-59.172396163514328</c:v>
                </c:pt>
                <c:pt idx="392">
                  <c:v>-59.323583168349565</c:v>
                </c:pt>
                <c:pt idx="393">
                  <c:v>-59.477859045421177</c:v>
                </c:pt>
                <c:pt idx="394">
                  <c:v>-59.631819600482537</c:v>
                </c:pt>
                <c:pt idx="395">
                  <c:v>-59.785459684324934</c:v>
                </c:pt>
                <c:pt idx="396">
                  <c:v>-59.938774369168385</c:v>
                </c:pt>
                <c:pt idx="397">
                  <c:v>-60.095468875599664</c:v>
                </c:pt>
                <c:pt idx="398">
                  <c:v>-60.251812209191975</c:v>
                </c:pt>
                <c:pt idx="399">
                  <c:v>-60.407799753376715</c:v>
                </c:pt>
                <c:pt idx="400">
                  <c:v>-60.563427106578622</c:v>
                </c:pt>
                <c:pt idx="401">
                  <c:v>-60.722190645961582</c:v>
                </c:pt>
                <c:pt idx="402">
                  <c:v>-60.880568899803613</c:v>
                </c:pt>
                <c:pt idx="403">
                  <c:v>-61.038557816038136</c:v>
                </c:pt>
                <c:pt idx="404">
                  <c:v>-61.196153549333303</c:v>
                </c:pt>
                <c:pt idx="405">
                  <c:v>-61.35699140413687</c:v>
                </c:pt>
                <c:pt idx="406">
                  <c:v>-61.517410127597188</c:v>
                </c:pt>
                <c:pt idx="407">
                  <c:v>-61.677406230288263</c:v>
                </c:pt>
                <c:pt idx="408">
                  <c:v>-61.836976421402802</c:v>
                </c:pt>
                <c:pt idx="409">
                  <c:v>-61.999889179796831</c:v>
                </c:pt>
                <c:pt idx="410">
                  <c:v>-62.162349201110558</c:v>
                </c:pt>
                <c:pt idx="411">
                  <c:v>-62.324353559536441</c:v>
                </c:pt>
                <c:pt idx="412">
                  <c:v>-62.4858995198028</c:v>
                </c:pt>
                <c:pt idx="413">
                  <c:v>-62.650713365211665</c:v>
                </c:pt>
                <c:pt idx="414">
                  <c:v>-62.815042102482039</c:v>
                </c:pt>
                <c:pt idx="415">
                  <c:v>-62.97888337972006</c:v>
                </c:pt>
                <c:pt idx="416">
                  <c:v>-63.142235026682251</c:v>
                </c:pt>
                <c:pt idx="417">
                  <c:v>-63.308946725148893</c:v>
                </c:pt>
                <c:pt idx="418">
                  <c:v>-63.475141276651748</c:v>
                </c:pt>
                <c:pt idx="419">
                  <c:v>-63.640816903891654</c:v>
                </c:pt>
                <c:pt idx="420">
                  <c:v>-63.805972002309289</c:v>
                </c:pt>
                <c:pt idx="421">
                  <c:v>-63.974243011341215</c:v>
                </c:pt>
                <c:pt idx="422">
                  <c:v>-64.141967330863366</c:v>
                </c:pt>
                <c:pt idx="423">
                  <c:v>-64.309143767184977</c:v>
                </c:pt>
                <c:pt idx="424">
                  <c:v>-64.475771289074686</c:v>
                </c:pt>
                <c:pt idx="425">
                  <c:v>-64.645928643044272</c:v>
                </c:pt>
                <c:pt idx="426">
                  <c:v>-64.815508041838441</c:v>
                </c:pt>
                <c:pt idx="427">
                  <c:v>-64.984508867877508</c:v>
                </c:pt>
                <c:pt idx="428">
                  <c:v>-65.152930656980359</c:v>
                </c:pt>
                <c:pt idx="429">
                  <c:v>-65.324635824592633</c:v>
                </c:pt>
                <c:pt idx="430">
                  <c:v>-65.495734431730583</c:v>
                </c:pt>
                <c:pt idx="431">
                  <c:v>-65.666226441684771</c:v>
                </c:pt>
                <c:pt idx="432">
                  <c:v>-65.836111960770879</c:v>
                </c:pt>
                <c:pt idx="433">
                  <c:v>-66.009198994474474</c:v>
                </c:pt>
                <c:pt idx="434">
                  <c:v>-66.181652552362678</c:v>
                </c:pt>
                <c:pt idx="435">
                  <c:v>-66.353473175017228</c:v>
                </c:pt>
                <c:pt idx="436">
                  <c:v>-66.524661535123059</c:v>
                </c:pt>
                <c:pt idx="437">
                  <c:v>-66.699282786603604</c:v>
                </c:pt>
                <c:pt idx="438">
                  <c:v>-66.873243052047982</c:v>
                </c:pt>
                <c:pt idx="439">
                  <c:v>-67.046543447972908</c:v>
                </c:pt>
                <c:pt idx="440">
                  <c:v>-67.219185212489066</c:v>
                </c:pt>
                <c:pt idx="441">
                  <c:v>-67.395172270028141</c:v>
                </c:pt>
                <c:pt idx="442">
                  <c:v>-67.570472611622336</c:v>
                </c:pt>
                <c:pt idx="443">
                  <c:v>-67.74508792466024</c:v>
                </c:pt>
                <c:pt idx="444">
                  <c:v>-67.919020007054399</c:v>
                </c:pt>
                <c:pt idx="445">
                  <c:v>-68.096210707910004</c:v>
                </c:pt>
                <c:pt idx="446">
                  <c:v>-68.272690821759667</c:v>
                </c:pt>
                <c:pt idx="447">
                  <c:v>-68.448462597526913</c:v>
                </c:pt>
                <c:pt idx="448">
                  <c:v>-68.623528383148638</c:v>
                </c:pt>
                <c:pt idx="449">
                  <c:v>-68.802065497085863</c:v>
                </c:pt>
                <c:pt idx="450">
                  <c:v>-68.979867616237343</c:v>
                </c:pt>
                <c:pt idx="451">
                  <c:v>-69.156937552126493</c:v>
                </c:pt>
                <c:pt idx="452">
                  <c:v>-69.333278204027735</c:v>
                </c:pt>
                <c:pt idx="453">
                  <c:v>-69.512852042966912</c:v>
                </c:pt>
                <c:pt idx="454">
                  <c:v>-69.691669662849009</c:v>
                </c:pt>
                <c:pt idx="455">
                  <c:v>-69.869734417819913</c:v>
                </c:pt>
                <c:pt idx="456">
                  <c:v>-70.047049737858487</c:v>
                </c:pt>
                <c:pt idx="457">
                  <c:v>-70.227800364004139</c:v>
                </c:pt>
                <c:pt idx="458">
                  <c:v>-70.40777306120431</c:v>
                </c:pt>
                <c:pt idx="459">
                  <c:v>-70.586971727097406</c:v>
                </c:pt>
                <c:pt idx="460">
                  <c:v>-70.765400323444624</c:v>
                </c:pt>
                <c:pt idx="461">
                  <c:v>-70.947172295732784</c:v>
                </c:pt>
                <c:pt idx="462">
                  <c:v>-71.128146660269465</c:v>
                </c:pt>
                <c:pt idx="463">
                  <c:v>-71.308327841410289</c:v>
                </c:pt>
                <c:pt idx="464">
                  <c:v>-71.48772031565872</c:v>
                </c:pt>
                <c:pt idx="465">
                  <c:v>-71.670505371255899</c:v>
                </c:pt>
                <c:pt idx="466">
                  <c:v>-71.852473953358839</c:v>
                </c:pt>
                <c:pt idx="467">
                  <c:v>-72.033631004129319</c:v>
                </c:pt>
                <c:pt idx="468">
                  <c:v>-72.213981505877896</c:v>
                </c:pt>
                <c:pt idx="469">
                  <c:v>-72.397632937544856</c:v>
                </c:pt>
                <c:pt idx="470">
                  <c:v>-72.580451113884664</c:v>
                </c:pt>
                <c:pt idx="471">
                  <c:v>-72.762441473313444</c:v>
                </c:pt>
                <c:pt idx="472">
                  <c:v>-72.943609482288451</c:v>
                </c:pt>
                <c:pt idx="473">
                  <c:v>-73.12825758381193</c:v>
                </c:pt>
                <c:pt idx="474">
                  <c:v>-73.312055262479689</c:v>
                </c:pt>
                <c:pt idx="475">
                  <c:v>-73.495008454403347</c:v>
                </c:pt>
                <c:pt idx="476">
                  <c:v>-73.677123111722963</c:v>
                </c:pt>
                <c:pt idx="477">
                  <c:v>-73.862623465297446</c:v>
                </c:pt>
                <c:pt idx="478">
                  <c:v>-74.047258361583204</c:v>
                </c:pt>
                <c:pt idx="479">
                  <c:v>-74.231034210135746</c:v>
                </c:pt>
                <c:pt idx="480">
                  <c:v>-74.413957424493418</c:v>
                </c:pt>
                <c:pt idx="481">
                  <c:v>-74.600174509252824</c:v>
                </c:pt>
                <c:pt idx="482">
                  <c:v>-74.785513221700057</c:v>
                </c:pt>
                <c:pt idx="483">
                  <c:v>-74.969980417824175</c:v>
                </c:pt>
                <c:pt idx="484">
                  <c:v>-75.15358294563957</c:v>
                </c:pt>
                <c:pt idx="485">
                  <c:v>-75.340517178144438</c:v>
                </c:pt>
                <c:pt idx="486">
                  <c:v>-75.52656100504781</c:v>
                </c:pt>
                <c:pt idx="487">
                  <c:v>-75.711721714351015</c:v>
                </c:pt>
                <c:pt idx="488">
                  <c:v>-75.896006574266067</c:v>
                </c:pt>
                <c:pt idx="489">
                  <c:v>-76.083782322715109</c:v>
                </c:pt>
                <c:pt idx="490">
                  <c:v>-76.270655334155762</c:v>
                </c:pt>
                <c:pt idx="491">
                  <c:v>-76.456633329070769</c:v>
                </c:pt>
                <c:pt idx="492">
                  <c:v>-76.641723996401964</c:v>
                </c:pt>
                <c:pt idx="493">
                  <c:v>-76.830211403970395</c:v>
                </c:pt>
                <c:pt idx="494">
                  <c:v>-77.017785884136501</c:v>
                </c:pt>
                <c:pt idx="495">
                  <c:v>-77.204455559383177</c:v>
                </c:pt>
                <c:pt idx="496">
                  <c:v>-77.390228509118245</c:v>
                </c:pt>
                <c:pt idx="497">
                  <c:v>-77.579426973252907</c:v>
                </c:pt>
                <c:pt idx="498">
                  <c:v>-77.767703244903259</c:v>
                </c:pt>
                <c:pt idx="499">
                  <c:v>-77.955065832405367</c:v>
                </c:pt>
                <c:pt idx="500">
                  <c:v>-78.141523189669087</c:v>
                </c:pt>
                <c:pt idx="501">
                  <c:v>-78.331432200379609</c:v>
                </c:pt>
                <c:pt idx="502">
                  <c:v>-78.520410688487303</c:v>
                </c:pt>
                <c:pt idx="503">
                  <c:v>-78.708467531412822</c:v>
                </c:pt>
                <c:pt idx="504">
                  <c:v>-78.895611541001557</c:v>
                </c:pt>
                <c:pt idx="505">
                  <c:v>-79.086115654964757</c:v>
                </c:pt>
                <c:pt idx="506">
                  <c:v>-79.275682989042764</c:v>
                </c:pt>
                <c:pt idx="507">
                  <c:v>-79.464322755638193</c:v>
                </c:pt>
                <c:pt idx="508">
                  <c:v>-79.652044090840107</c:v>
                </c:pt>
                <c:pt idx="509">
                  <c:v>-79.843150350905091</c:v>
                </c:pt>
                <c:pt idx="510">
                  <c:v>-80.033314458918582</c:v>
                </c:pt>
                <c:pt idx="511">
                  <c:v>-80.222545944067889</c:v>
                </c:pt>
                <c:pt idx="512">
                  <c:v>-80.41085424877889</c:v>
                </c:pt>
                <c:pt idx="513">
                  <c:v>-80.602680973344278</c:v>
                </c:pt>
                <c:pt idx="514">
                  <c:v>-80.793559964732921</c:v>
                </c:pt>
                <c:pt idx="515">
                  <c:v>-80.983501067333748</c:v>
                </c:pt>
                <c:pt idx="516">
                  <c:v>-81.172514028409282</c:v>
                </c:pt>
                <c:pt idx="517">
                  <c:v>-81.364954250972772</c:v>
                </c:pt>
                <c:pt idx="518">
                  <c:v>-81.556443171809846</c:v>
                </c:pt>
                <c:pt idx="519">
                  <c:v>-81.746990914378671</c:v>
                </c:pt>
                <c:pt idx="520">
                  <c:v>-81.936607495181562</c:v>
                </c:pt>
                <c:pt idx="521">
                  <c:v>-82.12967029618757</c:v>
                </c:pt>
                <c:pt idx="522">
                  <c:v>-82.321779096575455</c:v>
                </c:pt>
                <c:pt idx="523">
                  <c:v>-82.512944279488991</c:v>
                </c:pt>
                <c:pt idx="524">
                  <c:v>-82.703176111636466</c:v>
                </c:pt>
                <c:pt idx="525">
                  <c:v>-82.896871508498819</c:v>
                </c:pt>
                <c:pt idx="526">
                  <c:v>-83.089611063865732</c:v>
                </c:pt>
                <c:pt idx="527">
                  <c:v>-83.281405400891074</c:v>
                </c:pt>
                <c:pt idx="528">
                  <c:v>-83.472265017181869</c:v>
                </c:pt>
                <c:pt idx="529">
                  <c:v>-83.666604087446217</c:v>
                </c:pt>
                <c:pt idx="530">
                  <c:v>-83.859986318588909</c:v>
                </c:pt>
                <c:pt idx="531">
                  <c:v>-84.052422553857582</c:v>
                </c:pt>
                <c:pt idx="532">
                  <c:v>-84.243923502229663</c:v>
                </c:pt>
                <c:pt idx="533">
                  <c:v>-84.439018911526574</c:v>
                </c:pt>
                <c:pt idx="534">
                  <c:v>-84.633156326779897</c:v>
                </c:pt>
                <c:pt idx="535">
                  <c:v>-84.826346808235627</c:v>
                </c:pt>
                <c:pt idx="536">
                  <c:v>-85.01860127325881</c:v>
                </c:pt>
                <c:pt idx="537">
                  <c:v>-85.214263743366288</c:v>
                </c:pt>
                <c:pt idx="538">
                  <c:v>-85.408969857036951</c:v>
                </c:pt>
                <c:pt idx="539">
                  <c:v>-85.602730836994567</c:v>
                </c:pt>
                <c:pt idx="540">
                  <c:v>-85.795557755483941</c:v>
                </c:pt>
                <c:pt idx="541">
                  <c:v>-85.992001114502358</c:v>
                </c:pt>
                <c:pt idx="542">
                  <c:v>-86.187488593141779</c:v>
                </c:pt>
                <c:pt idx="543">
                  <c:v>-86.382031590373927</c:v>
                </c:pt>
                <c:pt idx="544">
                  <c:v>-86.575641346925337</c:v>
                </c:pt>
                <c:pt idx="545">
                  <c:v>-86.772781545618372</c:v>
                </c:pt>
                <c:pt idx="546">
                  <c:v>-86.968968075710407</c:v>
                </c:pt>
                <c:pt idx="547">
                  <c:v>-87.164212474960948</c:v>
                </c:pt>
                <c:pt idx="548">
                  <c:v>-87.358526115878519</c:v>
                </c:pt>
                <c:pt idx="549">
                  <c:v>-87.556380959526891</c:v>
                </c:pt>
                <c:pt idx="550">
                  <c:v>-87.753285069968484</c:v>
                </c:pt>
                <c:pt idx="551">
                  <c:v>-87.949250103585882</c:v>
                </c:pt>
                <c:pt idx="552">
                  <c:v>-88.144287544970254</c:v>
                </c:pt>
                <c:pt idx="553">
                  <c:v>-88.342967468756285</c:v>
                </c:pt>
                <c:pt idx="554">
                  <c:v>-88.540699419702221</c:v>
                </c:pt>
                <c:pt idx="555">
                  <c:v>-88.73749516894415</c:v>
                </c:pt>
                <c:pt idx="556">
                  <c:v>-88.933366309436295</c:v>
                </c:pt>
                <c:pt idx="557">
                  <c:v>-89.331463038734398</c:v>
                </c:pt>
                <c:pt idx="558">
                  <c:v>-89.725829094794733</c:v>
                </c:pt>
                <c:pt idx="559">
                  <c:v>-90.12547129021894</c:v>
                </c:pt>
                <c:pt idx="560">
                  <c:v>-90.521403010987726</c:v>
                </c:pt>
                <c:pt idx="561">
                  <c:v>-90.92298219476487</c:v>
                </c:pt>
                <c:pt idx="562">
                  <c:v>-91.320867088863082</c:v>
                </c:pt>
                <c:pt idx="563">
                  <c:v>-91.723573574316717</c:v>
                </c:pt>
                <c:pt idx="564">
                  <c:v>-92.122619754121445</c:v>
                </c:pt>
                <c:pt idx="565">
                  <c:v>-92.528023786883537</c:v>
                </c:pt>
                <c:pt idx="566">
                  <c:v>-92.929776090255842</c:v>
                </c:pt>
                <c:pt idx="567">
                  <c:v>-93.337718354911132</c:v>
                </c:pt>
                <c:pt idx="568">
                  <c:v>-93.742023572942671</c:v>
                </c:pt>
                <c:pt idx="569">
                  <c:v>-94.150765924921018</c:v>
                </c:pt>
                <c:pt idx="570">
                  <c:v>-94.555919308269495</c:v>
                </c:pt>
                <c:pt idx="571">
                  <c:v>-94.968554640977658</c:v>
                </c:pt>
                <c:pt idx="572">
                  <c:v>-95.377597712792436</c:v>
                </c:pt>
                <c:pt idx="573">
                  <c:v>-95.79084891145402</c:v>
                </c:pt>
                <c:pt idx="574">
                  <c:v>-96.200563813170461</c:v>
                </c:pt>
                <c:pt idx="575">
                  <c:v>-96.61744117939179</c:v>
                </c:pt>
                <c:pt idx="576">
                  <c:v>-97.030789118307311</c:v>
                </c:pt>
                <c:pt idx="577">
                  <c:v>-98.743716800927331</c:v>
                </c:pt>
                <c:pt idx="578">
                  <c:v>-100.40143488103307</c:v>
                </c:pt>
                <c:pt idx="579">
                  <c:v>-103.86708566733665</c:v>
                </c:pt>
                <c:pt idx="580">
                  <c:v>-107.45017748739016</c:v>
                </c:pt>
                <c:pt idx="581">
                  <c:v>-111.16301887978152</c:v>
                </c:pt>
                <c:pt idx="582">
                  <c:v>-115.02548213366467</c:v>
                </c:pt>
                <c:pt idx="583">
                  <c:v>-119.05175206290365</c:v>
                </c:pt>
                <c:pt idx="584">
                  <c:v>-123.26091837555944</c:v>
                </c:pt>
                <c:pt idx="585">
                  <c:v>-127.66507994238859</c:v>
                </c:pt>
                <c:pt idx="586">
                  <c:v>-132.2770794633241</c:v>
                </c:pt>
                <c:pt idx="587">
                  <c:v>-137.10900225519518</c:v>
                </c:pt>
                <c:pt idx="588">
                  <c:v>-142.16236133537961</c:v>
                </c:pt>
                <c:pt idx="589">
                  <c:v>-147.44344877381477</c:v>
                </c:pt>
                <c:pt idx="590">
                  <c:v>-152.94841163845746</c:v>
                </c:pt>
                <c:pt idx="591">
                  <c:v>-158.67132754776799</c:v>
                </c:pt>
                <c:pt idx="592">
                  <c:v>-164.60051349195535</c:v>
                </c:pt>
                <c:pt idx="593">
                  <c:v>-170.72251851182148</c:v>
                </c:pt>
                <c:pt idx="594">
                  <c:v>-177.0164824147069</c:v>
                </c:pt>
                <c:pt idx="595">
                  <c:v>-183.46079788902318</c:v>
                </c:pt>
                <c:pt idx="596">
                  <c:v>-190.02817049538982</c:v>
                </c:pt>
                <c:pt idx="597">
                  <c:v>-196.69143715094538</c:v>
                </c:pt>
                <c:pt idx="598">
                  <c:v>-203.41833324204313</c:v>
                </c:pt>
                <c:pt idx="599">
                  <c:v>-210.17840968058624</c:v>
                </c:pt>
                <c:pt idx="600">
                  <c:v>-216.93739457342664</c:v>
                </c:pt>
              </c:numCache>
            </c:numRef>
          </c:yVal>
          <c:smooth val="0"/>
          <c:extLst>
            <c:ext xmlns:c16="http://schemas.microsoft.com/office/drawing/2014/chart" uri="{C3380CC4-5D6E-409C-BE32-E72D297353CC}">
              <c16:uniqueId val="{0000000B-4B49-4ADE-B8CD-DD5F374AD671}"/>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C-4B49-4ADE-B8CD-DD5F374AD671}"/>
              </c:ext>
            </c:extLst>
          </c:dPt>
          <c:xVal>
            <c:numRef>
              <c:f>'Stability Calculations'!$A$617:$A$618</c:f>
              <c:numCache>
                <c:formatCode>General</c:formatCode>
                <c:ptCount val="2"/>
                <c:pt idx="0">
                  <c:v>44928.25</c:v>
                </c:pt>
                <c:pt idx="1">
                  <c:v>44928.25</c:v>
                </c:pt>
              </c:numCache>
            </c:numRef>
          </c:xVal>
          <c:yVal>
            <c:numRef>
              <c:f>'Stability Calculations'!$R$617:$R$618</c:f>
              <c:numCache>
                <c:formatCode>0.00</c:formatCode>
                <c:ptCount val="2"/>
                <c:pt idx="0">
                  <c:v>-64.645928643044272</c:v>
                </c:pt>
                <c:pt idx="1">
                  <c:v>-135</c:v>
                </c:pt>
              </c:numCache>
            </c:numRef>
          </c:yVal>
          <c:smooth val="0"/>
          <c:extLst>
            <c:ext xmlns:c16="http://schemas.microsoft.com/office/drawing/2014/chart" uri="{C3380CC4-5D6E-409C-BE32-E72D297353CC}">
              <c16:uniqueId val="{0000000D-4B49-4ADE-B8CD-DD5F374AD671}"/>
            </c:ext>
          </c:extLst>
        </c:ser>
        <c:ser>
          <c:idx val="0"/>
          <c:order val="8"/>
          <c:tx>
            <c:v>Fc2</c:v>
          </c:tx>
          <c:spPr>
            <a:ln w="22225">
              <a:solidFill>
                <a:schemeClr val="tx1">
                  <a:lumMod val="50000"/>
                  <a:lumOff val="50000"/>
                </a:schemeClr>
              </a:solidFill>
              <a:prstDash val="sysDash"/>
            </a:ln>
          </c:spPr>
          <c:marker>
            <c:symbol val="none"/>
          </c:marker>
          <c:xVal>
            <c:numRef>
              <c:f>'Stability Calculations'!$A$619:$A$620</c:f>
              <c:numCache>
                <c:formatCode>General</c:formatCode>
                <c:ptCount val="2"/>
                <c:pt idx="0">
                  <c:v>44928.25</c:v>
                </c:pt>
                <c:pt idx="1">
                  <c:v>1000000</c:v>
                </c:pt>
              </c:numCache>
            </c:numRef>
          </c:xVal>
          <c:yVal>
            <c:numRef>
              <c:f>'Stability Calculations'!$R$619:$R$620</c:f>
              <c:numCache>
                <c:formatCode>0.00</c:formatCode>
                <c:ptCount val="2"/>
                <c:pt idx="1">
                  <c:v>-64.645928643044272</c:v>
                </c:pt>
              </c:numCache>
            </c:numRef>
          </c:yVal>
          <c:smooth val="0"/>
          <c:extLst>
            <c:ext xmlns:c16="http://schemas.microsoft.com/office/drawing/2014/chart" uri="{C3380CC4-5D6E-409C-BE32-E72D297353CC}">
              <c16:uniqueId val="{0000000E-4B49-4ADE-B8CD-DD5F374AD671}"/>
            </c:ext>
          </c:extLst>
        </c:ser>
        <c:dLbls>
          <c:showLegendKey val="0"/>
          <c:showVal val="0"/>
          <c:showCatName val="0"/>
          <c:showSerName val="0"/>
          <c:showPercent val="0"/>
          <c:showBubbleSize val="0"/>
        </c:dLbls>
        <c:axId val="165660160"/>
        <c:axId val="165661696"/>
      </c:scatterChart>
      <c:valAx>
        <c:axId val="165647872"/>
        <c:scaling>
          <c:logBase val="10"/>
          <c:orientation val="minMax"/>
          <c:max val="1000000"/>
          <c:min val="1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65649792"/>
        <c:crossesAt val="-80"/>
        <c:crossBetween val="midCat"/>
      </c:valAx>
      <c:valAx>
        <c:axId val="165649792"/>
        <c:scaling>
          <c:orientation val="minMax"/>
          <c:max val="8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65647872"/>
        <c:crossesAt val="1.0000000000000005E-2"/>
        <c:crossBetween val="midCat"/>
        <c:majorUnit val="20"/>
      </c:valAx>
      <c:valAx>
        <c:axId val="165660160"/>
        <c:scaling>
          <c:logBase val="10"/>
          <c:orientation val="minMax"/>
        </c:scaling>
        <c:delete val="1"/>
        <c:axPos val="b"/>
        <c:numFmt formatCode="General" sourceLinked="1"/>
        <c:majorTickMark val="out"/>
        <c:minorTickMark val="none"/>
        <c:tickLblPos val="none"/>
        <c:crossAx val="165661696"/>
        <c:crosses val="autoZero"/>
        <c:crossBetween val="midCat"/>
      </c:valAx>
      <c:valAx>
        <c:axId val="165661696"/>
        <c:scaling>
          <c:orientation val="minMax"/>
          <c:max val="-45"/>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65660160"/>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(Ch2),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10BD-4998-8A98-65686C23F2C0}"/>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Calculations'!$A$627</c:f>
              <c:numCache>
                <c:formatCode>0</c:formatCode>
                <c:ptCount val="1"/>
                <c:pt idx="0">
                  <c:v>1017886.0502993048</c:v>
                </c:pt>
              </c:numCache>
            </c:numRef>
          </c:xVal>
          <c:yVal>
            <c:numRef>
              <c:f>'Ch2 Stability Calculations'!$Q$627</c:f>
              <c:numCache>
                <c:formatCode>0.00</c:formatCode>
                <c:ptCount val="1"/>
                <c:pt idx="0">
                  <c:v>-14.783824543836745</c:v>
                </c:pt>
              </c:numCache>
            </c:numRef>
          </c:yVal>
          <c:smooth val="0"/>
          <c:extLst>
            <c:ext xmlns:c16="http://schemas.microsoft.com/office/drawing/2014/chart" uri="{C3380CC4-5D6E-409C-BE32-E72D297353CC}">
              <c16:uniqueId val="{00000001-10BD-4998-8A98-65686C23F2C0}"/>
            </c:ext>
          </c:extLst>
        </c:ser>
        <c:dLbls>
          <c:showLegendKey val="0"/>
          <c:showVal val="0"/>
          <c:showCatName val="0"/>
          <c:showSerName val="0"/>
          <c:showPercent val="0"/>
          <c:showBubbleSize val="0"/>
        </c:dLbls>
        <c:axId val="185161600"/>
        <c:axId val="185188352"/>
      </c:scatterChart>
      <c:scatterChart>
        <c:scatterStyle val="smoothMarker"/>
        <c:varyColors val="0"/>
        <c:ser>
          <c:idx val="2"/>
          <c:order val="0"/>
          <c:tx>
            <c:v>Loop Gain</c:v>
          </c:tx>
          <c:spPr>
            <a:ln w="31750">
              <a:solidFill>
                <a:srgbClr val="FF0000"/>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Calculations'!$Q$13:$Q$613</c:f>
              <c:numCache>
                <c:formatCode>0.00</c:formatCode>
                <c:ptCount val="601"/>
                <c:pt idx="0">
                  <c:v>90.554381466353362</c:v>
                </c:pt>
                <c:pt idx="1">
                  <c:v>89.91703837774287</c:v>
                </c:pt>
                <c:pt idx="2">
                  <c:v>89.25718122074241</c:v>
                </c:pt>
                <c:pt idx="3">
                  <c:v>88.577329995733365</c:v>
                </c:pt>
                <c:pt idx="4">
                  <c:v>87.880344193531826</c:v>
                </c:pt>
                <c:pt idx="5">
                  <c:v>87.167288419613953</c:v>
                </c:pt>
                <c:pt idx="6">
                  <c:v>86.441203740019716</c:v>
                </c:pt>
                <c:pt idx="7">
                  <c:v>85.703454807704702</c:v>
                </c:pt>
                <c:pt idx="8">
                  <c:v>84.956217878851731</c:v>
                </c:pt>
                <c:pt idx="9">
                  <c:v>84.200368108673715</c:v>
                </c:pt>
                <c:pt idx="10">
                  <c:v>83.437593103478804</c:v>
                </c:pt>
                <c:pt idx="11">
                  <c:v>82.668872269269599</c:v>
                </c:pt>
                <c:pt idx="12">
                  <c:v>81.894728440023556</c:v>
                </c:pt>
                <c:pt idx="13">
                  <c:v>81.116702722318323</c:v>
                </c:pt>
                <c:pt idx="14">
                  <c:v>80.334853834156362</c:v>
                </c:pt>
                <c:pt idx="15">
                  <c:v>79.550056485582516</c:v>
                </c:pt>
                <c:pt idx="16">
                  <c:v>78.762733810191619</c:v>
                </c:pt>
                <c:pt idx="17">
                  <c:v>77.97340770948891</c:v>
                </c:pt>
                <c:pt idx="18">
                  <c:v>77.182193076230291</c:v>
                </c:pt>
                <c:pt idx="19">
                  <c:v>76.389590917760174</c:v>
                </c:pt>
                <c:pt idx="20">
                  <c:v>75.595684650111991</c:v>
                </c:pt>
                <c:pt idx="21">
                  <c:v>74.80083782106108</c:v>
                </c:pt>
                <c:pt idx="22">
                  <c:v>74.00504882563294</c:v>
                </c:pt>
                <c:pt idx="23">
                  <c:v>73.20865475660365</c:v>
                </c:pt>
                <c:pt idx="24">
                  <c:v>72.411569713603186</c:v>
                </c:pt>
                <c:pt idx="25">
                  <c:v>71.614014227970188</c:v>
                </c:pt>
                <c:pt idx="26">
                  <c:v>70.815883338011304</c:v>
                </c:pt>
                <c:pt idx="27">
                  <c:v>70.017498516513243</c:v>
                </c:pt>
                <c:pt idx="28">
                  <c:v>69.218885011698205</c:v>
                </c:pt>
                <c:pt idx="29">
                  <c:v>68.420586105786768</c:v>
                </c:pt>
                <c:pt idx="30">
                  <c:v>67.621291116472136</c:v>
                </c:pt>
                <c:pt idx="31">
                  <c:v>66.822149835227322</c:v>
                </c:pt>
                <c:pt idx="32">
                  <c:v>66.022648178944067</c:v>
                </c:pt>
                <c:pt idx="33">
                  <c:v>65.223379651359437</c:v>
                </c:pt>
                <c:pt idx="34">
                  <c:v>64.423748299705622</c:v>
                </c:pt>
                <c:pt idx="35">
                  <c:v>63.624221799548394</c:v>
                </c:pt>
                <c:pt idx="36">
                  <c:v>62.824693186991773</c:v>
                </c:pt>
                <c:pt idx="37">
                  <c:v>62.024745427226236</c:v>
                </c:pt>
                <c:pt idx="38">
                  <c:v>61.225152299530457</c:v>
                </c:pt>
                <c:pt idx="39">
                  <c:v>60.425280235989476</c:v>
                </c:pt>
                <c:pt idx="40">
                  <c:v>59.625441065762523</c:v>
                </c:pt>
                <c:pt idx="41">
                  <c:v>58.825574036524266</c:v>
                </c:pt>
                <c:pt idx="42">
                  <c:v>58.025796178655753</c:v>
                </c:pt>
                <c:pt idx="43">
                  <c:v>57.225878090738142</c:v>
                </c:pt>
                <c:pt idx="44">
                  <c:v>56.426037125030184</c:v>
                </c:pt>
                <c:pt idx="45">
                  <c:v>55.626115820842649</c:v>
                </c:pt>
                <c:pt idx="46">
                  <c:v>54.826279098673638</c:v>
                </c:pt>
                <c:pt idx="47">
                  <c:v>54.026357820360154</c:v>
                </c:pt>
                <c:pt idx="48">
                  <c:v>53.226551798243676</c:v>
                </c:pt>
                <c:pt idx="49">
                  <c:v>52.42665974099458</c:v>
                </c:pt>
                <c:pt idx="50">
                  <c:v>51.626808293199026</c:v>
                </c:pt>
                <c:pt idx="51">
                  <c:v>50.826814700836962</c:v>
                </c:pt>
                <c:pt idx="52">
                  <c:v>50.0269382238194</c:v>
                </c:pt>
                <c:pt idx="53">
                  <c:v>49.227153545722246</c:v>
                </c:pt>
                <c:pt idx="54">
                  <c:v>48.427964742932346</c:v>
                </c:pt>
                <c:pt idx="55">
                  <c:v>47.62802960989746</c:v>
                </c:pt>
                <c:pt idx="56">
                  <c:v>46.828477375624374</c:v>
                </c:pt>
                <c:pt idx="57">
                  <c:v>46.028779683698005</c:v>
                </c:pt>
                <c:pt idx="58">
                  <c:v>45.229523449825123</c:v>
                </c:pt>
                <c:pt idx="59">
                  <c:v>44.430113058992795</c:v>
                </c:pt>
                <c:pt idx="60">
                  <c:v>43.631023495643689</c:v>
                </c:pt>
                <c:pt idx="61">
                  <c:v>42.832162435625953</c:v>
                </c:pt>
                <c:pt idx="62">
                  <c:v>42.033135771178955</c:v>
                </c:pt>
                <c:pt idx="63">
                  <c:v>41.234747284878132</c:v>
                </c:pt>
                <c:pt idx="64">
                  <c:v>40.436404670047409</c:v>
                </c:pt>
                <c:pt idx="65">
                  <c:v>39.638470416477297</c:v>
                </c:pt>
                <c:pt idx="66">
                  <c:v>38.840947401565579</c:v>
                </c:pt>
                <c:pt idx="67">
                  <c:v>38.044030093283503</c:v>
                </c:pt>
                <c:pt idx="68">
                  <c:v>37.247584562307217</c:v>
                </c:pt>
                <c:pt idx="69">
                  <c:v>36.451941490433001</c:v>
                </c:pt>
                <c:pt idx="70">
                  <c:v>35.657081439589426</c:v>
                </c:pt>
                <c:pt idx="71">
                  <c:v>34.86333234274543</c:v>
                </c:pt>
                <c:pt idx="72">
                  <c:v>34.070721847004705</c:v>
                </c:pt>
                <c:pt idx="73">
                  <c:v>33.27967986514026</c:v>
                </c:pt>
                <c:pt idx="74">
                  <c:v>32.490281543122123</c:v>
                </c:pt>
                <c:pt idx="75">
                  <c:v>31.702974888114991</c:v>
                </c:pt>
                <c:pt idx="76">
                  <c:v>30.917958689577127</c:v>
                </c:pt>
                <c:pt idx="77">
                  <c:v>30.135927882328307</c:v>
                </c:pt>
                <c:pt idx="78">
                  <c:v>29.357365696488536</c:v>
                </c:pt>
                <c:pt idx="79">
                  <c:v>28.583341319167989</c:v>
                </c:pt>
                <c:pt idx="80">
                  <c:v>27.813218093245236</c:v>
                </c:pt>
                <c:pt idx="81">
                  <c:v>27.048828188397621</c:v>
                </c:pt>
                <c:pt idx="82">
                  <c:v>26.290482962736505</c:v>
                </c:pt>
                <c:pt idx="83">
                  <c:v>25.53962089283899</c:v>
                </c:pt>
                <c:pt idx="84">
                  <c:v>24.796613319075473</c:v>
                </c:pt>
                <c:pt idx="85">
                  <c:v>24.062853915884265</c:v>
                </c:pt>
                <c:pt idx="86">
                  <c:v>23.339181880076971</c:v>
                </c:pt>
                <c:pt idx="87">
                  <c:v>22.626095877939257</c:v>
                </c:pt>
                <c:pt idx="88">
                  <c:v>21.925013521777608</c:v>
                </c:pt>
                <c:pt idx="89">
                  <c:v>21.235882169364466</c:v>
                </c:pt>
                <c:pt idx="90">
                  <c:v>20.559171285561494</c:v>
                </c:pt>
                <c:pt idx="91">
                  <c:v>19.894630599783866</c:v>
                </c:pt>
                <c:pt idx="92">
                  <c:v>19.241692722460062</c:v>
                </c:pt>
                <c:pt idx="93">
                  <c:v>18.598999779000994</c:v>
                </c:pt>
                <c:pt idx="94">
                  <c:v>18.439822891314734</c:v>
                </c:pt>
                <c:pt idx="95">
                  <c:v>18.359937557197167</c:v>
                </c:pt>
                <c:pt idx="96">
                  <c:v>18.281090236387985</c:v>
                </c:pt>
                <c:pt idx="97">
                  <c:v>18.201459350846974</c:v>
                </c:pt>
                <c:pt idx="98">
                  <c:v>18.122855041071439</c:v>
                </c:pt>
                <c:pt idx="99">
                  <c:v>18.043441382541474</c:v>
                </c:pt>
                <c:pt idx="100">
                  <c:v>17.965043158088029</c:v>
                </c:pt>
                <c:pt idx="101">
                  <c:v>17.885870317323242</c:v>
                </c:pt>
                <c:pt idx="102">
                  <c:v>17.807700535675085</c:v>
                </c:pt>
                <c:pt idx="103">
                  <c:v>17.728673647807895</c:v>
                </c:pt>
                <c:pt idx="104">
                  <c:v>17.650639212073006</c:v>
                </c:pt>
                <c:pt idx="105">
                  <c:v>17.571782732601349</c:v>
                </c:pt>
                <c:pt idx="106">
                  <c:v>17.493906883729174</c:v>
                </c:pt>
                <c:pt idx="107">
                  <c:v>17.415241324810079</c:v>
                </c:pt>
                <c:pt idx="108">
                  <c:v>17.337543518215426</c:v>
                </c:pt>
                <c:pt idx="109">
                  <c:v>17.259032669385931</c:v>
                </c:pt>
                <c:pt idx="110">
                  <c:v>17.181477073043723</c:v>
                </c:pt>
                <c:pt idx="111">
                  <c:v>17.103034716221348</c:v>
                </c:pt>
                <c:pt idx="112">
                  <c:v>17.025536702681144</c:v>
                </c:pt>
                <c:pt idx="113">
                  <c:v>16.947184463890956</c:v>
                </c:pt>
                <c:pt idx="114">
                  <c:v>16.869764679431032</c:v>
                </c:pt>
                <c:pt idx="115">
                  <c:v>16.791471349862789</c:v>
                </c:pt>
                <c:pt idx="116">
                  <c:v>16.714098915567757</c:v>
                </c:pt>
                <c:pt idx="117">
                  <c:v>16.635834799290173</c:v>
                </c:pt>
                <c:pt idx="118">
                  <c:v>16.558480344768405</c:v>
                </c:pt>
                <c:pt idx="119">
                  <c:v>16.480264343774639</c:v>
                </c:pt>
                <c:pt idx="120">
                  <c:v>16.402946024404667</c:v>
                </c:pt>
                <c:pt idx="121">
                  <c:v>16.324748060736866</c:v>
                </c:pt>
                <c:pt idx="122">
                  <c:v>16.247436236382555</c:v>
                </c:pt>
                <c:pt idx="123">
                  <c:v>16.169182739909942</c:v>
                </c:pt>
                <c:pt idx="124">
                  <c:v>16.091805279433423</c:v>
                </c:pt>
                <c:pt idx="125">
                  <c:v>16.01351630001259</c:v>
                </c:pt>
                <c:pt idx="126">
                  <c:v>15.936092635327563</c:v>
                </c:pt>
                <c:pt idx="127">
                  <c:v>15.857742558810621</c:v>
                </c:pt>
                <c:pt idx="128">
                  <c:v>15.780247531871737</c:v>
                </c:pt>
                <c:pt idx="129">
                  <c:v>15.701812210369994</c:v>
                </c:pt>
                <c:pt idx="130">
                  <c:v>15.624222139139787</c:v>
                </c:pt>
                <c:pt idx="131">
                  <c:v>15.545678874992788</c:v>
                </c:pt>
                <c:pt idx="132">
                  <c:v>15.506722192030228</c:v>
                </c:pt>
                <c:pt idx="133">
                  <c:v>15.46797153875697</c:v>
                </c:pt>
                <c:pt idx="134">
                  <c:v>15.428510148750174</c:v>
                </c:pt>
                <c:pt idx="135">
                  <c:v>15.389258675205442</c:v>
                </c:pt>
                <c:pt idx="136">
                  <c:v>15.350214169651608</c:v>
                </c:pt>
                <c:pt idx="137">
                  <c:v>15.311373748200189</c:v>
                </c:pt>
                <c:pt idx="138">
                  <c:v>15.271859648302327</c:v>
                </c:pt>
                <c:pt idx="139">
                  <c:v>15.232553103111602</c:v>
                </c:pt>
                <c:pt idx="140">
                  <c:v>15.193451226590295</c:v>
                </c:pt>
                <c:pt idx="141">
                  <c:v>15.154551196211351</c:v>
                </c:pt>
                <c:pt idx="142">
                  <c:v>15.114934913733769</c:v>
                </c:pt>
                <c:pt idx="143">
                  <c:v>15.075524374454472</c:v>
                </c:pt>
                <c:pt idx="144">
                  <c:v>15.036316746270511</c:v>
                </c:pt>
                <c:pt idx="145">
                  <c:v>14.997309259698886</c:v>
                </c:pt>
                <c:pt idx="146">
                  <c:v>14.957602523820743</c:v>
                </c:pt>
                <c:pt idx="147">
                  <c:v>14.91809963702581</c:v>
                </c:pt>
                <c:pt idx="148">
                  <c:v>14.878797825657495</c:v>
                </c:pt>
                <c:pt idx="149">
                  <c:v>14.839694377586</c:v>
                </c:pt>
                <c:pt idx="150">
                  <c:v>14.799889333753203</c:v>
                </c:pt>
                <c:pt idx="151">
                  <c:v>14.760286378591934</c:v>
                </c:pt>
                <c:pt idx="152">
                  <c:v>14.720882796727112</c:v>
                </c:pt>
                <c:pt idx="153">
                  <c:v>14.681675933148792</c:v>
                </c:pt>
                <c:pt idx="154">
                  <c:v>14.641747130426438</c:v>
                </c:pt>
                <c:pt idx="155">
                  <c:v>14.602018974899638</c:v>
                </c:pt>
                <c:pt idx="156">
                  <c:v>14.562488805447583</c:v>
                </c:pt>
                <c:pt idx="157">
                  <c:v>14.523154020196733</c:v>
                </c:pt>
                <c:pt idx="158">
                  <c:v>14.483096136302173</c:v>
                </c:pt>
                <c:pt idx="159">
                  <c:v>14.443237579570791</c:v>
                </c:pt>
                <c:pt idx="160">
                  <c:v>14.403575742919596</c:v>
                </c:pt>
                <c:pt idx="161">
                  <c:v>14.364108077324893</c:v>
                </c:pt>
                <c:pt idx="162">
                  <c:v>14.323934059360168</c:v>
                </c:pt>
                <c:pt idx="163">
                  <c:v>14.283957999279338</c:v>
                </c:pt>
                <c:pt idx="164">
                  <c:v>14.244177346874878</c:v>
                </c:pt>
                <c:pt idx="165">
                  <c:v>14.204589608649274</c:v>
                </c:pt>
                <c:pt idx="166">
                  <c:v>14.164259906841375</c:v>
                </c:pt>
                <c:pt idx="167">
                  <c:v>14.124127268692813</c:v>
                </c:pt>
                <c:pt idx="168">
                  <c:v>14.084189193370198</c:v>
                </c:pt>
                <c:pt idx="169">
                  <c:v>14.044443235545058</c:v>
                </c:pt>
                <c:pt idx="170">
                  <c:v>14.004040219643274</c:v>
                </c:pt>
                <c:pt idx="171">
                  <c:v>13.963832667885532</c:v>
                </c:pt>
                <c:pt idx="172">
                  <c:v>13.923818143395557</c:v>
                </c:pt>
                <c:pt idx="173">
                  <c:v>13.883994263091775</c:v>
                </c:pt>
                <c:pt idx="174">
                  <c:v>13.84336189371297</c:v>
                </c:pt>
                <c:pt idx="175">
                  <c:v>13.802924996163355</c:v>
                </c:pt>
                <c:pt idx="176">
                  <c:v>13.76268116865411</c:v>
                </c:pt>
                <c:pt idx="177">
                  <c:v>13.722628062253108</c:v>
                </c:pt>
                <c:pt idx="178">
                  <c:v>13.681785454706205</c:v>
                </c:pt>
                <c:pt idx="179">
                  <c:v>13.641138234495605</c:v>
                </c:pt>
                <c:pt idx="180">
                  <c:v>13.600684037890833</c:v>
                </c:pt>
                <c:pt idx="181">
                  <c:v>13.560420552917225</c:v>
                </c:pt>
                <c:pt idx="182">
                  <c:v>13.51954592405438</c:v>
                </c:pt>
                <c:pt idx="183">
                  <c:v>13.478865010750557</c:v>
                </c:pt>
                <c:pt idx="184">
                  <c:v>13.438375516365436</c:v>
                </c:pt>
                <c:pt idx="185">
                  <c:v>13.398075194003184</c:v>
                </c:pt>
                <c:pt idx="186">
                  <c:v>13.35686331043763</c:v>
                </c:pt>
                <c:pt idx="187">
                  <c:v>13.315846473465392</c:v>
                </c:pt>
                <c:pt idx="188">
                  <c:v>13.275022400623818</c:v>
                </c:pt>
                <c:pt idx="189">
                  <c:v>13.234388858640315</c:v>
                </c:pt>
                <c:pt idx="190">
                  <c:v>13.193173624495797</c:v>
                </c:pt>
                <c:pt idx="191">
                  <c:v>13.152151729610996</c:v>
                </c:pt>
                <c:pt idx="192">
                  <c:v>13.111320958908506</c:v>
                </c:pt>
                <c:pt idx="193">
                  <c:v>13.070679144364243</c:v>
                </c:pt>
                <c:pt idx="194">
                  <c:v>13.029166040512532</c:v>
                </c:pt>
                <c:pt idx="195">
                  <c:v>12.987847450430515</c:v>
                </c:pt>
                <c:pt idx="196">
                  <c:v>12.946721176622908</c:v>
                </c:pt>
                <c:pt idx="197">
                  <c:v>12.905785067863761</c:v>
                </c:pt>
                <c:pt idx="198">
                  <c:v>12.864146813250851</c:v>
                </c:pt>
                <c:pt idx="199">
                  <c:v>12.822702743095217</c:v>
                </c:pt>
                <c:pt idx="200">
                  <c:v>12.78145070273659</c:v>
                </c:pt>
                <c:pt idx="201">
                  <c:v>12.740388582238291</c:v>
                </c:pt>
                <c:pt idx="202">
                  <c:v>12.698640478749713</c:v>
                </c:pt>
                <c:pt idx="203">
                  <c:v>12.657086208958006</c:v>
                </c:pt>
                <c:pt idx="204">
                  <c:v>12.615723660441072</c:v>
                </c:pt>
                <c:pt idx="205">
                  <c:v>12.574550763932542</c:v>
                </c:pt>
                <c:pt idx="206">
                  <c:v>12.532564691433873</c:v>
                </c:pt>
                <c:pt idx="207">
                  <c:v>12.490773404856164</c:v>
                </c:pt>
                <c:pt idx="208">
                  <c:v>12.449174811942205</c:v>
                </c:pt>
                <c:pt idx="209">
                  <c:v>12.407766862582644</c:v>
                </c:pt>
                <c:pt idx="210">
                  <c:v>12.365424732293162</c:v>
                </c:pt>
                <c:pt idx="211">
                  <c:v>12.323279543318899</c:v>
                </c:pt>
                <c:pt idx="212">
                  <c:v>12.281329203851287</c:v>
                </c:pt>
                <c:pt idx="213">
                  <c:v>12.239571663700485</c:v>
                </c:pt>
                <c:pt idx="214">
                  <c:v>12.197178265871871</c:v>
                </c:pt>
                <c:pt idx="215">
                  <c:v>12.154981249327523</c:v>
                </c:pt>
                <c:pt idx="216">
                  <c:v>12.112978564825227</c:v>
                </c:pt>
                <c:pt idx="217">
                  <c:v>12.071168203069194</c:v>
                </c:pt>
                <c:pt idx="218">
                  <c:v>12.028601407446629</c:v>
                </c:pt>
                <c:pt idx="219">
                  <c:v>11.986231676039194</c:v>
                </c:pt>
                <c:pt idx="220">
                  <c:v>11.944056981144708</c:v>
                </c:pt>
                <c:pt idx="221">
                  <c:v>11.90207533386867</c:v>
                </c:pt>
                <c:pt idx="222">
                  <c:v>11.859355309275557</c:v>
                </c:pt>
                <c:pt idx="223">
                  <c:v>11.816832951288447</c:v>
                </c:pt>
                <c:pt idx="224">
                  <c:v>11.774506253565564</c:v>
                </c:pt>
                <c:pt idx="225">
                  <c:v>11.732373247425379</c:v>
                </c:pt>
                <c:pt idx="226">
                  <c:v>11.689389168699906</c:v>
                </c:pt>
                <c:pt idx="227">
                  <c:v>11.6466044853283</c:v>
                </c:pt>
                <c:pt idx="228">
                  <c:v>11.604017193884033</c:v>
                </c:pt>
                <c:pt idx="229">
                  <c:v>11.561625327899922</c:v>
                </c:pt>
                <c:pt idx="230">
                  <c:v>11.475382155366097</c:v>
                </c:pt>
                <c:pt idx="231">
                  <c:v>11.432560043390612</c:v>
                </c:pt>
                <c:pt idx="232">
                  <c:v>11.389934950989211</c:v>
                </c:pt>
                <c:pt idx="233">
                  <c:v>11.346500064568479</c:v>
                </c:pt>
                <c:pt idx="234">
                  <c:v>11.303267610388897</c:v>
                </c:pt>
                <c:pt idx="235">
                  <c:v>11.260235593248126</c:v>
                </c:pt>
                <c:pt idx="236">
                  <c:v>11.217402053408707</c:v>
                </c:pt>
                <c:pt idx="237">
                  <c:v>11.173901988521672</c:v>
                </c:pt>
                <c:pt idx="238">
                  <c:v>11.130604523822424</c:v>
                </c:pt>
                <c:pt idx="239">
                  <c:v>11.087507685700647</c:v>
                </c:pt>
                <c:pt idx="240">
                  <c:v>11.04460953485955</c:v>
                </c:pt>
                <c:pt idx="241">
                  <c:v>11.000818932328784</c:v>
                </c:pt>
                <c:pt idx="242">
                  <c:v>10.957233282172732</c:v>
                </c:pt>
                <c:pt idx="243">
                  <c:v>10.913850598850793</c:v>
                </c:pt>
                <c:pt idx="244">
                  <c:v>10.870668930770808</c:v>
                </c:pt>
                <c:pt idx="245">
                  <c:v>10.826736077491235</c:v>
                </c:pt>
                <c:pt idx="246">
                  <c:v>10.783009228737473</c:v>
                </c:pt>
                <c:pt idx="247">
                  <c:v>10.739486404352455</c:v>
                </c:pt>
                <c:pt idx="248">
                  <c:v>10.696165657378288</c:v>
                </c:pt>
                <c:pt idx="249">
                  <c:v>10.65199583620916</c:v>
                </c:pt>
                <c:pt idx="250">
                  <c:v>10.608034037077147</c:v>
                </c:pt>
                <c:pt idx="251">
                  <c:v>10.564278269716556</c:v>
                </c:pt>
                <c:pt idx="252">
                  <c:v>10.520726576673251</c:v>
                </c:pt>
                <c:pt idx="253">
                  <c:v>10.476461752337034</c:v>
                </c:pt>
                <c:pt idx="254">
                  <c:v>10.43240570714525</c:v>
                </c:pt>
                <c:pt idx="255">
                  <c:v>10.38855645715055</c:v>
                </c:pt>
                <c:pt idx="256">
                  <c:v>10.344912050491349</c:v>
                </c:pt>
                <c:pt idx="257">
                  <c:v>10.300347819121438</c:v>
                </c:pt>
                <c:pt idx="258">
                  <c:v>10.255995120480346</c:v>
                </c:pt>
                <c:pt idx="259">
                  <c:v>10.211851946968123</c:v>
                </c:pt>
                <c:pt idx="260">
                  <c:v>10.167916323010878</c:v>
                </c:pt>
                <c:pt idx="261">
                  <c:v>10.123194814654175</c:v>
                </c:pt>
                <c:pt idx="262">
                  <c:v>10.078686316453991</c:v>
                </c:pt>
                <c:pt idx="263">
                  <c:v>10.034388813806206</c:v>
                </c:pt>
                <c:pt idx="264">
                  <c:v>9.9903003237398345</c:v>
                </c:pt>
                <c:pt idx="265">
                  <c:v>9.945446088277798</c:v>
                </c:pt>
                <c:pt idx="266">
                  <c:v>9.9008061656392847</c:v>
                </c:pt>
                <c:pt idx="267">
                  <c:v>9.8563785351709488</c:v>
                </c:pt>
                <c:pt idx="268">
                  <c:v>9.8121612074692592</c:v>
                </c:pt>
                <c:pt idx="269">
                  <c:v>9.7670917655357528</c:v>
                </c:pt>
                <c:pt idx="270">
                  <c:v>9.7222387820805007</c:v>
                </c:pt>
                <c:pt idx="271">
                  <c:v>9.677600217063322</c:v>
                </c:pt>
                <c:pt idx="272">
                  <c:v>9.6331740616128414</c:v>
                </c:pt>
                <c:pt idx="273">
                  <c:v>9.587918037696193</c:v>
                </c:pt>
                <c:pt idx="274">
                  <c:v>9.5428803985399249</c:v>
                </c:pt>
                <c:pt idx="275">
                  <c:v>9.4980590864434848</c:v>
                </c:pt>
                <c:pt idx="276">
                  <c:v>9.4534520747855257</c:v>
                </c:pt>
                <c:pt idx="277">
                  <c:v>9.4081389726114057</c:v>
                </c:pt>
                <c:pt idx="278">
                  <c:v>9.363044980054239</c:v>
                </c:pt>
                <c:pt idx="279">
                  <c:v>9.3181680373484621</c:v>
                </c:pt>
                <c:pt idx="280">
                  <c:v>9.2735061154376872</c:v>
                </c:pt>
                <c:pt idx="281">
                  <c:v>9.2278561266027967</c:v>
                </c:pt>
                <c:pt idx="282">
                  <c:v>9.1824287229001413</c:v>
                </c:pt>
                <c:pt idx="283">
                  <c:v>9.1372218024733449</c:v>
                </c:pt>
                <c:pt idx="284">
                  <c:v>9.0922332946279258</c:v>
                </c:pt>
                <c:pt idx="285">
                  <c:v>9.0465777250241146</c:v>
                </c:pt>
                <c:pt idx="286">
                  <c:v>9.0011450404896944</c:v>
                </c:pt>
                <c:pt idx="287">
                  <c:v>8.9559331406865876</c:v>
                </c:pt>
                <c:pt idx="288">
                  <c:v>8.9109399560618154</c:v>
                </c:pt>
                <c:pt idx="289">
                  <c:v>8.8650082902425567</c:v>
                </c:pt>
                <c:pt idx="290">
                  <c:v>8.8193024829714322</c:v>
                </c:pt>
                <c:pt idx="291">
                  <c:v>8.7738203965368626</c:v>
                </c:pt>
                <c:pt idx="292">
                  <c:v>8.7285599244252801</c:v>
                </c:pt>
                <c:pt idx="293">
                  <c:v>8.6824807076633821</c:v>
                </c:pt>
                <c:pt idx="294">
                  <c:v>8.6366291024048163</c:v>
                </c:pt>
                <c:pt idx="295">
                  <c:v>8.5910029497418829</c:v>
                </c:pt>
                <c:pt idx="296">
                  <c:v>8.5456001220907254</c:v>
                </c:pt>
                <c:pt idx="297">
                  <c:v>8.4994005323336523</c:v>
                </c:pt>
                <c:pt idx="298">
                  <c:v>8.4534300677138887</c:v>
                </c:pt>
                <c:pt idx="299">
                  <c:v>8.4076865505336738</c:v>
                </c:pt>
                <c:pt idx="300">
                  <c:v>8.3621678345273089</c:v>
                </c:pt>
                <c:pt idx="301">
                  <c:v>8.3158737872576598</c:v>
                </c:pt>
                <c:pt idx="302">
                  <c:v>8.2698101456806299</c:v>
                </c:pt>
                <c:pt idx="303">
                  <c:v>8.2239747157169418</c:v>
                </c:pt>
                <c:pt idx="304">
                  <c:v>8.1783653348099001</c:v>
                </c:pt>
                <c:pt idx="305">
                  <c:v>8.1318236278932261</c:v>
                </c:pt>
                <c:pt idx="306">
                  <c:v>8.0855151561706471</c:v>
                </c:pt>
                <c:pt idx="307">
                  <c:v>8.0394376861963526</c:v>
                </c:pt>
                <c:pt idx="308">
                  <c:v>7.9935890166031047</c:v>
                </c:pt>
                <c:pt idx="309">
                  <c:v>7.9470080161092413</c:v>
                </c:pt>
                <c:pt idx="310">
                  <c:v>7.9006610213554671</c:v>
                </c:pt>
                <c:pt idx="311">
                  <c:v>7.8545457881973748</c:v>
                </c:pt>
                <c:pt idx="312">
                  <c:v>7.8086601046030992</c:v>
                </c:pt>
                <c:pt idx="313">
                  <c:v>7.7618909948138395</c:v>
                </c:pt>
                <c:pt idx="314">
                  <c:v>7.7153581700844089</c:v>
                </c:pt>
                <c:pt idx="315">
                  <c:v>7.6690593531828029</c:v>
                </c:pt>
                <c:pt idx="316">
                  <c:v>7.6229922994743955</c:v>
                </c:pt>
                <c:pt idx="317">
                  <c:v>7.5760662069585543</c:v>
                </c:pt>
                <c:pt idx="318">
                  <c:v>7.5293783856514818</c:v>
                </c:pt>
                <c:pt idx="319">
                  <c:v>7.4829265287297044</c:v>
                </c:pt>
                <c:pt idx="320">
                  <c:v>7.4367083624081296</c:v>
                </c:pt>
                <c:pt idx="321">
                  <c:v>7.3896549228125004</c:v>
                </c:pt>
                <c:pt idx="322">
                  <c:v>7.3428414557593227</c:v>
                </c:pt>
                <c:pt idx="323">
                  <c:v>7.2962656283178138</c:v>
                </c:pt>
                <c:pt idx="324">
                  <c:v>7.2499251409918886</c:v>
                </c:pt>
                <c:pt idx="325">
                  <c:v>7.2027725224765184</c:v>
                </c:pt>
                <c:pt idx="326">
                  <c:v>7.1558613020757864</c:v>
                </c:pt>
                <c:pt idx="327">
                  <c:v>7.1091891242078624</c:v>
                </c:pt>
                <c:pt idx="328">
                  <c:v>7.0627536670763424</c:v>
                </c:pt>
                <c:pt idx="329">
                  <c:v>7.0154498300413524</c:v>
                </c:pt>
                <c:pt idx="330">
                  <c:v>6.9683893584846937</c:v>
                </c:pt>
                <c:pt idx="331">
                  <c:v>6.9215698657389568</c:v>
                </c:pt>
                <c:pt idx="332">
                  <c:v>6.8749889994529632</c:v>
                </c:pt>
                <c:pt idx="333">
                  <c:v>6.8276412352647453</c:v>
                </c:pt>
                <c:pt idx="334">
                  <c:v>6.7805377099604947</c:v>
                </c:pt>
                <c:pt idx="335">
                  <c:v>6.7336760213918465</c:v>
                </c:pt>
                <c:pt idx="336">
                  <c:v>6.687053801976754</c:v>
                </c:pt>
                <c:pt idx="337">
                  <c:v>6.6395347864584719</c:v>
                </c:pt>
                <c:pt idx="338">
                  <c:v>6.592262199956803</c:v>
                </c:pt>
                <c:pt idx="339">
                  <c:v>6.545233605043201</c:v>
                </c:pt>
                <c:pt idx="340">
                  <c:v>6.4984465995012384</c:v>
                </c:pt>
                <c:pt idx="341">
                  <c:v>6.4507881429091469</c:v>
                </c:pt>
                <c:pt idx="342">
                  <c:v>6.4033779861474098</c:v>
                </c:pt>
                <c:pt idx="343">
                  <c:v>6.3562136607889794</c:v>
                </c:pt>
                <c:pt idx="344">
                  <c:v>6.3092927341985474</c:v>
                </c:pt>
                <c:pt idx="345">
                  <c:v>6.2615975337804608</c:v>
                </c:pt>
                <c:pt idx="346">
                  <c:v>6.2141514395847857</c:v>
                </c:pt>
                <c:pt idx="347">
                  <c:v>6.1669519677045113</c:v>
                </c:pt>
                <c:pt idx="348">
                  <c:v>6.1199966703186091</c:v>
                </c:pt>
                <c:pt idx="349">
                  <c:v>6.0721467805905256</c:v>
                </c:pt>
                <c:pt idx="350">
                  <c:v>6.0245480346408851</c:v>
                </c:pt>
                <c:pt idx="351">
                  <c:v>5.9771979144226925</c:v>
                </c:pt>
                <c:pt idx="352">
                  <c:v>5.9300939386428784</c:v>
                </c:pt>
                <c:pt idx="353">
                  <c:v>5.8821208915543153</c:v>
                </c:pt>
                <c:pt idx="354">
                  <c:v>5.8344007009630712</c:v>
                </c:pt>
                <c:pt idx="355">
                  <c:v>5.7869308192376989</c:v>
                </c:pt>
                <c:pt idx="356">
                  <c:v>5.7397087360930161</c:v>
                </c:pt>
                <c:pt idx="357">
                  <c:v>5.6917104895602115</c:v>
                </c:pt>
                <c:pt idx="358">
                  <c:v>5.6439657817321454</c:v>
                </c:pt>
                <c:pt idx="359">
                  <c:v>5.5964720507293242</c:v>
                </c:pt>
                <c:pt idx="360">
                  <c:v>5.5492267723222799</c:v>
                </c:pt>
                <c:pt idx="361">
                  <c:v>5.5010939435446922</c:v>
                </c:pt>
                <c:pt idx="362">
                  <c:v>5.4532164871660775</c:v>
                </c:pt>
                <c:pt idx="363">
                  <c:v>5.4055918094712823</c:v>
                </c:pt>
                <c:pt idx="364">
                  <c:v>5.3582173550524912</c:v>
                </c:pt>
                <c:pt idx="365">
                  <c:v>5.3100461393606535</c:v>
                </c:pt>
                <c:pt idx="366">
                  <c:v>5.2621311110279079</c:v>
                </c:pt>
                <c:pt idx="367">
                  <c:v>5.2144696598218463</c:v>
                </c:pt>
                <c:pt idx="368">
                  <c:v>5.1670592141826646</c:v>
                </c:pt>
                <c:pt idx="369">
                  <c:v>5.118746914146354</c:v>
                </c:pt>
                <c:pt idx="370">
                  <c:v>5.0706927046917389</c:v>
                </c:pt>
                <c:pt idx="371">
                  <c:v>5.0228939423356165</c:v>
                </c:pt>
                <c:pt idx="372">
                  <c:v>4.9753480229706968</c:v>
                </c:pt>
                <c:pt idx="373">
                  <c:v>4.9269888990655542</c:v>
                </c:pt>
                <c:pt idx="374">
                  <c:v>4.878888763715076</c:v>
                </c:pt>
                <c:pt idx="375">
                  <c:v>4.8310449554602011</c:v>
                </c:pt>
                <c:pt idx="376">
                  <c:v>4.7834548526260603</c:v>
                </c:pt>
                <c:pt idx="377">
                  <c:v>4.7349524316378737</c:v>
                </c:pt>
                <c:pt idx="378">
                  <c:v>4.6867109263731308</c:v>
                </c:pt>
                <c:pt idx="379">
                  <c:v>4.6387276414617267</c:v>
                </c:pt>
                <c:pt idx="380">
                  <c:v>4.5909999220498872</c:v>
                </c:pt>
                <c:pt idx="381">
                  <c:v>4.5425063050872803</c:v>
                </c:pt>
                <c:pt idx="382">
                  <c:v>4.4942738965848434</c:v>
                </c:pt>
                <c:pt idx="383">
                  <c:v>4.4462999924528157</c:v>
                </c:pt>
                <c:pt idx="384">
                  <c:v>4.3985819293520052</c:v>
                </c:pt>
                <c:pt idx="385">
                  <c:v>4.3499439489292708</c:v>
                </c:pt>
                <c:pt idx="386">
                  <c:v>4.3015691122671207</c:v>
                </c:pt>
                <c:pt idx="387">
                  <c:v>4.2534546810636602</c:v>
                </c:pt>
                <c:pt idx="388">
                  <c:v>4.2055979585179681</c:v>
                </c:pt>
                <c:pt idx="389">
                  <c:v>4.1569056352205349</c:v>
                </c:pt>
                <c:pt idx="390">
                  <c:v>4.1084774184627646</c:v>
                </c:pt>
                <c:pt idx="391">
                  <c:v>4.0603105507991542</c:v>
                </c:pt>
                <c:pt idx="392">
                  <c:v>4.0124023167371927</c:v>
                </c:pt>
                <c:pt idx="393">
                  <c:v>3.9636827554875831</c:v>
                </c:pt>
                <c:pt idx="394">
                  <c:v>3.9152279646479835</c:v>
                </c:pt>
                <c:pt idx="395">
                  <c:v>3.867035172321716</c:v>
                </c:pt>
                <c:pt idx="396">
                  <c:v>3.8191016489252059</c:v>
                </c:pt>
                <c:pt idx="397">
                  <c:v>3.7702703993265567</c:v>
                </c:pt>
                <c:pt idx="398">
                  <c:v>3.7217054957308298</c:v>
                </c:pt>
                <c:pt idx="399">
                  <c:v>3.6734041375062225</c:v>
                </c:pt>
                <c:pt idx="400">
                  <c:v>3.625363566987617</c:v>
                </c:pt>
                <c:pt idx="401">
                  <c:v>3.5765054145606907</c:v>
                </c:pt>
                <c:pt idx="402">
                  <c:v>3.5279142580468115</c:v>
                </c:pt>
                <c:pt idx="403">
                  <c:v>3.4795872826450718</c:v>
                </c:pt>
                <c:pt idx="404">
                  <c:v>3.4315217168807397</c:v>
                </c:pt>
                <c:pt idx="405">
                  <c:v>3.3826097710002863</c:v>
                </c:pt>
                <c:pt idx="406">
                  <c:v>3.3339657585714311</c:v>
                </c:pt>
                <c:pt idx="407">
                  <c:v>3.2855868461409039</c:v>
                </c:pt>
                <c:pt idx="408">
                  <c:v>3.2374702440345926</c:v>
                </c:pt>
                <c:pt idx="409">
                  <c:v>3.188480570621369</c:v>
                </c:pt>
                <c:pt idx="410">
                  <c:v>3.1397600259101206</c:v>
                </c:pt>
                <c:pt idx="411">
                  <c:v>3.091305753749849</c:v>
                </c:pt>
                <c:pt idx="412">
                  <c:v>3.0431149423070143</c:v>
                </c:pt>
                <c:pt idx="413">
                  <c:v>2.9940767627958724</c:v>
                </c:pt>
                <c:pt idx="414">
                  <c:v>2.9453085834121548</c:v>
                </c:pt>
                <c:pt idx="415">
                  <c:v>2.8968075304895384</c:v>
                </c:pt>
                <c:pt idx="416">
                  <c:v>2.8485707751122904</c:v>
                </c:pt>
                <c:pt idx="417">
                  <c:v>2.7994622944991998</c:v>
                </c:pt>
                <c:pt idx="418">
                  <c:v>2.7506249210291274</c:v>
                </c:pt>
                <c:pt idx="419">
                  <c:v>2.7020557598216728</c:v>
                </c:pt>
                <c:pt idx="420">
                  <c:v>2.6537519612581373</c:v>
                </c:pt>
                <c:pt idx="421">
                  <c:v>2.6046503817671423</c:v>
                </c:pt>
                <c:pt idx="422">
                  <c:v>2.555820161881285</c:v>
                </c:pt>
                <c:pt idx="423">
                  <c:v>2.5072583992371085</c:v>
                </c:pt>
                <c:pt idx="424">
                  <c:v>2.4589622369590325</c:v>
                </c:pt>
                <c:pt idx="425">
                  <c:v>2.4097502281847718</c:v>
                </c:pt>
                <c:pt idx="426">
                  <c:v>2.3608111216970844</c:v>
                </c:pt>
                <c:pt idx="427">
                  <c:v>2.3121419870648263</c:v>
                </c:pt>
                <c:pt idx="428">
                  <c:v>2.2637399400008391</c:v>
                </c:pt>
                <c:pt idx="429">
                  <c:v>2.2144954302679873</c:v>
                </c:pt>
                <c:pt idx="430">
                  <c:v>2.165524501942524</c:v>
                </c:pt>
                <c:pt idx="431">
                  <c:v>2.1168242104441939</c:v>
                </c:pt>
                <c:pt idx="432">
                  <c:v>2.0683916577026142</c:v>
                </c:pt>
                <c:pt idx="433">
                  <c:v>2.0191415526575818</c:v>
                </c:pt>
                <c:pt idx="434">
                  <c:v>1.9701654055688702</c:v>
                </c:pt>
                <c:pt idx="435">
                  <c:v>1.9214602626854449</c:v>
                </c:pt>
                <c:pt idx="436">
                  <c:v>1.8730232170270564</c:v>
                </c:pt>
                <c:pt idx="437">
                  <c:v>1.8237045184887668</c:v>
                </c:pt>
                <c:pt idx="438">
                  <c:v>1.7746608501392895</c:v>
                </c:pt>
                <c:pt idx="439">
                  <c:v>1.7258892379277229</c:v>
                </c:pt>
                <c:pt idx="440">
                  <c:v>1.6773867550691008</c:v>
                </c:pt>
                <c:pt idx="441">
                  <c:v>1.6280288836882093</c:v>
                </c:pt>
                <c:pt idx="442">
                  <c:v>1.5789467854971142</c:v>
                </c:pt>
                <c:pt idx="443">
                  <c:v>1.5301374715508835</c:v>
                </c:pt>
                <c:pt idx="444">
                  <c:v>1.481598000551601</c:v>
                </c:pt>
                <c:pt idx="445">
                  <c:v>1.4322285788001088</c:v>
                </c:pt>
                <c:pt idx="446">
                  <c:v>1.3831353624297027</c:v>
                </c:pt>
                <c:pt idx="447">
                  <c:v>1.3343153527481655</c:v>
                </c:pt>
                <c:pt idx="448">
                  <c:v>1.2857655989816243</c:v>
                </c:pt>
                <c:pt idx="449">
                  <c:v>1.2363280111023516</c:v>
                </c:pt>
                <c:pt idx="450">
                  <c:v>1.1871676905992328</c:v>
                </c:pt>
                <c:pt idx="451">
                  <c:v>1.1382816188996874</c:v>
                </c:pt>
                <c:pt idx="452">
                  <c:v>1.0896668258357876</c:v>
                </c:pt>
                <c:pt idx="453">
                  <c:v>1.0402311199925434</c:v>
                </c:pt>
                <c:pt idx="454">
                  <c:v>0.9910729584951159</c:v>
                </c:pt>
                <c:pt idx="455">
                  <c:v>0.94218931577516107</c:v>
                </c:pt>
                <c:pt idx="456">
                  <c:v>0.89357721488008846</c:v>
                </c:pt>
                <c:pt idx="457">
                  <c:v>0.84408969794861921</c:v>
                </c:pt>
                <c:pt idx="458">
                  <c:v>0.79488060183511267</c:v>
                </c:pt>
                <c:pt idx="459">
                  <c:v>0.74594688430905443</c:v>
                </c:pt>
                <c:pt idx="460">
                  <c:v>0.69728555217243693</c:v>
                </c:pt>
                <c:pt idx="461">
                  <c:v>0.6477750379020103</c:v>
                </c:pt>
                <c:pt idx="462">
                  <c:v>0.59854349693876019</c:v>
                </c:pt>
                <c:pt idx="463">
                  <c:v>0.54958787578816459</c:v>
                </c:pt>
                <c:pt idx="464">
                  <c:v>0.50090517028867665</c:v>
                </c:pt>
                <c:pt idx="465">
                  <c:v>0.45136096495809802</c:v>
                </c:pt>
                <c:pt idx="466">
                  <c:v>0.40209640490327692</c:v>
                </c:pt>
                <c:pt idx="467">
                  <c:v>0.3531084235205037</c:v>
                </c:pt>
                <c:pt idx="468">
                  <c:v>0.30439400387828724</c:v>
                </c:pt>
                <c:pt idx="469">
                  <c:v>0.25484392325950322</c:v>
                </c:pt>
                <c:pt idx="470">
                  <c:v>0.20557384632528083</c:v>
                </c:pt>
                <c:pt idx="471">
                  <c:v>0.1565806986227819</c:v>
                </c:pt>
                <c:pt idx="472">
                  <c:v>0.10786145559628549</c:v>
                </c:pt>
                <c:pt idx="473">
                  <c:v>5.8259454844620494E-2</c:v>
                </c:pt>
                <c:pt idx="474">
                  <c:v>8.9383355218888485E-3</c:v>
                </c:pt>
                <c:pt idx="475">
                  <c:v>-4.0104993093595775E-2</c:v>
                </c:pt>
                <c:pt idx="476">
                  <c:v>-8.887357142067405E-2</c:v>
                </c:pt>
                <c:pt idx="477">
                  <c:v>-0.1384982924572899</c:v>
                </c:pt>
                <c:pt idx="478">
                  <c:v>-0.18784158273054116</c:v>
                </c:pt>
                <c:pt idx="479">
                  <c:v>-0.23690654371939496</c:v>
                </c:pt>
                <c:pt idx="480">
                  <c:v>-0.28569622631422154</c:v>
                </c:pt>
                <c:pt idx="481">
                  <c:v>-0.33531629141873553</c:v>
                </c:pt>
                <c:pt idx="482">
                  <c:v>-0.38465468528696334</c:v>
                </c:pt>
                <c:pt idx="483">
                  <c:v>-0.43371451493998187</c:v>
                </c:pt>
                <c:pt idx="484">
                  <c:v>-0.48249883663886439</c:v>
                </c:pt>
                <c:pt idx="485">
                  <c:v>-0.53212230340198985</c:v>
                </c:pt>
                <c:pt idx="486">
                  <c:v>-0.58146376629685981</c:v>
                </c:pt>
                <c:pt idx="487">
                  <c:v>-0.63052633927858193</c:v>
                </c:pt>
                <c:pt idx="488">
                  <c:v>-0.67931308534202373</c:v>
                </c:pt>
                <c:pt idx="489">
                  <c:v>-0.72897959461398376</c:v>
                </c:pt>
                <c:pt idx="490">
                  <c:v>-0.77836331573501716</c:v>
                </c:pt>
                <c:pt idx="491">
                  <c:v>-0.82746737693811478</c:v>
                </c:pt>
                <c:pt idx="492">
                  <c:v>-0.87629485513692429</c:v>
                </c:pt>
                <c:pt idx="493">
                  <c:v>-0.92597545570696227</c:v>
                </c:pt>
                <c:pt idx="494">
                  <c:v>-0.97537280932725356</c:v>
                </c:pt>
                <c:pt idx="495">
                  <c:v>-1.0244900530082546</c:v>
                </c:pt>
                <c:pt idx="496">
                  <c:v>-1.0733302722028153</c:v>
                </c:pt>
                <c:pt idx="497">
                  <c:v>-1.1230292987592962</c:v>
                </c:pt>
                <c:pt idx="498">
                  <c:v>-1.1724445669898231</c:v>
                </c:pt>
                <c:pt idx="499">
                  <c:v>-1.2215792234304874</c:v>
                </c:pt>
                <c:pt idx="500">
                  <c:v>-1.2704363628062323</c:v>
                </c:pt>
                <c:pt idx="501">
                  <c:v>-1.3201570609052693</c:v>
                </c:pt>
                <c:pt idx="502">
                  <c:v>-1.36959344827287</c:v>
                </c:pt>
                <c:pt idx="503">
                  <c:v>-1.4187486815292809</c:v>
                </c:pt>
                <c:pt idx="504">
                  <c:v>-1.4676258652188015</c:v>
                </c:pt>
                <c:pt idx="505">
                  <c:v>-1.5173404073021395</c:v>
                </c:pt>
                <c:pt idx="506">
                  <c:v>-1.566770399219402</c:v>
                </c:pt>
                <c:pt idx="507">
                  <c:v>-1.6159190023496643</c:v>
                </c:pt>
                <c:pt idx="508">
                  <c:v>-1.6647893258492057</c:v>
                </c:pt>
                <c:pt idx="509">
                  <c:v>-1.7145010461891717</c:v>
                </c:pt>
                <c:pt idx="510">
                  <c:v>-1.7639279343142409</c:v>
                </c:pt>
                <c:pt idx="511">
                  <c:v>-1.8130731569372702</c:v>
                </c:pt>
                <c:pt idx="512">
                  <c:v>-1.8619398283900299</c:v>
                </c:pt>
                <c:pt idx="513">
                  <c:v>-1.9116798254626439</c:v>
                </c:pt>
                <c:pt idx="514">
                  <c:v>-1.9611343470919105</c:v>
                </c:pt>
                <c:pt idx="515">
                  <c:v>-2.010306571203027</c:v>
                </c:pt>
                <c:pt idx="516">
                  <c:v>-2.0591996230534946</c:v>
                </c:pt>
                <c:pt idx="517">
                  <c:v>-2.1089393732283286</c:v>
                </c:pt>
                <c:pt idx="518">
                  <c:v>-2.1583933245206182</c:v>
                </c:pt>
                <c:pt idx="519">
                  <c:v>-2.2075646606136821</c:v>
                </c:pt>
                <c:pt idx="520">
                  <c:v>-2.2564565123575901</c:v>
                </c:pt>
                <c:pt idx="521">
                  <c:v>-2.3061967345545935</c:v>
                </c:pt>
                <c:pt idx="522">
                  <c:v>-2.3556508193481687</c:v>
                </c:pt>
                <c:pt idx="523">
                  <c:v>-2.4048219562946724</c:v>
                </c:pt>
                <c:pt idx="524">
                  <c:v>-2.4537132819501632</c:v>
                </c:pt>
                <c:pt idx="525">
                  <c:v>-2.5034539380269534</c:v>
                </c:pt>
                <c:pt idx="526">
                  <c:v>-2.552908110995495</c:v>
                </c:pt>
                <c:pt idx="527">
                  <c:v>-2.6020789962667101</c:v>
                </c:pt>
                <c:pt idx="528">
                  <c:v>-2.6509697360855689</c:v>
                </c:pt>
                <c:pt idx="529">
                  <c:v>-2.7007100901955368</c:v>
                </c:pt>
                <c:pt idx="530">
                  <c:v>-2.7501636155397922</c:v>
                </c:pt>
                <c:pt idx="531">
                  <c:v>-2.7993335132423782</c:v>
                </c:pt>
                <c:pt idx="532">
                  <c:v>-2.8482229310997642</c:v>
                </c:pt>
                <c:pt idx="533">
                  <c:v>-2.8979872096040675</c:v>
                </c:pt>
                <c:pt idx="534">
                  <c:v>-2.9474640254117674</c:v>
                </c:pt>
                <c:pt idx="535">
                  <c:v>-2.9966565900326545</c:v>
                </c:pt>
                <c:pt idx="536">
                  <c:v>-3.0455680613845231</c:v>
                </c:pt>
                <c:pt idx="537">
                  <c:v>-3.0953025074148499</c:v>
                </c:pt>
                <c:pt idx="538">
                  <c:v>-3.1447494658275108</c:v>
                </c:pt>
                <c:pt idx="539">
                  <c:v>-3.1939121481964743</c:v>
                </c:pt>
                <c:pt idx="540">
                  <c:v>-3.2427937124690738</c:v>
                </c:pt>
                <c:pt idx="541">
                  <c:v>-3.2925464712448478</c:v>
                </c:pt>
                <c:pt idx="542">
                  <c:v>-3.342011151648006</c:v>
                </c:pt>
                <c:pt idx="543">
                  <c:v>-3.3911909746230529</c:v>
                </c:pt>
                <c:pt idx="544">
                  <c:v>-3.4400891072473878</c:v>
                </c:pt>
                <c:pt idx="545">
                  <c:v>-3.48983161653031</c:v>
                </c:pt>
                <c:pt idx="546">
                  <c:v>-3.5392857742984423</c:v>
                </c:pt>
                <c:pt idx="547">
                  <c:v>-3.5884548054026055</c:v>
                </c:pt>
                <c:pt idx="548">
                  <c:v>-3.6373418807080915</c:v>
                </c:pt>
                <c:pt idx="549">
                  <c:v>-3.6870707346395903</c:v>
                </c:pt>
                <c:pt idx="550">
                  <c:v>-3.7365109908012166</c:v>
                </c:pt>
                <c:pt idx="551">
                  <c:v>-3.7856658773406866</c:v>
                </c:pt>
                <c:pt idx="552">
                  <c:v>-3.8345385683160913</c:v>
                </c:pt>
                <c:pt idx="553">
                  <c:v>-3.8842727653623417</c:v>
                </c:pt>
                <c:pt idx="554">
                  <c:v>-3.9337178847469345</c:v>
                </c:pt>
                <c:pt idx="555">
                  <c:v>-3.982877161660352</c:v>
                </c:pt>
                <c:pt idx="556">
                  <c:v>-4.0317537770164602</c:v>
                </c:pt>
                <c:pt idx="557">
                  <c:v>-4.1309318566515616</c:v>
                </c:pt>
                <c:pt idx="558">
                  <c:v>-4.2289648223224727</c:v>
                </c:pt>
                <c:pt idx="559">
                  <c:v>-4.3280864039671387</c:v>
                </c:pt>
                <c:pt idx="560">
                  <c:v>-4.4260623880787868</c:v>
                </c:pt>
                <c:pt idx="561">
                  <c:v>-4.5252026415359348</c:v>
                </c:pt>
                <c:pt idx="562">
                  <c:v>-4.6231950182245525</c:v>
                </c:pt>
                <c:pt idx="563">
                  <c:v>-4.722131501509125</c:v>
                </c:pt>
                <c:pt idx="564">
                  <c:v>-4.81992287975089</c:v>
                </c:pt>
                <c:pt idx="565">
                  <c:v>-4.9190172395028835</c:v>
                </c:pt>
                <c:pt idx="566">
                  <c:v>-5.0169608578083231</c:v>
                </c:pt>
                <c:pt idx="567">
                  <c:v>-5.1161459635233753</c:v>
                </c:pt>
                <c:pt idx="568">
                  <c:v>-5.2141761397548079</c:v>
                </c:pt>
                <c:pt idx="569">
                  <c:v>-5.3130035911438531</c:v>
                </c:pt>
                <c:pt idx="570">
                  <c:v>-5.4106822144182249</c:v>
                </c:pt>
                <c:pt idx="571">
                  <c:v>-5.5098722515537428</c:v>
                </c:pt>
                <c:pt idx="572">
                  <c:v>-5.607902786240869</c:v>
                </c:pt>
                <c:pt idx="573">
                  <c:v>-5.7066377791855842</c:v>
                </c:pt>
                <c:pt idx="574">
                  <c:v>-5.8042214624281065</c:v>
                </c:pt>
                <c:pt idx="575">
                  <c:v>-5.9031931257707608</c:v>
                </c:pt>
                <c:pt idx="576">
                  <c:v>-6.0010055060124232</c:v>
                </c:pt>
                <c:pt idx="577">
                  <c:v>-6.4028324106877008</c:v>
                </c:pt>
                <c:pt idx="578">
                  <c:v>-6.7861031150814739</c:v>
                </c:pt>
                <c:pt idx="579">
                  <c:v>-7.5684335691795006</c:v>
                </c:pt>
                <c:pt idx="580">
                  <c:v>-8.3486715028566945</c:v>
                </c:pt>
                <c:pt idx="581">
                  <c:v>-9.1249489715387853</c:v>
                </c:pt>
                <c:pt idx="582">
                  <c:v>-9.896850094563419</c:v>
                </c:pt>
                <c:pt idx="583">
                  <c:v>-10.66266450555619</c:v>
                </c:pt>
                <c:pt idx="584">
                  <c:v>-11.421534854014354</c:v>
                </c:pt>
                <c:pt idx="585">
                  <c:v>-12.171206625967482</c:v>
                </c:pt>
                <c:pt idx="586">
                  <c:v>-12.909471407200193</c:v>
                </c:pt>
                <c:pt idx="587">
                  <c:v>-13.633718679201701</c:v>
                </c:pt>
                <c:pt idx="588">
                  <c:v>-14.339348614916382</c:v>
                </c:pt>
                <c:pt idx="589">
                  <c:v>-15.021771902560161</c:v>
                </c:pt>
                <c:pt idx="590">
                  <c:v>-15.673817580266359</c:v>
                </c:pt>
                <c:pt idx="591">
                  <c:v>-16.286173561070886</c:v>
                </c:pt>
                <c:pt idx="592">
                  <c:v>-16.845836900403544</c:v>
                </c:pt>
                <c:pt idx="593">
                  <c:v>-17.334794515433806</c:v>
                </c:pt>
                <c:pt idx="594">
                  <c:v>-17.726802464356588</c:v>
                </c:pt>
                <c:pt idx="595">
                  <c:v>-17.983490651219856</c:v>
                </c:pt>
                <c:pt idx="596">
                  <c:v>-18.046697443499163</c:v>
                </c:pt>
                <c:pt idx="597">
                  <c:v>-17.826929656915993</c:v>
                </c:pt>
                <c:pt idx="598">
                  <c:v>-17.190952104743506</c:v>
                </c:pt>
                <c:pt idx="599">
                  <c:v>-16.009437028365177</c:v>
                </c:pt>
                <c:pt idx="600">
                  <c:v>-14.79639504040701</c:v>
                </c:pt>
              </c:numCache>
            </c:numRef>
          </c:yVal>
          <c:smooth val="1"/>
          <c:extLst>
            <c:ext xmlns:c16="http://schemas.microsoft.com/office/drawing/2014/chart" uri="{C3380CC4-5D6E-409C-BE32-E72D297353CC}">
              <c16:uniqueId val="{00000002-10BD-4998-8A98-65686C23F2C0}"/>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Calculations'!$C$635</c:f>
              <c:numCache>
                <c:formatCode>0.00</c:formatCode>
                <c:ptCount val="1"/>
                <c:pt idx="0">
                  <c:v>5739.4498115310626</c:v>
                </c:pt>
              </c:numCache>
            </c:numRef>
          </c:xVal>
          <c:yVal>
            <c:numRef>
              <c:f>'Ch2 Stability Calculations'!$D$635</c:f>
              <c:numCache>
                <c:formatCode>0.00</c:formatCode>
                <c:ptCount val="1"/>
                <c:pt idx="0">
                  <c:v>17.982849400179411</c:v>
                </c:pt>
              </c:numCache>
            </c:numRef>
          </c:yVal>
          <c:smooth val="1"/>
          <c:extLst>
            <c:ext xmlns:c16="http://schemas.microsoft.com/office/drawing/2014/chart" uri="{C3380CC4-5D6E-409C-BE32-E72D297353CC}">
              <c16:uniqueId val="{00000004-10BD-4998-8A98-65686C23F2C0}"/>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Calculations'!$C$5</c:f>
              <c:numCache>
                <c:formatCode>0.0</c:formatCode>
                <c:ptCount val="1"/>
                <c:pt idx="0">
                  <c:v>0.52905675708072641</c:v>
                </c:pt>
              </c:numCache>
            </c:numRef>
          </c:xVal>
          <c:yVal>
            <c:numRef>
              <c:f>'Ch2 Stability Calculations'!$Q$624</c:f>
              <c:numCache>
                <c:formatCode>0.00</c:formatCode>
                <c:ptCount val="1"/>
                <c:pt idx="0">
                  <c:v>94.145800103401086</c:v>
                </c:pt>
              </c:numCache>
            </c:numRef>
          </c:yVal>
          <c:smooth val="1"/>
          <c:extLst>
            <c:ext xmlns:c16="http://schemas.microsoft.com/office/drawing/2014/chart" uri="{C3380CC4-5D6E-409C-BE32-E72D297353CC}">
              <c16:uniqueId val="{00000006-10BD-4998-8A98-65686C23F2C0}"/>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Calculations'!$K$4</c:f>
              <c:numCache>
                <c:formatCode>0</c:formatCode>
                <c:ptCount val="1"/>
                <c:pt idx="0">
                  <c:v>9020.2484763247376</c:v>
                </c:pt>
              </c:numCache>
            </c:numRef>
          </c:xVal>
          <c:yVal>
            <c:numRef>
              <c:f>'Ch2 Stability Calculations'!$D$632</c:f>
              <c:numCache>
                <c:formatCode>0.00</c:formatCode>
                <c:ptCount val="1"/>
                <c:pt idx="0">
                  <c:v>14.915102580225771</c:v>
                </c:pt>
              </c:numCache>
            </c:numRef>
          </c:yVal>
          <c:smooth val="1"/>
          <c:extLst>
            <c:ext xmlns:c16="http://schemas.microsoft.com/office/drawing/2014/chart" uri="{C3380CC4-5D6E-409C-BE32-E72D297353CC}">
              <c16:uniqueId val="{00000008-10BD-4998-8A98-65686C23F2C0}"/>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10BD-4998-8A98-65686C23F2C0}"/>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Calculations'!$A$623</c:f>
              <c:numCache>
                <c:formatCode>0</c:formatCode>
                <c:ptCount val="1"/>
                <c:pt idx="0">
                  <c:v>16931376.944016635</c:v>
                </c:pt>
              </c:numCache>
            </c:numRef>
          </c:xVal>
          <c:yVal>
            <c:numRef>
              <c:f>'Ch2 Stability Calculations'!$Q$623</c:f>
              <c:numCache>
                <c:formatCode>0.00</c:formatCode>
                <c:ptCount val="1"/>
                <c:pt idx="0">
                  <c:v>-117.98680376884619</c:v>
                </c:pt>
              </c:numCache>
            </c:numRef>
          </c:yVal>
          <c:smooth val="1"/>
          <c:extLst>
            <c:ext xmlns:c16="http://schemas.microsoft.com/office/drawing/2014/chart" uri="{C3380CC4-5D6E-409C-BE32-E72D297353CC}">
              <c16:uniqueId val="{0000000A-10BD-4998-8A98-65686C23F2C0}"/>
            </c:ext>
          </c:extLst>
        </c:ser>
        <c:dLbls>
          <c:showLegendKey val="0"/>
          <c:showVal val="0"/>
          <c:showCatName val="0"/>
          <c:showSerName val="0"/>
          <c:showPercent val="0"/>
          <c:showBubbleSize val="0"/>
        </c:dLbls>
        <c:axId val="185161600"/>
        <c:axId val="185188352"/>
      </c:scatterChart>
      <c:scatterChart>
        <c:scatterStyle val="lineMarker"/>
        <c:varyColors val="0"/>
        <c:ser>
          <c:idx val="3"/>
          <c:order val="1"/>
          <c:tx>
            <c:v>Loop Phase</c:v>
          </c:tx>
          <c:spPr>
            <a:ln w="34925">
              <a:solidFill>
                <a:srgbClr val="002060"/>
              </a:solidFill>
              <a:prstDash val="sysDash"/>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Calculations'!$R$13:$R$613</c:f>
              <c:numCache>
                <c:formatCode>0.00</c:formatCode>
                <c:ptCount val="601"/>
                <c:pt idx="0">
                  <c:v>-62.115049351286508</c:v>
                </c:pt>
                <c:pt idx="1">
                  <c:v>-64.238967282762815</c:v>
                </c:pt>
                <c:pt idx="2">
                  <c:v>-66.244426982766441</c:v>
                </c:pt>
                <c:pt idx="3">
                  <c:v>-68.128843127578605</c:v>
                </c:pt>
                <c:pt idx="4">
                  <c:v>-69.890804099036373</c:v>
                </c:pt>
                <c:pt idx="5">
                  <c:v>-71.534775604440597</c:v>
                </c:pt>
                <c:pt idx="6">
                  <c:v>-73.061422597802292</c:v>
                </c:pt>
                <c:pt idx="7">
                  <c:v>-74.476032679311061</c:v>
                </c:pt>
                <c:pt idx="8">
                  <c:v>-75.78268230219183</c:v>
                </c:pt>
                <c:pt idx="9">
                  <c:v>-76.988004103549031</c:v>
                </c:pt>
                <c:pt idx="10">
                  <c:v>-78.09722760611713</c:v>
                </c:pt>
                <c:pt idx="11">
                  <c:v>-79.116620550085884</c:v>
                </c:pt>
                <c:pt idx="12">
                  <c:v>-80.0527258754325</c:v>
                </c:pt>
                <c:pt idx="13">
                  <c:v>-80.910578135419129</c:v>
                </c:pt>
                <c:pt idx="14">
                  <c:v>-81.696615072998767</c:v>
                </c:pt>
                <c:pt idx="15">
                  <c:v>-82.41598638814996</c:v>
                </c:pt>
                <c:pt idx="16">
                  <c:v>-83.073946534031435</c:v>
                </c:pt>
                <c:pt idx="17">
                  <c:v>-83.675295152390817</c:v>
                </c:pt>
                <c:pt idx="18">
                  <c:v>-84.224772647691239</c:v>
                </c:pt>
                <c:pt idx="19">
                  <c:v>-84.726480884776379</c:v>
                </c:pt>
                <c:pt idx="20">
                  <c:v>-85.184467454208374</c:v>
                </c:pt>
                <c:pt idx="21">
                  <c:v>-85.602288913302516</c:v>
                </c:pt>
                <c:pt idx="22">
                  <c:v>-85.983400440313048</c:v>
                </c:pt>
                <c:pt idx="23">
                  <c:v>-86.330806068997504</c:v>
                </c:pt>
                <c:pt idx="24">
                  <c:v>-86.647439617534701</c:v>
                </c:pt>
                <c:pt idx="25">
                  <c:v>-86.935856162777526</c:v>
                </c:pt>
                <c:pt idx="26">
                  <c:v>-87.198504447122801</c:v>
                </c:pt>
                <c:pt idx="27">
                  <c:v>-87.437481326976609</c:v>
                </c:pt>
                <c:pt idx="28">
                  <c:v>-87.654796641407742</c:v>
                </c:pt>
                <c:pt idx="29">
                  <c:v>-87.852156330190297</c:v>
                </c:pt>
                <c:pt idx="30">
                  <c:v>-88.031541408623099</c:v>
                </c:pt>
                <c:pt idx="31">
                  <c:v>-88.194191644960398</c:v>
                </c:pt>
                <c:pt idx="32">
                  <c:v>-88.341590045832831</c:v>
                </c:pt>
                <c:pt idx="33">
                  <c:v>-88.474876824234144</c:v>
                </c:pt>
                <c:pt idx="34">
                  <c:v>-88.595281764160006</c:v>
                </c:pt>
                <c:pt idx="35">
                  <c:v>-88.703751515711105</c:v>
                </c:pt>
                <c:pt idx="36">
                  <c:v>-88.801224598006229</c:v>
                </c:pt>
                <c:pt idx="37">
                  <c:v>-88.888571905726849</c:v>
                </c:pt>
                <c:pt idx="38">
                  <c:v>-88.966449516535491</c:v>
                </c:pt>
                <c:pt idx="39">
                  <c:v>-89.035582304689044</c:v>
                </c:pt>
                <c:pt idx="40">
                  <c:v>-89.096526512074874</c:v>
                </c:pt>
                <c:pt idx="41">
                  <c:v>-89.149804566471815</c:v>
                </c:pt>
                <c:pt idx="42">
                  <c:v>-89.195862014899575</c:v>
                </c:pt>
                <c:pt idx="43">
                  <c:v>-89.235102640230238</c:v>
                </c:pt>
                <c:pt idx="44">
                  <c:v>-89.267848254346674</c:v>
                </c:pt>
                <c:pt idx="45">
                  <c:v>-89.294383488482879</c:v>
                </c:pt>
                <c:pt idx="46">
                  <c:v>-89.314928383834356</c:v>
                </c:pt>
                <c:pt idx="47">
                  <c:v>-89.329661986665897</c:v>
                </c:pt>
                <c:pt idx="48">
                  <c:v>-89.338706341957931</c:v>
                </c:pt>
                <c:pt idx="49">
                  <c:v>-89.342141256647622</c:v>
                </c:pt>
                <c:pt idx="50">
                  <c:v>-89.33999543112779</c:v>
                </c:pt>
                <c:pt idx="51">
                  <c:v>-89.332249831497506</c:v>
                </c:pt>
                <c:pt idx="52">
                  <c:v>-89.318841927683621</c:v>
                </c:pt>
                <c:pt idx="53">
                  <c:v>-89.299660993435666</c:v>
                </c:pt>
                <c:pt idx="54">
                  <c:v>-89.274565676394346</c:v>
                </c:pt>
                <c:pt idx="55">
                  <c:v>-89.243301271278369</c:v>
                </c:pt>
                <c:pt idx="56">
                  <c:v>-89.205645484636847</c:v>
                </c:pt>
                <c:pt idx="57">
                  <c:v>-89.161260534049433</c:v>
                </c:pt>
                <c:pt idx="58">
                  <c:v>-89.109811510476206</c:v>
                </c:pt>
                <c:pt idx="59">
                  <c:v>-89.050834150846342</c:v>
                </c:pt>
                <c:pt idx="60">
                  <c:v>-88.983874791514395</c:v>
                </c:pt>
                <c:pt idx="61">
                  <c:v>-88.90837820291668</c:v>
                </c:pt>
                <c:pt idx="62">
                  <c:v>-88.823683473787483</c:v>
                </c:pt>
                <c:pt idx="63">
                  <c:v>-88.729187178462993</c:v>
                </c:pt>
                <c:pt idx="64">
                  <c:v>-88.624058322078156</c:v>
                </c:pt>
                <c:pt idx="65">
                  <c:v>-88.507499368327146</c:v>
                </c:pt>
                <c:pt idx="66">
                  <c:v>-88.378589050861393</c:v>
                </c:pt>
                <c:pt idx="67">
                  <c:v>-88.236354516505344</c:v>
                </c:pt>
                <c:pt idx="68">
                  <c:v>-88.079678543486011</c:v>
                </c:pt>
                <c:pt idx="69">
                  <c:v>-87.907445753174144</c:v>
                </c:pt>
                <c:pt idx="70">
                  <c:v>-87.718387359599731</c:v>
                </c:pt>
                <c:pt idx="71">
                  <c:v>-87.511235442376886</c:v>
                </c:pt>
                <c:pt idx="72">
                  <c:v>-87.284576659670307</c:v>
                </c:pt>
                <c:pt idx="73">
                  <c:v>-87.037052871592692</c:v>
                </c:pt>
                <c:pt idx="74">
                  <c:v>-86.767163224159916</c:v>
                </c:pt>
                <c:pt idx="75">
                  <c:v>-86.473517604548931</c:v>
                </c:pt>
                <c:pt idx="76">
                  <c:v>-86.154665938498482</c:v>
                </c:pt>
                <c:pt idx="77">
                  <c:v>-85.809444061484157</c:v>
                </c:pt>
                <c:pt idx="78">
                  <c:v>-85.436774274843955</c:v>
                </c:pt>
                <c:pt idx="79">
                  <c:v>-85.036137917991553</c:v>
                </c:pt>
                <c:pt idx="80">
                  <c:v>-84.606473520016777</c:v>
                </c:pt>
                <c:pt idx="81">
                  <c:v>-84.148545378046421</c:v>
                </c:pt>
                <c:pt idx="82">
                  <c:v>-83.662974752898236</c:v>
                </c:pt>
                <c:pt idx="83">
                  <c:v>-83.151977238852325</c:v>
                </c:pt>
                <c:pt idx="84">
                  <c:v>-82.618181928151415</c:v>
                </c:pt>
                <c:pt idx="85">
                  <c:v>-82.066282067051986</c:v>
                </c:pt>
                <c:pt idx="86">
                  <c:v>-81.502181211557584</c:v>
                </c:pt>
                <c:pt idx="87">
                  <c:v>-80.933299557656468</c:v>
                </c:pt>
                <c:pt idx="88">
                  <c:v>-80.369730763085272</c:v>
                </c:pt>
                <c:pt idx="89">
                  <c:v>-79.822353358597439</c:v>
                </c:pt>
                <c:pt idx="90">
                  <c:v>-79.304279953151834</c:v>
                </c:pt>
                <c:pt idx="91">
                  <c:v>-78.829518220094258</c:v>
                </c:pt>
                <c:pt idx="92">
                  <c:v>-78.412710054281305</c:v>
                </c:pt>
                <c:pt idx="93">
                  <c:v>-78.06804588104562</c:v>
                </c:pt>
                <c:pt idx="94">
                  <c:v>-77.994768026059603</c:v>
                </c:pt>
                <c:pt idx="95">
                  <c:v>-77.959979922802034</c:v>
                </c:pt>
                <c:pt idx="96">
                  <c:v>-77.926987065577833</c:v>
                </c:pt>
                <c:pt idx="97">
                  <c:v>-77.895050780138092</c:v>
                </c:pt>
                <c:pt idx="98">
                  <c:v>-77.864919538330213</c:v>
                </c:pt>
                <c:pt idx="99">
                  <c:v>-77.835912245108645</c:v>
                </c:pt>
                <c:pt idx="100">
                  <c:v>-77.80871701836287</c:v>
                </c:pt>
                <c:pt idx="101">
                  <c:v>-77.782732888499609</c:v>
                </c:pt>
                <c:pt idx="102">
                  <c:v>-77.758562134135659</c:v>
                </c:pt>
                <c:pt idx="103">
                  <c:v>-77.735650040998266</c:v>
                </c:pt>
                <c:pt idx="104">
                  <c:v>-77.714552146706907</c:v>
                </c:pt>
                <c:pt idx="105">
                  <c:v>-77.694795312210431</c:v>
                </c:pt>
                <c:pt idx="106">
                  <c:v>-77.676847435852423</c:v>
                </c:pt>
                <c:pt idx="107">
                  <c:v>-77.660314812169574</c:v>
                </c:pt>
                <c:pt idx="108">
                  <c:v>-77.645579904303716</c:v>
                </c:pt>
                <c:pt idx="109">
                  <c:v>-77.6323177372998</c:v>
                </c:pt>
                <c:pt idx="110">
                  <c:v>-77.620838548309877</c:v>
                </c:pt>
                <c:pt idx="111">
                  <c:v>-77.610882400408883</c:v>
                </c:pt>
                <c:pt idx="112">
                  <c:v>-77.60269316228694</c:v>
                </c:pt>
                <c:pt idx="113">
                  <c:v>-77.596089977479721</c:v>
                </c:pt>
                <c:pt idx="114">
                  <c:v>-77.591231396002669</c:v>
                </c:pt>
                <c:pt idx="115">
                  <c:v>-77.588011365999535</c:v>
                </c:pt>
                <c:pt idx="116">
                  <c:v>-77.586509756341812</c:v>
                </c:pt>
                <c:pt idx="117">
                  <c:v>-77.586696666906022</c:v>
                </c:pt>
                <c:pt idx="118">
                  <c:v>-77.588571866181397</c:v>
                </c:pt>
                <c:pt idx="119">
                  <c:v>-77.592179926265075</c:v>
                </c:pt>
                <c:pt idx="120">
                  <c:v>-77.597440182061263</c:v>
                </c:pt>
                <c:pt idx="121">
                  <c:v>-77.604473134874894</c:v>
                </c:pt>
                <c:pt idx="122">
                  <c:v>-77.61311843995351</c:v>
                </c:pt>
                <c:pt idx="123">
                  <c:v>-77.623579458868647</c:v>
                </c:pt>
                <c:pt idx="124">
                  <c:v>-77.635611044065072</c:v>
                </c:pt>
                <c:pt idx="125">
                  <c:v>-77.649486441304575</c:v>
                </c:pt>
                <c:pt idx="126">
                  <c:v>-77.664884999098192</c:v>
                </c:pt>
                <c:pt idx="127">
                  <c:v>-77.682156235000775</c:v>
                </c:pt>
                <c:pt idx="128">
                  <c:v>-77.70089963708584</c:v>
                </c:pt>
                <c:pt idx="129">
                  <c:v>-77.721540485988271</c:v>
                </c:pt>
                <c:pt idx="130">
                  <c:v>-77.743599032598425</c:v>
                </c:pt>
                <c:pt idx="131">
                  <c:v>-77.76757552509909</c:v>
                </c:pt>
                <c:pt idx="132">
                  <c:v>-77.780077527472628</c:v>
                </c:pt>
                <c:pt idx="133">
                  <c:v>-77.792911916364403</c:v>
                </c:pt>
                <c:pt idx="134">
                  <c:v>-77.806387973005542</c:v>
                </c:pt>
                <c:pt idx="135">
                  <c:v>-77.820196771628417</c:v>
                </c:pt>
                <c:pt idx="136">
                  <c:v>-77.834330600303446</c:v>
                </c:pt>
                <c:pt idx="137">
                  <c:v>-77.848781877936801</c:v>
                </c:pt>
                <c:pt idx="138">
                  <c:v>-77.863881831405664</c:v>
                </c:pt>
                <c:pt idx="139">
                  <c:v>-77.87929818575401</c:v>
                </c:pt>
                <c:pt idx="140">
                  <c:v>-77.895023246147034</c:v>
                </c:pt>
                <c:pt idx="141">
                  <c:v>-77.911049453970861</c:v>
                </c:pt>
                <c:pt idx="142">
                  <c:v>-77.927759891675876</c:v>
                </c:pt>
                <c:pt idx="143">
                  <c:v>-77.94477032784043</c:v>
                </c:pt>
                <c:pt idx="144">
                  <c:v>-77.962073085306628</c:v>
                </c:pt>
                <c:pt idx="145">
                  <c:v>-77.979660628681671</c:v>
                </c:pt>
                <c:pt idx="146">
                  <c:v>-77.997942616728253</c:v>
                </c:pt>
                <c:pt idx="147">
                  <c:v>-78.01650722321763</c:v>
                </c:pt>
                <c:pt idx="148">
                  <c:v>-78.03534682468846</c:v>
                </c:pt>
                <c:pt idx="149">
                  <c:v>-78.054453944271472</c:v>
                </c:pt>
                <c:pt idx="150">
                  <c:v>-78.074272068297688</c:v>
                </c:pt>
                <c:pt idx="151">
                  <c:v>-78.094354850419336</c:v>
                </c:pt>
                <c:pt idx="152">
                  <c:v>-78.11469474508408</c:v>
                </c:pt>
                <c:pt idx="153">
                  <c:v>-78.135284357672319</c:v>
                </c:pt>
                <c:pt idx="154">
                  <c:v>-78.156609702700877</c:v>
                </c:pt>
                <c:pt idx="155">
                  <c:v>-78.178181458848215</c:v>
                </c:pt>
                <c:pt idx="156">
                  <c:v>-78.199992172315817</c:v>
                </c:pt>
                <c:pt idx="157">
                  <c:v>-78.22203454433442</c:v>
                </c:pt>
                <c:pt idx="158">
                  <c:v>-78.24482642699337</c:v>
                </c:pt>
                <c:pt idx="159">
                  <c:v>-78.267845980909058</c:v>
                </c:pt>
                <c:pt idx="160">
                  <c:v>-78.291085868730164</c:v>
                </c:pt>
                <c:pt idx="161">
                  <c:v>-78.314538911662098</c:v>
                </c:pt>
                <c:pt idx="162">
                  <c:v>-78.338742748769292</c:v>
                </c:pt>
                <c:pt idx="163">
                  <c:v>-78.363154924782066</c:v>
                </c:pt>
                <c:pt idx="164">
                  <c:v>-78.387768252296482</c:v>
                </c:pt>
                <c:pt idx="165">
                  <c:v>-78.412575705107358</c:v>
                </c:pt>
                <c:pt idx="166">
                  <c:v>-78.438165654346847</c:v>
                </c:pt>
                <c:pt idx="167">
                  <c:v>-78.463944652360325</c:v>
                </c:pt>
                <c:pt idx="168">
                  <c:v>-78.489905666013968</c:v>
                </c:pt>
                <c:pt idx="169">
                  <c:v>-78.516041825949998</c:v>
                </c:pt>
                <c:pt idx="170">
                  <c:v>-78.542912697067337</c:v>
                </c:pt>
                <c:pt idx="171">
                  <c:v>-78.569952332251503</c:v>
                </c:pt>
                <c:pt idx="172">
                  <c:v>-78.597153918650747</c:v>
                </c:pt>
                <c:pt idx="173">
                  <c:v>-78.624510807729564</c:v>
                </c:pt>
                <c:pt idx="174">
                  <c:v>-78.652711800538128</c:v>
                </c:pt>
                <c:pt idx="175">
                  <c:v>-78.681062388101864</c:v>
                </c:pt>
                <c:pt idx="176">
                  <c:v>-78.709555921892289</c:v>
                </c:pt>
                <c:pt idx="177">
                  <c:v>-78.738185920054619</c:v>
                </c:pt>
                <c:pt idx="178">
                  <c:v>-78.767654867260504</c:v>
                </c:pt>
                <c:pt idx="179">
                  <c:v>-78.797253817208727</c:v>
                </c:pt>
                <c:pt idx="180">
                  <c:v>-78.826976318937014</c:v>
                </c:pt>
                <c:pt idx="181">
                  <c:v>-78.856816089496789</c:v>
                </c:pt>
                <c:pt idx="182">
                  <c:v>-78.887367121121272</c:v>
                </c:pt>
                <c:pt idx="183">
                  <c:v>-78.918027472635345</c:v>
                </c:pt>
                <c:pt idx="184">
                  <c:v>-78.948790992503163</c:v>
                </c:pt>
                <c:pt idx="185">
                  <c:v>-78.97965169494725</c:v>
                </c:pt>
                <c:pt idx="186">
                  <c:v>-79.011454654504249</c:v>
                </c:pt>
                <c:pt idx="187">
                  <c:v>-79.043347915107063</c:v>
                </c:pt>
                <c:pt idx="188">
                  <c:v>-79.075325505645452</c:v>
                </c:pt>
                <c:pt idx="189">
                  <c:v>-79.107381622755241</c:v>
                </c:pt>
                <c:pt idx="190">
                  <c:v>-79.140124448306224</c:v>
                </c:pt>
                <c:pt idx="191">
                  <c:v>-79.172937171512061</c:v>
                </c:pt>
                <c:pt idx="192">
                  <c:v>-79.205814162045442</c:v>
                </c:pt>
                <c:pt idx="193">
                  <c:v>-79.238749953279211</c:v>
                </c:pt>
                <c:pt idx="194">
                  <c:v>-79.272604798260062</c:v>
                </c:pt>
                <c:pt idx="195">
                  <c:v>-79.306510414088834</c:v>
                </c:pt>
                <c:pt idx="196">
                  <c:v>-79.340461403606128</c:v>
                </c:pt>
                <c:pt idx="197">
                  <c:v>-79.374452533338399</c:v>
                </c:pt>
                <c:pt idx="198">
                  <c:v>-79.409224183377958</c:v>
                </c:pt>
                <c:pt idx="199">
                  <c:v>-79.444027205424135</c:v>
                </c:pt>
                <c:pt idx="200">
                  <c:v>-79.478856516930477</c:v>
                </c:pt>
                <c:pt idx="201">
                  <c:v>-79.513707195684361</c:v>
                </c:pt>
                <c:pt idx="202">
                  <c:v>-79.549321778866954</c:v>
                </c:pt>
                <c:pt idx="203">
                  <c:v>-79.584948767012648</c:v>
                </c:pt>
                <c:pt idx="204">
                  <c:v>-79.620583405034694</c:v>
                </c:pt>
                <c:pt idx="205">
                  <c:v>-79.656221094059759</c:v>
                </c:pt>
                <c:pt idx="206">
                  <c:v>-79.692729549873278</c:v>
                </c:pt>
                <c:pt idx="207">
                  <c:v>-79.729231920208832</c:v>
                </c:pt>
                <c:pt idx="208">
                  <c:v>-79.765723742103773</c:v>
                </c:pt>
                <c:pt idx="209">
                  <c:v>-79.802200706052588</c:v>
                </c:pt>
                <c:pt idx="210">
                  <c:v>-79.839653785271921</c:v>
                </c:pt>
                <c:pt idx="211">
                  <c:v>-79.8770824424507</c:v>
                </c:pt>
                <c:pt idx="212">
                  <c:v>-79.914482482420496</c:v>
                </c:pt>
                <c:pt idx="213">
                  <c:v>-79.951849861813059</c:v>
                </c:pt>
                <c:pt idx="214">
                  <c:v>-79.989924423002947</c:v>
                </c:pt>
                <c:pt idx="215">
                  <c:v>-80.027956975408657</c:v>
                </c:pt>
                <c:pt idx="216">
                  <c:v>-80.065943688256908</c:v>
                </c:pt>
                <c:pt idx="217">
                  <c:v>-80.103880876104128</c:v>
                </c:pt>
                <c:pt idx="218">
                  <c:v>-80.142628155768122</c:v>
                </c:pt>
                <c:pt idx="219">
                  <c:v>-80.181316273842995</c:v>
                </c:pt>
                <c:pt idx="220">
                  <c:v>-80.219941730201796</c:v>
                </c:pt>
                <c:pt idx="221">
                  <c:v>-80.258501164900522</c:v>
                </c:pt>
                <c:pt idx="222">
                  <c:v>-80.297848602232335</c:v>
                </c:pt>
                <c:pt idx="223">
                  <c:v>-80.337120369726634</c:v>
                </c:pt>
                <c:pt idx="224">
                  <c:v>-80.37631330361269</c:v>
                </c:pt>
                <c:pt idx="225">
                  <c:v>-80.415424374533629</c:v>
                </c:pt>
                <c:pt idx="226">
                  <c:v>-80.455422194734808</c:v>
                </c:pt>
                <c:pt idx="227">
                  <c:v>-80.495327991180091</c:v>
                </c:pt>
                <c:pt idx="228">
                  <c:v>-80.535138913563316</c:v>
                </c:pt>
                <c:pt idx="229">
                  <c:v>-80.574852241236911</c:v>
                </c:pt>
                <c:pt idx="230">
                  <c:v>-80.655894674774444</c:v>
                </c:pt>
                <c:pt idx="231">
                  <c:v>-80.696251694156928</c:v>
                </c:pt>
                <c:pt idx="232">
                  <c:v>-80.736496000812323</c:v>
                </c:pt>
                <c:pt idx="233">
                  <c:v>-80.777576519003105</c:v>
                </c:pt>
                <c:pt idx="234">
                  <c:v>-80.818534189430892</c:v>
                </c:pt>
                <c:pt idx="235">
                  <c:v>-80.859366808669122</c:v>
                </c:pt>
                <c:pt idx="236">
                  <c:v>-80.900072291441361</c:v>
                </c:pt>
                <c:pt idx="237">
                  <c:v>-80.941470605615294</c:v>
                </c:pt>
                <c:pt idx="238">
                  <c:v>-80.982732543962712</c:v>
                </c:pt>
                <c:pt idx="239">
                  <c:v>-81.023856245013391</c:v>
                </c:pt>
                <c:pt idx="240">
                  <c:v>-81.064839957656744</c:v>
                </c:pt>
                <c:pt idx="241">
                  <c:v>-81.106724423943973</c:v>
                </c:pt>
                <c:pt idx="242">
                  <c:v>-81.148458259707667</c:v>
                </c:pt>
                <c:pt idx="243">
                  <c:v>-81.190039911271654</c:v>
                </c:pt>
                <c:pt idx="244">
                  <c:v>-81.231467929646968</c:v>
                </c:pt>
                <c:pt idx="245">
                  <c:v>-81.273653839406123</c:v>
                </c:pt>
                <c:pt idx="246">
                  <c:v>-81.315676487405568</c:v>
                </c:pt>
                <c:pt idx="247">
                  <c:v>-81.35753463958477</c:v>
                </c:pt>
                <c:pt idx="248">
                  <c:v>-81.39922715931344</c:v>
                </c:pt>
                <c:pt idx="249">
                  <c:v>-81.441763738554187</c:v>
                </c:pt>
                <c:pt idx="250">
                  <c:v>-81.484124389360304</c:v>
                </c:pt>
                <c:pt idx="251">
                  <c:v>-81.526308182933306</c:v>
                </c:pt>
                <c:pt idx="252">
                  <c:v>-81.568314281380154</c:v>
                </c:pt>
                <c:pt idx="253">
                  <c:v>-81.611025241982915</c:v>
                </c:pt>
                <c:pt idx="254">
                  <c:v>-81.653549414195126</c:v>
                </c:pt>
                <c:pt idx="255">
                  <c:v>-81.695886175316588</c:v>
                </c:pt>
                <c:pt idx="256">
                  <c:v>-81.738034985837359</c:v>
                </c:pt>
                <c:pt idx="257">
                  <c:v>-81.781079935460639</c:v>
                </c:pt>
                <c:pt idx="258">
                  <c:v>-81.823926172921759</c:v>
                </c:pt>
                <c:pt idx="259">
                  <c:v>-81.866573365455579</c:v>
                </c:pt>
                <c:pt idx="260">
                  <c:v>-81.909021257255816</c:v>
                </c:pt>
                <c:pt idx="261">
                  <c:v>-81.952227537719935</c:v>
                </c:pt>
                <c:pt idx="262">
                  <c:v>-81.995225045746636</c:v>
                </c:pt>
                <c:pt idx="263">
                  <c:v>-82.038013735269303</c:v>
                </c:pt>
                <c:pt idx="264">
                  <c:v>-82.080593629912713</c:v>
                </c:pt>
                <c:pt idx="265">
                  <c:v>-82.123904032262857</c:v>
                </c:pt>
                <c:pt idx="266">
                  <c:v>-82.16699651552517</c:v>
                </c:pt>
                <c:pt idx="267">
                  <c:v>-82.209871309691209</c:v>
                </c:pt>
                <c:pt idx="268">
                  <c:v>-82.252528707113399</c:v>
                </c:pt>
                <c:pt idx="269">
                  <c:v>-82.295991507321759</c:v>
                </c:pt>
                <c:pt idx="270">
                  <c:v>-82.339227089510501</c:v>
                </c:pt>
                <c:pt idx="271">
                  <c:v>-82.382235951129061</c:v>
                </c:pt>
                <c:pt idx="272">
                  <c:v>-82.425018645183172</c:v>
                </c:pt>
                <c:pt idx="273">
                  <c:v>-82.468576765796627</c:v>
                </c:pt>
                <c:pt idx="274">
                  <c:v>-82.511899262898211</c:v>
                </c:pt>
                <c:pt idx="275">
                  <c:v>-82.554986891493797</c:v>
                </c:pt>
                <c:pt idx="276">
                  <c:v>-82.597840455253788</c:v>
                </c:pt>
                <c:pt idx="277">
                  <c:v>-82.64134217385471</c:v>
                </c:pt>
                <c:pt idx="278">
                  <c:v>-82.684601854428209</c:v>
                </c:pt>
                <c:pt idx="279">
                  <c:v>-82.727620490987107</c:v>
                </c:pt>
                <c:pt idx="280">
                  <c:v>-82.770399118950039</c:v>
                </c:pt>
                <c:pt idx="281">
                  <c:v>-82.814087815897111</c:v>
                </c:pt>
                <c:pt idx="282">
                  <c:v>-82.857525662692112</c:v>
                </c:pt>
                <c:pt idx="283">
                  <c:v>-82.900713901008046</c:v>
                </c:pt>
                <c:pt idx="284">
                  <c:v>-82.943653807782951</c:v>
                </c:pt>
                <c:pt idx="285">
                  <c:v>-82.987188685093244</c:v>
                </c:pt>
                <c:pt idx="286">
                  <c:v>-83.030468093506911</c:v>
                </c:pt>
                <c:pt idx="287">
                  <c:v>-83.07349348530326</c:v>
                </c:pt>
                <c:pt idx="288">
                  <c:v>-83.116266341020136</c:v>
                </c:pt>
                <c:pt idx="289">
                  <c:v>-83.159884553293537</c:v>
                </c:pt>
                <c:pt idx="290">
                  <c:v>-83.203240236712873</c:v>
                </c:pt>
                <c:pt idx="291">
                  <c:v>-83.24633506825576</c:v>
                </c:pt>
                <c:pt idx="292">
                  <c:v>-83.289170747020904</c:v>
                </c:pt>
                <c:pt idx="293">
                  <c:v>-83.332729913758527</c:v>
                </c:pt>
                <c:pt idx="294">
                  <c:v>-83.376021472064537</c:v>
                </c:pt>
                <c:pt idx="295">
                  <c:v>-83.419047300517647</c:v>
                </c:pt>
                <c:pt idx="296">
                  <c:v>-83.461809293554268</c:v>
                </c:pt>
                <c:pt idx="297">
                  <c:v>-83.505266310050516</c:v>
                </c:pt>
                <c:pt idx="298">
                  <c:v>-83.548451487489828</c:v>
                </c:pt>
                <c:pt idx="299">
                  <c:v>-83.591366891340897</c:v>
                </c:pt>
                <c:pt idx="300">
                  <c:v>-83.634014596854684</c:v>
                </c:pt>
                <c:pt idx="301">
                  <c:v>-83.677329855594522</c:v>
                </c:pt>
                <c:pt idx="302">
                  <c:v>-83.720369867365292</c:v>
                </c:pt>
                <c:pt idx="303">
                  <c:v>-83.763136869224653</c:v>
                </c:pt>
                <c:pt idx="304">
                  <c:v>-83.805633102174397</c:v>
                </c:pt>
                <c:pt idx="305">
                  <c:v>-83.848935820117163</c:v>
                </c:pt>
                <c:pt idx="306">
                  <c:v>-83.891958542026202</c:v>
                </c:pt>
                <c:pt idx="307">
                  <c:v>-83.934703688616921</c:v>
                </c:pt>
                <c:pt idx="308">
                  <c:v>-83.977173678954728</c:v>
                </c:pt>
                <c:pt idx="309">
                  <c:v>-84.020257226472168</c:v>
                </c:pt>
                <c:pt idx="310">
                  <c:v>-84.063058985521508</c:v>
                </c:pt>
                <c:pt idx="311">
                  <c:v>-84.105581517893697</c:v>
                </c:pt>
                <c:pt idx="312">
                  <c:v>-84.147827378386978</c:v>
                </c:pt>
                <c:pt idx="313">
                  <c:v>-84.190819411442817</c:v>
                </c:pt>
                <c:pt idx="314">
                  <c:v>-84.233526511905566</c:v>
                </c:pt>
                <c:pt idx="315">
                  <c:v>-84.275951396283517</c:v>
                </c:pt>
                <c:pt idx="316">
                  <c:v>-84.318096768916732</c:v>
                </c:pt>
                <c:pt idx="317">
                  <c:v>-84.360958839418331</c:v>
                </c:pt>
                <c:pt idx="318">
                  <c:v>-84.403533623363501</c:v>
                </c:pt>
                <c:pt idx="319">
                  <c:v>-84.445823977352376</c:v>
                </c:pt>
                <c:pt idx="320">
                  <c:v>-84.487832740869223</c:v>
                </c:pt>
                <c:pt idx="321">
                  <c:v>-84.530529906146924</c:v>
                </c:pt>
                <c:pt idx="322">
                  <c:v>-84.572938188600233</c:v>
                </c:pt>
                <c:pt idx="323">
                  <c:v>-84.615060569994483</c:v>
                </c:pt>
                <c:pt idx="324">
                  <c:v>-84.656900010299921</c:v>
                </c:pt>
                <c:pt idx="325">
                  <c:v>-84.699400748446692</c:v>
                </c:pt>
                <c:pt idx="326">
                  <c:v>-84.741611728513021</c:v>
                </c:pt>
                <c:pt idx="327">
                  <c:v>-84.783536042421801</c:v>
                </c:pt>
                <c:pt idx="328">
                  <c:v>-84.825176755919983</c:v>
                </c:pt>
                <c:pt idx="329">
                  <c:v>-84.867523311206057</c:v>
                </c:pt>
                <c:pt idx="330">
                  <c:v>-84.909578949051749</c:v>
                </c:pt>
                <c:pt idx="331">
                  <c:v>-84.951346872581126</c:v>
                </c:pt>
                <c:pt idx="332">
                  <c:v>-84.9928302544796</c:v>
                </c:pt>
                <c:pt idx="333">
                  <c:v>-85.034923340090543</c:v>
                </c:pt>
                <c:pt idx="334">
                  <c:v>-85.076725996604026</c:v>
                </c:pt>
                <c:pt idx="335">
                  <c:v>-85.118241507612709</c:v>
                </c:pt>
                <c:pt idx="336">
                  <c:v>-85.159473122529292</c:v>
                </c:pt>
                <c:pt idx="337">
                  <c:v>-85.201424258796877</c:v>
                </c:pt>
                <c:pt idx="338">
                  <c:v>-85.243084206275469</c:v>
                </c:pt>
                <c:pt idx="339">
                  <c:v>-85.284456346804276</c:v>
                </c:pt>
                <c:pt idx="340">
                  <c:v>-85.325544024170114</c:v>
                </c:pt>
                <c:pt idx="341">
                  <c:v>-85.367323360130186</c:v>
                </c:pt>
                <c:pt idx="342">
                  <c:v>-85.408811432468028</c:v>
                </c:pt>
                <c:pt idx="343">
                  <c:v>-85.450011706849352</c:v>
                </c:pt>
                <c:pt idx="344">
                  <c:v>-85.490927607311875</c:v>
                </c:pt>
                <c:pt idx="345">
                  <c:v>-85.532445530493689</c:v>
                </c:pt>
                <c:pt idx="346">
                  <c:v>-85.573673637556524</c:v>
                </c:pt>
                <c:pt idx="347">
                  <c:v>-85.614615447762944</c:v>
                </c:pt>
                <c:pt idx="348">
                  <c:v>-85.655274435759779</c:v>
                </c:pt>
                <c:pt idx="349">
                  <c:v>-85.696635438350228</c:v>
                </c:pt>
                <c:pt idx="350">
                  <c:v>-85.737706893263365</c:v>
                </c:pt>
                <c:pt idx="351">
                  <c:v>-85.778492391822311</c:v>
                </c:pt>
                <c:pt idx="352">
                  <c:v>-85.818995477528063</c:v>
                </c:pt>
                <c:pt idx="353">
                  <c:v>-85.860173993708969</c:v>
                </c:pt>
                <c:pt idx="354">
                  <c:v>-85.901063853741832</c:v>
                </c:pt>
                <c:pt idx="355">
                  <c:v>-85.941668707130546</c:v>
                </c:pt>
                <c:pt idx="356">
                  <c:v>-85.98199215266439</c:v>
                </c:pt>
                <c:pt idx="357">
                  <c:v>-86.022907757159558</c:v>
                </c:pt>
                <c:pt idx="358">
                  <c:v>-86.06353698634301</c:v>
                </c:pt>
                <c:pt idx="359">
                  <c:v>-86.103883518821604</c:v>
                </c:pt>
                <c:pt idx="360">
                  <c:v>-86.143950980219387</c:v>
                </c:pt>
                <c:pt idx="361">
                  <c:v>-86.184701814028514</c:v>
                </c:pt>
                <c:pt idx="362">
                  <c:v>-86.22516744699422</c:v>
                </c:pt>
                <c:pt idx="363">
                  <c:v>-86.265351605406863</c:v>
                </c:pt>
                <c:pt idx="364">
                  <c:v>-86.305257960027262</c:v>
                </c:pt>
                <c:pt idx="365">
                  <c:v>-86.345767754759109</c:v>
                </c:pt>
                <c:pt idx="366">
                  <c:v>-86.385994843902978</c:v>
                </c:pt>
                <c:pt idx="367">
                  <c:v>-86.425942973198687</c:v>
                </c:pt>
                <c:pt idx="368">
                  <c:v>-86.465615830939612</c:v>
                </c:pt>
                <c:pt idx="369">
                  <c:v>-86.505977292945943</c:v>
                </c:pt>
                <c:pt idx="370">
                  <c:v>-86.546057509537519</c:v>
                </c:pt>
                <c:pt idx="371">
                  <c:v>-86.585860264067421</c:v>
                </c:pt>
                <c:pt idx="372">
                  <c:v>-86.625389280218883</c:v>
                </c:pt>
                <c:pt idx="373">
                  <c:v>-86.665530286388687</c:v>
                </c:pt>
                <c:pt idx="374">
                  <c:v>-86.705392759093371</c:v>
                </c:pt>
                <c:pt idx="375">
                  <c:v>-86.744980491967439</c:v>
                </c:pt>
                <c:pt idx="376">
                  <c:v>-86.784297217383539</c:v>
                </c:pt>
                <c:pt idx="377">
                  <c:v>-86.82430556978359</c:v>
                </c:pt>
                <c:pt idx="378">
                  <c:v>-86.864037133914564</c:v>
                </c:pt>
                <c:pt idx="379">
                  <c:v>-86.903495731275825</c:v>
                </c:pt>
                <c:pt idx="380">
                  <c:v>-86.942685120189509</c:v>
                </c:pt>
                <c:pt idx="381">
                  <c:v>-86.982443708064551</c:v>
                </c:pt>
                <c:pt idx="382">
                  <c:v>-87.021929107674026</c:v>
                </c:pt>
                <c:pt idx="383">
                  <c:v>-87.061145127970093</c:v>
                </c:pt>
                <c:pt idx="384">
                  <c:v>-87.10009551375768</c:v>
                </c:pt>
                <c:pt idx="385">
                  <c:v>-87.139739472674393</c:v>
                </c:pt>
                <c:pt idx="386">
                  <c:v>-87.179112228649728</c:v>
                </c:pt>
                <c:pt idx="387">
                  <c:v>-87.218217609641798</c:v>
                </c:pt>
                <c:pt idx="388">
                  <c:v>-87.257059377838459</c:v>
                </c:pt>
                <c:pt idx="389">
                  <c:v>-87.296524608381617</c:v>
                </c:pt>
                <c:pt idx="390">
                  <c:v>-87.335721733206725</c:v>
                </c:pt>
                <c:pt idx="391">
                  <c:v>-87.374654574036001</c:v>
                </c:pt>
                <c:pt idx="392">
                  <c:v>-87.413326885817725</c:v>
                </c:pt>
                <c:pt idx="393">
                  <c:v>-87.452602196106199</c:v>
                </c:pt>
                <c:pt idx="394">
                  <c:v>-87.491612874687647</c:v>
                </c:pt>
                <c:pt idx="395">
                  <c:v>-87.530362726945228</c:v>
                </c:pt>
                <c:pt idx="396">
                  <c:v>-87.568855490772407</c:v>
                </c:pt>
                <c:pt idx="397">
                  <c:v>-87.608020071544146</c:v>
                </c:pt>
                <c:pt idx="398">
                  <c:v>-87.646922656511848</c:v>
                </c:pt>
                <c:pt idx="399">
                  <c:v>-87.685567050884899</c:v>
                </c:pt>
                <c:pt idx="400">
                  <c:v>-87.723956991329899</c:v>
                </c:pt>
                <c:pt idx="401">
                  <c:v>-87.762954210131241</c:v>
                </c:pt>
                <c:pt idx="402">
                  <c:v>-87.801693046889227</c:v>
                </c:pt>
                <c:pt idx="403">
                  <c:v>-87.840177283666208</c:v>
                </c:pt>
                <c:pt idx="404">
                  <c:v>-87.878410633520502</c:v>
                </c:pt>
                <c:pt idx="405">
                  <c:v>-87.917274311598192</c:v>
                </c:pt>
                <c:pt idx="406">
                  <c:v>-87.955882986807168</c:v>
                </c:pt>
                <c:pt idx="407">
                  <c:v>-87.99424042134676</c:v>
                </c:pt>
                <c:pt idx="408">
                  <c:v>-88.032350307915323</c:v>
                </c:pt>
                <c:pt idx="409">
                  <c:v>-88.071111990172852</c:v>
                </c:pt>
                <c:pt idx="410">
                  <c:v>-88.109621850277833</c:v>
                </c:pt>
                <c:pt idx="411">
                  <c:v>-88.147883633283072</c:v>
                </c:pt>
                <c:pt idx="412">
                  <c:v>-88.185901014214949</c:v>
                </c:pt>
                <c:pt idx="413">
                  <c:v>-88.224550520246396</c:v>
                </c:pt>
                <c:pt idx="414">
                  <c:v>-88.262951727200857</c:v>
                </c:pt>
                <c:pt idx="415">
                  <c:v>-88.30110835377269</c:v>
                </c:pt>
                <c:pt idx="416">
                  <c:v>-88.339024048368955</c:v>
                </c:pt>
                <c:pt idx="417">
                  <c:v>-88.377592025756144</c:v>
                </c:pt>
                <c:pt idx="418">
                  <c:v>-88.415915040223041</c:v>
                </c:pt>
                <c:pt idx="419">
                  <c:v>-88.453996786717013</c:v>
                </c:pt>
                <c:pt idx="420">
                  <c:v>-88.491840889606749</c:v>
                </c:pt>
                <c:pt idx="421">
                  <c:v>-88.530280697934529</c:v>
                </c:pt>
                <c:pt idx="422">
                  <c:v>-88.568479664900707</c:v>
                </c:pt>
                <c:pt idx="423">
                  <c:v>-88.606441442399628</c:v>
                </c:pt>
                <c:pt idx="424">
                  <c:v>-88.644169611981752</c:v>
                </c:pt>
                <c:pt idx="425">
                  <c:v>-88.682587504181441</c:v>
                </c:pt>
                <c:pt idx="426">
                  <c:v>-88.720767543457498</c:v>
                </c:pt>
                <c:pt idx="427">
                  <c:v>-88.758713362834143</c:v>
                </c:pt>
                <c:pt idx="428">
                  <c:v>-88.796428524639964</c:v>
                </c:pt>
                <c:pt idx="429">
                  <c:v>-88.834778147121881</c:v>
                </c:pt>
                <c:pt idx="430">
                  <c:v>-88.872893677227026</c:v>
                </c:pt>
                <c:pt idx="431">
                  <c:v>-88.910778710137194</c:v>
                </c:pt>
                <c:pt idx="432">
                  <c:v>-88.948436770505239</c:v>
                </c:pt>
                <c:pt idx="433">
                  <c:v>-88.986712360633874</c:v>
                </c:pt>
                <c:pt idx="434">
                  <c:v>-89.024757868164997</c:v>
                </c:pt>
                <c:pt idx="435">
                  <c:v>-89.062576843221535</c:v>
                </c:pt>
                <c:pt idx="436">
                  <c:v>-89.100172765785004</c:v>
                </c:pt>
                <c:pt idx="437">
                  <c:v>-89.138438753488941</c:v>
                </c:pt>
                <c:pt idx="438">
                  <c:v>-89.176478075878393</c:v>
                </c:pt>
                <c:pt idx="439">
                  <c:v>-89.21429425028019</c:v>
                </c:pt>
                <c:pt idx="440">
                  <c:v>-89.251890723974867</c:v>
                </c:pt>
                <c:pt idx="441">
                  <c:v>-89.290139966488738</c:v>
                </c:pt>
                <c:pt idx="442">
                  <c:v>-89.328166229208094</c:v>
                </c:pt>
                <c:pt idx="443">
                  <c:v>-89.365972989152482</c:v>
                </c:pt>
                <c:pt idx="444">
                  <c:v>-89.403563653615308</c:v>
                </c:pt>
                <c:pt idx="445">
                  <c:v>-89.441790839874955</c:v>
                </c:pt>
                <c:pt idx="446">
                  <c:v>-89.479798963879958</c:v>
                </c:pt>
                <c:pt idx="447">
                  <c:v>-89.517591455602229</c:v>
                </c:pt>
                <c:pt idx="448">
                  <c:v>-89.555171675815117</c:v>
                </c:pt>
                <c:pt idx="449">
                  <c:v>-89.593437031092833</c:v>
                </c:pt>
                <c:pt idx="450">
                  <c:v>-89.631486723883199</c:v>
                </c:pt>
                <c:pt idx="451">
                  <c:v>-89.669324147963536</c:v>
                </c:pt>
                <c:pt idx="452">
                  <c:v>-89.706952628174349</c:v>
                </c:pt>
                <c:pt idx="453">
                  <c:v>-89.745218606863119</c:v>
                </c:pt>
                <c:pt idx="454">
                  <c:v>-89.783272911879195</c:v>
                </c:pt>
                <c:pt idx="455">
                  <c:v>-89.821118885733497</c:v>
                </c:pt>
                <c:pt idx="456">
                  <c:v>-89.858759802693143</c:v>
                </c:pt>
                <c:pt idx="457">
                  <c:v>-89.897084932916485</c:v>
                </c:pt>
                <c:pt idx="458">
                  <c:v>-89.935201890658021</c:v>
                </c:pt>
                <c:pt idx="459">
                  <c:v>-89.973113977446104</c:v>
                </c:pt>
                <c:pt idx="460">
                  <c:v>-90.010824427003683</c:v>
                </c:pt>
                <c:pt idx="461">
                  <c:v>-90.049203660407244</c:v>
                </c:pt>
                <c:pt idx="462">
                  <c:v>-90.087378438807733</c:v>
                </c:pt>
                <c:pt idx="463">
                  <c:v>-90.125352016478871</c:v>
                </c:pt>
                <c:pt idx="464">
                  <c:v>-90.163127580520936</c:v>
                </c:pt>
                <c:pt idx="465">
                  <c:v>-90.201586736978996</c:v>
                </c:pt>
                <c:pt idx="466">
                  <c:v>-90.239845035560464</c:v>
                </c:pt>
                <c:pt idx="467">
                  <c:v>-90.277905685007198</c:v>
                </c:pt>
                <c:pt idx="468">
                  <c:v>-90.315771827494657</c:v>
                </c:pt>
                <c:pt idx="469">
                  <c:v>-90.354307101772974</c:v>
                </c:pt>
                <c:pt idx="470">
                  <c:v>-90.392645303062153</c:v>
                </c:pt>
                <c:pt idx="471">
                  <c:v>-90.430789588972573</c:v>
                </c:pt>
                <c:pt idx="472">
                  <c:v>-90.468743051330804</c:v>
                </c:pt>
                <c:pt idx="473">
                  <c:v>-90.507408313200003</c:v>
                </c:pt>
                <c:pt idx="474">
                  <c:v>-90.545879884477984</c:v>
                </c:pt>
                <c:pt idx="475">
                  <c:v>-90.584160880204266</c:v>
                </c:pt>
                <c:pt idx="476">
                  <c:v>-90.622254350201089</c:v>
                </c:pt>
                <c:pt idx="477">
                  <c:v>-90.661045275439491</c:v>
                </c:pt>
                <c:pt idx="478">
                  <c:v>-90.699646085307435</c:v>
                </c:pt>
                <c:pt idx="479">
                  <c:v>-90.73805984662016</c:v>
                </c:pt>
                <c:pt idx="480">
                  <c:v>-90.776289561718045</c:v>
                </c:pt>
                <c:pt idx="481">
                  <c:v>-90.815203286668819</c:v>
                </c:pt>
                <c:pt idx="482">
                  <c:v>-90.853930633909684</c:v>
                </c:pt>
                <c:pt idx="483">
                  <c:v>-90.892474617072125</c:v>
                </c:pt>
                <c:pt idx="484">
                  <c:v>-90.930838186213663</c:v>
                </c:pt>
                <c:pt idx="485">
                  <c:v>-90.969899699707923</c:v>
                </c:pt>
                <c:pt idx="486">
                  <c:v>-91.008778460541677</c:v>
                </c:pt>
                <c:pt idx="487">
                  <c:v>-91.047477430850137</c:v>
                </c:pt>
                <c:pt idx="488">
                  <c:v>-91.085999510067268</c:v>
                </c:pt>
                <c:pt idx="489">
                  <c:v>-91.12525910645283</c:v>
                </c:pt>
                <c:pt idx="490">
                  <c:v>-91.164339238674032</c:v>
                </c:pt>
                <c:pt idx="491">
                  <c:v>-91.203242824552973</c:v>
                </c:pt>
                <c:pt idx="492">
                  <c:v>-91.241972719899252</c:v>
                </c:pt>
                <c:pt idx="493">
                  <c:v>-91.281427024619575</c:v>
                </c:pt>
                <c:pt idx="494">
                  <c:v>-91.320705318912204</c:v>
                </c:pt>
                <c:pt idx="495">
                  <c:v>-91.359810471346648</c:v>
                </c:pt>
                <c:pt idx="496">
                  <c:v>-91.398745289324523</c:v>
                </c:pt>
                <c:pt idx="497">
                  <c:v>-91.438417372396287</c:v>
                </c:pt>
                <c:pt idx="498">
                  <c:v>-91.477916818895025</c:v>
                </c:pt>
                <c:pt idx="499">
                  <c:v>-91.51724644915808</c:v>
                </c:pt>
                <c:pt idx="500">
                  <c:v>-91.556409023187641</c:v>
                </c:pt>
                <c:pt idx="501">
                  <c:v>-91.596321436549374</c:v>
                </c:pt>
                <c:pt idx="502">
                  <c:v>-91.636064515983264</c:v>
                </c:pt>
                <c:pt idx="503">
                  <c:v>-91.675641034438598</c:v>
                </c:pt>
                <c:pt idx="504">
                  <c:v>-91.715053705353782</c:v>
                </c:pt>
                <c:pt idx="505">
                  <c:v>-91.755204245982895</c:v>
                </c:pt>
                <c:pt idx="506">
                  <c:v>-91.795188891276297</c:v>
                </c:pt>
                <c:pt idx="507">
                  <c:v>-91.835010362585294</c:v>
                </c:pt>
                <c:pt idx="508">
                  <c:v>-91.874671322710995</c:v>
                </c:pt>
                <c:pt idx="509">
                  <c:v>-91.915082855523096</c:v>
                </c:pt>
                <c:pt idx="510">
                  <c:v>-91.955331851263225</c:v>
                </c:pt>
                <c:pt idx="511">
                  <c:v>-91.995420980775492</c:v>
                </c:pt>
                <c:pt idx="512">
                  <c:v>-92.035352857298662</c:v>
                </c:pt>
                <c:pt idx="513">
                  <c:v>-92.07607132708236</c:v>
                </c:pt>
                <c:pt idx="514">
                  <c:v>-92.116630362081239</c:v>
                </c:pt>
                <c:pt idx="515">
                  <c:v>-92.15703258808135</c:v>
                </c:pt>
                <c:pt idx="516">
                  <c:v>-92.197280574066994</c:v>
                </c:pt>
                <c:pt idx="517">
                  <c:v>-92.238303747279772</c:v>
                </c:pt>
                <c:pt idx="518">
                  <c:v>-92.279170718244103</c:v>
                </c:pt>
                <c:pt idx="519">
                  <c:v>-92.319884063676952</c:v>
                </c:pt>
                <c:pt idx="520">
                  <c:v>-92.360446304426191</c:v>
                </c:pt>
                <c:pt idx="521">
                  <c:v>-92.401795885590204</c:v>
                </c:pt>
                <c:pt idx="522">
                  <c:v>-92.442992435363877</c:v>
                </c:pt>
                <c:pt idx="523">
                  <c:v>-92.484038482110634</c:v>
                </c:pt>
                <c:pt idx="524">
                  <c:v>-92.524936499251083</c:v>
                </c:pt>
                <c:pt idx="525">
                  <c:v>-92.566633877292446</c:v>
                </c:pt>
                <c:pt idx="526">
                  <c:v>-92.608181337979516</c:v>
                </c:pt>
                <c:pt idx="527">
                  <c:v>-92.649581361942282</c:v>
                </c:pt>
                <c:pt idx="528">
                  <c:v>-92.690836375790113</c:v>
                </c:pt>
                <c:pt idx="529">
                  <c:v>-92.732902661091785</c:v>
                </c:pt>
                <c:pt idx="530">
                  <c:v>-92.774822090407497</c:v>
                </c:pt>
                <c:pt idx="531">
                  <c:v>-92.816597097173997</c:v>
                </c:pt>
                <c:pt idx="532">
                  <c:v>-92.858230061726871</c:v>
                </c:pt>
                <c:pt idx="533">
                  <c:v>-92.900708000314864</c:v>
                </c:pt>
                <c:pt idx="534">
                  <c:v>-92.943041947824085</c:v>
                </c:pt>
                <c:pt idx="535">
                  <c:v>-92.985234294629663</c:v>
                </c:pt>
                <c:pt idx="536">
                  <c:v>-93.027287378817505</c:v>
                </c:pt>
                <c:pt idx="537">
                  <c:v>-93.070153570687694</c:v>
                </c:pt>
                <c:pt idx="538">
                  <c:v>-93.112878889616852</c:v>
                </c:pt>
                <c:pt idx="539">
                  <c:v>-93.155465675918492</c:v>
                </c:pt>
                <c:pt idx="540">
                  <c:v>-93.197916218645062</c:v>
                </c:pt>
                <c:pt idx="541">
                  <c:v>-93.241234618355278</c:v>
                </c:pt>
                <c:pt idx="542">
                  <c:v>-93.284414932307811</c:v>
                </c:pt>
                <c:pt idx="543">
                  <c:v>-93.327459458257636</c:v>
                </c:pt>
                <c:pt idx="544">
                  <c:v>-93.370370443520514</c:v>
                </c:pt>
                <c:pt idx="545">
                  <c:v>-93.414139499953393</c:v>
                </c:pt>
                <c:pt idx="546">
                  <c:v>-93.457773361251483</c:v>
                </c:pt>
                <c:pt idx="547">
                  <c:v>-93.501274279360842</c:v>
                </c:pt>
                <c:pt idx="548">
                  <c:v>-93.544644456716782</c:v>
                </c:pt>
                <c:pt idx="549">
                  <c:v>-93.588884349135341</c:v>
                </c:pt>
                <c:pt idx="550">
                  <c:v>-93.632991896357467</c:v>
                </c:pt>
                <c:pt idx="551">
                  <c:v>-93.676969304856797</c:v>
                </c:pt>
                <c:pt idx="552">
                  <c:v>-93.720818732526141</c:v>
                </c:pt>
                <c:pt idx="553">
                  <c:v>-93.765570064417901</c:v>
                </c:pt>
                <c:pt idx="554">
                  <c:v>-93.810191743430039</c:v>
                </c:pt>
                <c:pt idx="555">
                  <c:v>-93.854685933836492</c:v>
                </c:pt>
                <c:pt idx="556">
                  <c:v>-93.899054752175942</c:v>
                </c:pt>
                <c:pt idx="557">
                  <c:v>-93.989491789230371</c:v>
                </c:pt>
                <c:pt idx="558">
                  <c:v>-94.079429328205208</c:v>
                </c:pt>
                <c:pt idx="559">
                  <c:v>-94.170928669740903</c:v>
                </c:pt>
                <c:pt idx="560">
                  <c:v>-94.261939341011043</c:v>
                </c:pt>
                <c:pt idx="561">
                  <c:v>-94.354619894616036</c:v>
                </c:pt>
                <c:pt idx="562">
                  <c:v>-94.446821646704763</c:v>
                </c:pt>
                <c:pt idx="563">
                  <c:v>-94.540524044528084</c:v>
                </c:pt>
                <c:pt idx="564">
                  <c:v>-94.633759388302963</c:v>
                </c:pt>
                <c:pt idx="565">
                  <c:v>-94.728876419174227</c:v>
                </c:pt>
                <c:pt idx="566">
                  <c:v>-94.823534527233036</c:v>
                </c:pt>
                <c:pt idx="567">
                  <c:v>-94.920060127255056</c:v>
                </c:pt>
                <c:pt idx="568">
                  <c:v>-95.016135406999354</c:v>
                </c:pt>
                <c:pt idx="569">
                  <c:v>-95.113683699451201</c:v>
                </c:pt>
                <c:pt idx="570">
                  <c:v>-95.210794052013682</c:v>
                </c:pt>
                <c:pt idx="571">
                  <c:v>-95.310129206531997</c:v>
                </c:pt>
                <c:pt idx="572">
                  <c:v>-95.40903224526113</c:v>
                </c:pt>
                <c:pt idx="573">
                  <c:v>-95.509392989640503</c:v>
                </c:pt>
                <c:pt idx="574">
                  <c:v>-95.609334294217831</c:v>
                </c:pt>
                <c:pt idx="575">
                  <c:v>-95.711474210379038</c:v>
                </c:pt>
                <c:pt idx="576">
                  <c:v>-95.813201267744859</c:v>
                </c:pt>
                <c:pt idx="577">
                  <c:v>-96.239600441714984</c:v>
                </c:pt>
                <c:pt idx="578">
                  <c:v>-96.659757742028575</c:v>
                </c:pt>
                <c:pt idx="579">
                  <c:v>-97.562261421961523</c:v>
                </c:pt>
                <c:pt idx="580">
                  <c:v>-98.529816057936898</c:v>
                </c:pt>
                <c:pt idx="581">
                  <c:v>-99.56924871247972</c:v>
                </c:pt>
                <c:pt idx="582">
                  <c:v>-100.69002922859191</c:v>
                </c:pt>
                <c:pt idx="583">
                  <c:v>-101.90086464166555</c:v>
                </c:pt>
                <c:pt idx="584">
                  <c:v>-103.21308737308325</c:v>
                </c:pt>
                <c:pt idx="585">
                  <c:v>-104.63744604532479</c:v>
                </c:pt>
                <c:pt idx="586">
                  <c:v>-106.18688953057688</c:v>
                </c:pt>
                <c:pt idx="587">
                  <c:v>-107.87680482936116</c:v>
                </c:pt>
                <c:pt idx="588">
                  <c:v>-109.7223121320167</c:v>
                </c:pt>
                <c:pt idx="589">
                  <c:v>-111.74477794603139</c:v>
                </c:pt>
                <c:pt idx="590">
                  <c:v>-113.96810728754407</c:v>
                </c:pt>
                <c:pt idx="591">
                  <c:v>-116.42430754134415</c:v>
                </c:pt>
                <c:pt idx="592">
                  <c:v>-119.15648302953643</c:v>
                </c:pt>
                <c:pt idx="593">
                  <c:v>-122.22864449495638</c:v>
                </c:pt>
                <c:pt idx="594">
                  <c:v>-125.73818266734253</c:v>
                </c:pt>
                <c:pt idx="595">
                  <c:v>-129.84989537805697</c:v>
                </c:pt>
                <c:pt idx="596">
                  <c:v>-134.86044420817055</c:v>
                </c:pt>
                <c:pt idx="597">
                  <c:v>-141.36496814744891</c:v>
                </c:pt>
                <c:pt idx="598">
                  <c:v>-150.69521681824762</c:v>
                </c:pt>
                <c:pt idx="599">
                  <c:v>-166.24701878318362</c:v>
                </c:pt>
                <c:pt idx="600">
                  <c:v>-196.19504932073804</c:v>
                </c:pt>
              </c:numCache>
            </c:numRef>
          </c:yVal>
          <c:smooth val="0"/>
          <c:extLst>
            <c:ext xmlns:c16="http://schemas.microsoft.com/office/drawing/2014/chart" uri="{C3380CC4-5D6E-409C-BE32-E72D297353CC}">
              <c16:uniqueId val="{0000000B-10BD-4998-8A98-65686C23F2C0}"/>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C-10BD-4998-8A98-65686C23F2C0}"/>
              </c:ext>
            </c:extLst>
          </c:dPt>
          <c:xVal>
            <c:numRef>
              <c:f>'Ch2 Stability Calculations'!$A$617:$A$618</c:f>
              <c:numCache>
                <c:formatCode>General</c:formatCode>
                <c:ptCount val="2"/>
                <c:pt idx="0">
                  <c:v>59570</c:v>
                </c:pt>
                <c:pt idx="1">
                  <c:v>59570</c:v>
                </c:pt>
              </c:numCache>
            </c:numRef>
          </c:xVal>
          <c:yVal>
            <c:numRef>
              <c:f>'Ch2 Stability Calculations'!$R$617:$R$618</c:f>
              <c:numCache>
                <c:formatCode>0.00</c:formatCode>
                <c:ptCount val="2"/>
                <c:pt idx="0">
                  <c:v>-90.545879884477984</c:v>
                </c:pt>
                <c:pt idx="1">
                  <c:v>-135</c:v>
                </c:pt>
              </c:numCache>
            </c:numRef>
          </c:yVal>
          <c:smooth val="0"/>
          <c:extLst>
            <c:ext xmlns:c16="http://schemas.microsoft.com/office/drawing/2014/chart" uri="{C3380CC4-5D6E-409C-BE32-E72D297353CC}">
              <c16:uniqueId val="{0000000D-10BD-4998-8A98-65686C23F2C0}"/>
            </c:ext>
          </c:extLst>
        </c:ser>
        <c:ser>
          <c:idx val="0"/>
          <c:order val="8"/>
          <c:tx>
            <c:v>Fc2</c:v>
          </c:tx>
          <c:spPr>
            <a:ln w="22225">
              <a:solidFill>
                <a:schemeClr val="tx1">
                  <a:lumMod val="50000"/>
                  <a:lumOff val="50000"/>
                </a:schemeClr>
              </a:solidFill>
              <a:prstDash val="sysDash"/>
            </a:ln>
          </c:spPr>
          <c:marker>
            <c:symbol val="none"/>
          </c:marker>
          <c:xVal>
            <c:numRef>
              <c:f>'Ch2 Stability Calculations'!$A$619:$A$620</c:f>
              <c:numCache>
                <c:formatCode>General</c:formatCode>
                <c:ptCount val="2"/>
                <c:pt idx="0">
                  <c:v>59570</c:v>
                </c:pt>
                <c:pt idx="1">
                  <c:v>1000000</c:v>
                </c:pt>
              </c:numCache>
            </c:numRef>
          </c:xVal>
          <c:yVal>
            <c:numRef>
              <c:f>'Ch2 Stability Calculations'!$R$619:$R$620</c:f>
              <c:numCache>
                <c:formatCode>0.00</c:formatCode>
                <c:ptCount val="2"/>
                <c:pt idx="1">
                  <c:v>-90.545879884477984</c:v>
                </c:pt>
              </c:numCache>
            </c:numRef>
          </c:yVal>
          <c:smooth val="0"/>
          <c:extLst>
            <c:ext xmlns:c16="http://schemas.microsoft.com/office/drawing/2014/chart" uri="{C3380CC4-5D6E-409C-BE32-E72D297353CC}">
              <c16:uniqueId val="{0000000E-10BD-4998-8A98-65686C23F2C0}"/>
            </c:ext>
          </c:extLst>
        </c:ser>
        <c:dLbls>
          <c:showLegendKey val="0"/>
          <c:showVal val="0"/>
          <c:showCatName val="0"/>
          <c:showSerName val="0"/>
          <c:showPercent val="0"/>
          <c:showBubbleSize val="0"/>
        </c:dLbls>
        <c:axId val="185190272"/>
        <c:axId val="185191808"/>
      </c:scatterChart>
      <c:valAx>
        <c:axId val="185161600"/>
        <c:scaling>
          <c:logBase val="10"/>
          <c:orientation val="minMax"/>
          <c:max val="1000000"/>
          <c:min val="1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85188352"/>
        <c:crossesAt val="-80"/>
        <c:crossBetween val="midCat"/>
      </c:valAx>
      <c:valAx>
        <c:axId val="185188352"/>
        <c:scaling>
          <c:orientation val="minMax"/>
          <c:max val="8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85161600"/>
        <c:crossesAt val="1.0000000000000005E-2"/>
        <c:crossBetween val="midCat"/>
        <c:majorUnit val="20"/>
      </c:valAx>
      <c:valAx>
        <c:axId val="185190272"/>
        <c:scaling>
          <c:logBase val="10"/>
          <c:orientation val="minMax"/>
        </c:scaling>
        <c:delete val="1"/>
        <c:axPos val="b"/>
        <c:numFmt formatCode="General" sourceLinked="1"/>
        <c:majorTickMark val="out"/>
        <c:minorTickMark val="none"/>
        <c:tickLblPos val="none"/>
        <c:crossAx val="185191808"/>
        <c:crosses val="autoZero"/>
        <c:crossBetween val="midCat"/>
      </c:valAx>
      <c:valAx>
        <c:axId val="185191808"/>
        <c:scaling>
          <c:orientation val="minMax"/>
          <c:max val="-45"/>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85190272"/>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'Efficiency Calculations'!$AW$8</c:f>
              <c:strCache>
                <c:ptCount val="1"/>
                <c:pt idx="0">
                  <c:v>Buck ''CONTROL'' MOSFET Temp Rise</c:v>
                </c:pt>
              </c:strCache>
            </c:strRef>
          </c:tx>
          <c:spPr>
            <a:ln w="31750">
              <a:solidFill>
                <a:srgbClr val="000080"/>
              </a:solidFill>
              <a:prstDash val="dash"/>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Calculations'!$AW$9:$AW$109</c:f>
              <c:numCache>
                <c:formatCode>0.0</c:formatCode>
                <c:ptCount val="101"/>
                <c:pt idx="0">
                  <c:v>31.255920230887611</c:v>
                </c:pt>
                <c:pt idx="1">
                  <c:v>32.536866711200105</c:v>
                </c:pt>
                <c:pt idx="2">
                  <c:v>33.775621600638402</c:v>
                </c:pt>
                <c:pt idx="3">
                  <c:v>34.972186333471832</c:v>
                </c:pt>
                <c:pt idx="4">
                  <c:v>36.126561982796986</c:v>
                </c:pt>
                <c:pt idx="5">
                  <c:v>37.238749260324063</c:v>
                </c:pt>
                <c:pt idx="6">
                  <c:v>38.308748516155639</c:v>
                </c:pt>
                <c:pt idx="7">
                  <c:v>39.336559738557611</c:v>
                </c:pt>
                <c:pt idx="8">
                  <c:v>40.3221825537223</c:v>
                </c:pt>
                <c:pt idx="9">
                  <c:v>41.366247021288878</c:v>
                </c:pt>
                <c:pt idx="10">
                  <c:v>42.439341568989327</c:v>
                </c:pt>
                <c:pt idx="11">
                  <c:v>43.512848675680758</c:v>
                </c:pt>
                <c:pt idx="12">
                  <c:v>44.586769371503962</c:v>
                </c:pt>
                <c:pt idx="13">
                  <c:v>45.66110469063802</c:v>
                </c:pt>
                <c:pt idx="14">
                  <c:v>46.735855671317587</c:v>
                </c:pt>
                <c:pt idx="15">
                  <c:v>47.811023355850367</c:v>
                </c:pt>
                <c:pt idx="16">
                  <c:v>48.886608790634583</c:v>
                </c:pt>
                <c:pt idx="17">
                  <c:v>49.962613026176619</c:v>
                </c:pt>
                <c:pt idx="18">
                  <c:v>51.039037117108741</c:v>
                </c:pt>
                <c:pt idx="19">
                  <c:v>52.115882122206955</c:v>
                </c:pt>
                <c:pt idx="20">
                  <c:v>53.193149104408889</c:v>
                </c:pt>
                <c:pt idx="21">
                  <c:v>54.270839130831838</c:v>
                </c:pt>
                <c:pt idx="22">
                  <c:v>55.348953272790943</c:v>
                </c:pt>
                <c:pt idx="23">
                  <c:v>56.427492605817385</c:v>
                </c:pt>
                <c:pt idx="24">
                  <c:v>57.506458209676758</c:v>
                </c:pt>
                <c:pt idx="25">
                  <c:v>58.585851168387492</c:v>
                </c:pt>
                <c:pt idx="26">
                  <c:v>59.665672570239472</c:v>
                </c:pt>
                <c:pt idx="27">
                  <c:v>60.745923507812627</c:v>
                </c:pt>
                <c:pt idx="28">
                  <c:v>61.826605077995801</c:v>
                </c:pt>
                <c:pt idx="29">
                  <c:v>62.907718382005548</c:v>
                </c:pt>
                <c:pt idx="30">
                  <c:v>63.98926452540519</c:v>
                </c:pt>
                <c:pt idx="31">
                  <c:v>65.071244618123899</c:v>
                </c:pt>
                <c:pt idx="32">
                  <c:v>66.153659774475926</c:v>
                </c:pt>
                <c:pt idx="33">
                  <c:v>67.23651111317983</c:v>
                </c:pt>
                <c:pt idx="34">
                  <c:v>68.319799757378121</c:v>
                </c:pt>
                <c:pt idx="35">
                  <c:v>69.403526834656631</c:v>
                </c:pt>
                <c:pt idx="36">
                  <c:v>70.487693477064255</c:v>
                </c:pt>
                <c:pt idx="37">
                  <c:v>71.5723008211327</c:v>
                </c:pt>
                <c:pt idx="38">
                  <c:v>72.65735000789644</c:v>
                </c:pt>
                <c:pt idx="39">
                  <c:v>73.742842182912625</c:v>
                </c:pt>
                <c:pt idx="40">
                  <c:v>74.828778496281373</c:v>
                </c:pt>
                <c:pt idx="41">
                  <c:v>75.915160102665837</c:v>
                </c:pt>
                <c:pt idx="42">
                  <c:v>77.001988161312667</c:v>
                </c:pt>
                <c:pt idx="43">
                  <c:v>78.089263836072462</c:v>
                </c:pt>
                <c:pt idx="44">
                  <c:v>79.176988295420415</c:v>
                </c:pt>
                <c:pt idx="45">
                  <c:v>80.26516271247695</c:v>
                </c:pt>
                <c:pt idx="46">
                  <c:v>81.353788265028655</c:v>
                </c:pt>
                <c:pt idx="47">
                  <c:v>82.442866135549252</c:v>
                </c:pt>
                <c:pt idx="48">
                  <c:v>83.532397511220523</c:v>
                </c:pt>
                <c:pt idx="49">
                  <c:v>84.622383583953777</c:v>
                </c:pt>
                <c:pt idx="50">
                  <c:v>85.712825550410926</c:v>
                </c:pt>
                <c:pt idx="51">
                  <c:v>86.803724612026187</c:v>
                </c:pt>
                <c:pt idx="52">
                  <c:v>87.895081975027466</c:v>
                </c:pt>
                <c:pt idx="53">
                  <c:v>88.986898850458189</c:v>
                </c:pt>
                <c:pt idx="54">
                  <c:v>90.079176454199114</c:v>
                </c:pt>
                <c:pt idx="55">
                  <c:v>91.171916006990273</c:v>
                </c:pt>
                <c:pt idx="56">
                  <c:v>92.265118734453111</c:v>
                </c:pt>
                <c:pt idx="57">
                  <c:v>93.358785867112701</c:v>
                </c:pt>
                <c:pt idx="58">
                  <c:v>94.452918640420108</c:v>
                </c:pt>
                <c:pt idx="59">
                  <c:v>95.547518294774818</c:v>
                </c:pt>
                <c:pt idx="60">
                  <c:v>96.642586075547456</c:v>
                </c:pt>
                <c:pt idx="61">
                  <c:v>97.738123233102499</c:v>
                </c:pt>
                <c:pt idx="62">
                  <c:v>98.834131022821168</c:v>
                </c:pt>
                <c:pt idx="63">
                  <c:v>99.93061070512438</c:v>
                </c:pt>
                <c:pt idx="64">
                  <c:v>101.02756354549609</c:v>
                </c:pt>
                <c:pt idx="65">
                  <c:v>102.12499081450642</c:v>
                </c:pt>
                <c:pt idx="66">
                  <c:v>103.22289378783513</c:v>
                </c:pt>
                <c:pt idx="67">
                  <c:v>104.32127374629529</c:v>
                </c:pt>
                <c:pt idx="68">
                  <c:v>105.42013197585685</c:v>
                </c:pt>
                <c:pt idx="69">
                  <c:v>106.51946976767069</c:v>
                </c:pt>
                <c:pt idx="70">
                  <c:v>107.61928841809227</c:v>
                </c:pt>
                <c:pt idx="71">
                  <c:v>108.71958922870624</c:v>
                </c:pt>
                <c:pt idx="72">
                  <c:v>109.82037350635035</c:v>
                </c:pt>
                <c:pt idx="73">
                  <c:v>110.92164256313998</c:v>
                </c:pt>
                <c:pt idx="74">
                  <c:v>112.02339771649279</c:v>
                </c:pt>
                <c:pt idx="75">
                  <c:v>113.12564028915337</c:v>
                </c:pt>
                <c:pt idx="76">
                  <c:v>114.2283716092181</c:v>
                </c:pt>
                <c:pt idx="77">
                  <c:v>115.33159301016018</c:v>
                </c:pt>
                <c:pt idx="78">
                  <c:v>116.4353058308548</c:v>
                </c:pt>
                <c:pt idx="79">
                  <c:v>117.53951141560447</c:v>
                </c:pt>
                <c:pt idx="80">
                  <c:v>118.64421111416435</c:v>
                </c:pt>
                <c:pt idx="81">
                  <c:v>119.74940628176813</c:v>
                </c:pt>
                <c:pt idx="82">
                  <c:v>120.85509827915348</c:v>
                </c:pt>
                <c:pt idx="83">
                  <c:v>121.96128847258831</c:v>
                </c:pt>
                <c:pt idx="84">
                  <c:v>123.06797823389648</c:v>
                </c:pt>
                <c:pt idx="85">
                  <c:v>124.17516894048435</c:v>
                </c:pt>
                <c:pt idx="86">
                  <c:v>125.28286197536703</c:v>
                </c:pt>
                <c:pt idx="87">
                  <c:v>126.39105872719485</c:v>
                </c:pt>
                <c:pt idx="88">
                  <c:v>127.4997605902803</c:v>
                </c:pt>
                <c:pt idx="89">
                  <c:v>128.60896896462469</c:v>
                </c:pt>
                <c:pt idx="90">
                  <c:v>129.71868525594522</c:v>
                </c:pt>
                <c:pt idx="91">
                  <c:v>130.82891087570229</c:v>
                </c:pt>
                <c:pt idx="92">
                  <c:v>131.93964724112672</c:v>
                </c:pt>
                <c:pt idx="93">
                  <c:v>133.05089577524737</c:v>
                </c:pt>
                <c:pt idx="94">
                  <c:v>134.16265790691872</c:v>
                </c:pt>
                <c:pt idx="95">
                  <c:v>135.27493507084881</c:v>
                </c:pt>
                <c:pt idx="96">
                  <c:v>136.3877287076273</c:v>
                </c:pt>
                <c:pt idx="97">
                  <c:v>137.50104026375348</c:v>
                </c:pt>
                <c:pt idx="98">
                  <c:v>138.61487119166495</c:v>
                </c:pt>
                <c:pt idx="99">
                  <c:v>139.72922294976573</c:v>
                </c:pt>
                <c:pt idx="100">
                  <c:v>140.84409700245538</c:v>
                </c:pt>
              </c:numCache>
            </c:numRef>
          </c:yVal>
          <c:smooth val="0"/>
          <c:extLst>
            <c:ext xmlns:c16="http://schemas.microsoft.com/office/drawing/2014/chart" uri="{C3380CC4-5D6E-409C-BE32-E72D297353CC}">
              <c16:uniqueId val="{00000000-EFF6-4CEF-8042-54EBF9C08737}"/>
            </c:ext>
          </c:extLst>
        </c:ser>
        <c:ser>
          <c:idx val="1"/>
          <c:order val="1"/>
          <c:tx>
            <c:strRef>
              <c:f>'Efficiency Calculations'!$AX$8</c:f>
              <c:strCache>
                <c:ptCount val="1"/>
                <c:pt idx="0">
                  <c:v>Buck ''SYNC'' MOSFET Temp Rise</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Calculations'!$AX$9:$AX$109</c:f>
              <c:numCache>
                <c:formatCode>0.0</c:formatCode>
                <c:ptCount val="101"/>
                <c:pt idx="0">
                  <c:v>0.32653070011276181</c:v>
                </c:pt>
                <c:pt idx="1">
                  <c:v>0.69765587789959083</c:v>
                </c:pt>
                <c:pt idx="2">
                  <c:v>1.0691435661821214</c:v>
                </c:pt>
                <c:pt idx="3">
                  <c:v>1.4409938978185419</c:v>
                </c:pt>
                <c:pt idx="4">
                  <c:v>1.8132070087937293</c:v>
                </c:pt>
                <c:pt idx="5">
                  <c:v>2.1857830382206669</c:v>
                </c:pt>
                <c:pt idx="6">
                  <c:v>2.5587221283419361</c:v>
                </c:pt>
                <c:pt idx="7">
                  <c:v>2.9320244245312717</c:v>
                </c:pt>
                <c:pt idx="8">
                  <c:v>3.3056900752951841</c:v>
                </c:pt>
                <c:pt idx="9">
                  <c:v>3.7089249632607424</c:v>
                </c:pt>
                <c:pt idx="10">
                  <c:v>4.1223914206451395</c:v>
                </c:pt>
                <c:pt idx="11">
                  <c:v>4.5362229296703171</c:v>
                </c:pt>
                <c:pt idx="12">
                  <c:v>4.9504198209444503</c:v>
                </c:pt>
                <c:pt idx="13">
                  <c:v>5.3649824282145104</c:v>
                </c:pt>
                <c:pt idx="14">
                  <c:v>5.779911088370735</c:v>
                </c:pt>
                <c:pt idx="15">
                  <c:v>6.1952061414511883</c:v>
                </c:pt>
                <c:pt idx="16">
                  <c:v>6.6108679306463713</c:v>
                </c:pt>
                <c:pt idx="17">
                  <c:v>7.0268968023038987</c:v>
                </c:pt>
                <c:pt idx="18">
                  <c:v>7.4432931059332716</c:v>
                </c:pt>
                <c:pt idx="19">
                  <c:v>7.8600571942106754</c:v>
                </c:pt>
                <c:pt idx="20">
                  <c:v>8.2771894229838807</c:v>
                </c:pt>
                <c:pt idx="21">
                  <c:v>8.6946901512771966</c:v>
                </c:pt>
                <c:pt idx="22">
                  <c:v>9.1125597412964972</c:v>
                </c:pt>
                <c:pt idx="23">
                  <c:v>9.5307985584343093</c:v>
                </c:pt>
                <c:pt idx="24">
                  <c:v>9.9494069712749944</c:v>
                </c:pt>
                <c:pt idx="25">
                  <c:v>10.368385351599954</c:v>
                </c:pt>
                <c:pt idx="26">
                  <c:v>10.787734074392949</c:v>
                </c:pt>
                <c:pt idx="27">
                  <c:v>11.207453517845458</c:v>
                </c:pt>
                <c:pt idx="28">
                  <c:v>11.627544063362134</c:v>
                </c:pt>
                <c:pt idx="29">
                  <c:v>12.048006095566299</c:v>
                </c:pt>
                <c:pt idx="30">
                  <c:v>12.468840002305521</c:v>
                </c:pt>
                <c:pt idx="31">
                  <c:v>12.890046174657286</c:v>
                </c:pt>
                <c:pt idx="32">
                  <c:v>13.31162500693468</c:v>
                </c:pt>
                <c:pt idx="33">
                  <c:v>13.733576896692208</c:v>
                </c:pt>
                <c:pt idx="34">
                  <c:v>14.155902244731651</c:v>
                </c:pt>
                <c:pt idx="35">
                  <c:v>14.578601455107989</c:v>
                </c:pt>
                <c:pt idx="36">
                  <c:v>15.001674935135398</c:v>
                </c:pt>
                <c:pt idx="37">
                  <c:v>15.425123095393337</c:v>
                </c:pt>
                <c:pt idx="38">
                  <c:v>15.848946349732676</c:v>
                </c:pt>
                <c:pt idx="39">
                  <c:v>16.27314511528192</c:v>
                </c:pt>
                <c:pt idx="40">
                  <c:v>16.69771981245351</c:v>
                </c:pt>
                <c:pt idx="41">
                  <c:v>17.122670864950145</c:v>
                </c:pt>
                <c:pt idx="42">
                  <c:v>17.547998699771252</c:v>
                </c:pt>
                <c:pt idx="43">
                  <c:v>17.97370374721946</c:v>
                </c:pt>
                <c:pt idx="44">
                  <c:v>18.399786440907189</c:v>
                </c:pt>
                <c:pt idx="45">
                  <c:v>18.826247217763299</c:v>
                </c:pt>
                <c:pt idx="46">
                  <c:v>19.253086518039805</c:v>
                </c:pt>
                <c:pt idx="47">
                  <c:v>19.68030478531869</c:v>
                </c:pt>
                <c:pt idx="48">
                  <c:v>20.10790246651872</c:v>
                </c:pt>
                <c:pt idx="49">
                  <c:v>20.535880011902449</c:v>
                </c:pt>
                <c:pt idx="50">
                  <c:v>20.964237875083196</c:v>
                </c:pt>
                <c:pt idx="51">
                  <c:v>21.392976513032142</c:v>
                </c:pt>
                <c:pt idx="52">
                  <c:v>21.822096386085505</c:v>
                </c:pt>
                <c:pt idx="53">
                  <c:v>22.251597957951734</c:v>
                </c:pt>
                <c:pt idx="54">
                  <c:v>22.681481695718894</c:v>
                </c:pt>
                <c:pt idx="55">
                  <c:v>23.111748069861967</c:v>
                </c:pt>
                <c:pt idx="56">
                  <c:v>23.542397554250392</c:v>
                </c:pt>
                <c:pt idx="57">
                  <c:v>23.973430626155558</c:v>
                </c:pt>
                <c:pt idx="58">
                  <c:v>24.40484776625841</c:v>
                </c:pt>
                <c:pt idx="59">
                  <c:v>24.836649458657174</c:v>
                </c:pt>
                <c:pt idx="60">
                  <c:v>25.268836190875099</c:v>
                </c:pt>
                <c:pt idx="61">
                  <c:v>25.701408453868293</c:v>
                </c:pt>
                <c:pt idx="62">
                  <c:v>26.134366742033652</c:v>
                </c:pt>
                <c:pt idx="63">
                  <c:v>26.567711553216849</c:v>
                </c:pt>
                <c:pt idx="64">
                  <c:v>27.001443388720428</c:v>
                </c:pt>
                <c:pt idx="65">
                  <c:v>27.435562753311906</c:v>
                </c:pt>
                <c:pt idx="66">
                  <c:v>27.870070155232057</c:v>
                </c:pt>
                <c:pt idx="67">
                  <c:v>28.304966106203178</c:v>
                </c:pt>
                <c:pt idx="68">
                  <c:v>28.740251121437485</c:v>
                </c:pt>
                <c:pt idx="69">
                  <c:v>29.175925719645587</c:v>
                </c:pt>
                <c:pt idx="70">
                  <c:v>29.611990423044983</c:v>
                </c:pt>
                <c:pt idx="71">
                  <c:v>30.048445757368761</c:v>
                </c:pt>
                <c:pt idx="72">
                  <c:v>30.48529225187422</c:v>
                </c:pt>
                <c:pt idx="73">
                  <c:v>30.922530439351704</c:v>
                </c:pt>
                <c:pt idx="74">
                  <c:v>31.360160856133419</c:v>
                </c:pt>
                <c:pt idx="75">
                  <c:v>31.798184042102413</c:v>
                </c:pt>
                <c:pt idx="76">
                  <c:v>32.236600540701559</c:v>
                </c:pt>
                <c:pt idx="77">
                  <c:v>32.675410898942715</c:v>
                </c:pt>
                <c:pt idx="78">
                  <c:v>33.114615667415819</c:v>
                </c:pt>
                <c:pt idx="79">
                  <c:v>33.554215400298247</c:v>
                </c:pt>
                <c:pt idx="80">
                  <c:v>33.9942106553641</c:v>
                </c:pt>
                <c:pt idx="81">
                  <c:v>34.434601993993653</c:v>
                </c:pt>
                <c:pt idx="82">
                  <c:v>34.875389981182842</c:v>
                </c:pt>
                <c:pt idx="83">
                  <c:v>35.316575185552949</c:v>
                </c:pt>
                <c:pt idx="84">
                  <c:v>35.758158179360137</c:v>
                </c:pt>
                <c:pt idx="85">
                  <c:v>36.200139538505319</c:v>
                </c:pt>
                <c:pt idx="86">
                  <c:v>36.64251984254399</c:v>
                </c:pt>
                <c:pt idx="87">
                  <c:v>37.085299674696124</c:v>
                </c:pt>
                <c:pt idx="88">
                  <c:v>37.528479621856206</c:v>
                </c:pt>
                <c:pt idx="89">
                  <c:v>37.972060274603322</c:v>
                </c:pt>
                <c:pt idx="90">
                  <c:v>38.416042227211371</c:v>
                </c:pt>
                <c:pt idx="91">
                  <c:v>38.860426077659326</c:v>
                </c:pt>
                <c:pt idx="92">
                  <c:v>39.305212427641543</c:v>
                </c:pt>
                <c:pt idx="93">
                  <c:v>39.750401882578316</c:v>
                </c:pt>
                <c:pt idx="94">
                  <c:v>40.195995051626277</c:v>
                </c:pt>
                <c:pt idx="95">
                  <c:v>40.641992547689085</c:v>
                </c:pt>
                <c:pt idx="96">
                  <c:v>41.088394987428146</c:v>
                </c:pt>
                <c:pt idx="97">
                  <c:v>41.535202991273366</c:v>
                </c:pt>
                <c:pt idx="98">
                  <c:v>41.982417183434059</c:v>
                </c:pt>
                <c:pt idx="99">
                  <c:v>42.430038191909887</c:v>
                </c:pt>
                <c:pt idx="100">
                  <c:v>42.878066648501978</c:v>
                </c:pt>
              </c:numCache>
            </c:numRef>
          </c:yVal>
          <c:smooth val="0"/>
          <c:extLst>
            <c:ext xmlns:c16="http://schemas.microsoft.com/office/drawing/2014/chart" uri="{C3380CC4-5D6E-409C-BE32-E72D297353CC}">
              <c16:uniqueId val="{00000001-EFF6-4CEF-8042-54EBF9C08737}"/>
            </c:ext>
          </c:extLst>
        </c:ser>
        <c:dLbls>
          <c:showLegendKey val="0"/>
          <c:showVal val="0"/>
          <c:showCatName val="0"/>
          <c:showSerName val="0"/>
          <c:showPercent val="0"/>
          <c:showBubbleSize val="0"/>
        </c:dLbls>
        <c:axId val="196498944"/>
        <c:axId val="196500864"/>
      </c:scatterChart>
      <c:valAx>
        <c:axId val="196498944"/>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6500864"/>
        <c:crosses val="autoZero"/>
        <c:crossBetween val="midCat"/>
      </c:valAx>
      <c:valAx>
        <c:axId val="196500864"/>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649894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High-side MOSFET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Calculations'!$AI$8</c:f>
              <c:strCache>
                <c:ptCount val="1"/>
                <c:pt idx="0">
                  <c:v>RDS(on) Loss</c:v>
                </c:pt>
              </c:strCache>
            </c:strRef>
          </c:tx>
          <c:spPr>
            <a:ln w="25400">
              <a:solidFill>
                <a:srgbClr val="000080"/>
              </a:solidFill>
              <a:prstDash val="dash"/>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Calculations'!$AC$9:$AC$109</c:f>
              <c:numCache>
                <c:formatCode>0.000</c:formatCode>
                <c:ptCount val="101"/>
                <c:pt idx="0">
                  <c:v>8.0942785792196162E-5</c:v>
                </c:pt>
                <c:pt idx="1">
                  <c:v>8.4540810971070991E-5</c:v>
                </c:pt>
                <c:pt idx="2">
                  <c:v>9.5284333188018169E-5</c:v>
                </c:pt>
                <c:pt idx="3">
                  <c:v>1.1317598842222438E-4</c:v>
                </c:pt>
                <c:pt idx="4">
                  <c:v>1.382184124897069E-4</c:v>
                </c:pt>
                <c:pt idx="5">
                  <c:v>1.7041424104332576E-4</c:v>
                </c:pt>
                <c:pt idx="6">
                  <c:v>2.0976610957279632E-4</c:v>
                </c:pt>
                <c:pt idx="7">
                  <c:v>2.5627665340470247E-4</c:v>
                </c:pt>
                <c:pt idx="8">
                  <c:v>3.0994850770250883E-4</c:v>
                </c:pt>
                <c:pt idx="9">
                  <c:v>3.7078430746657296E-4</c:v>
                </c:pt>
                <c:pt idx="10">
                  <c:v>4.387866875341592E-4</c:v>
                </c:pt>
                <c:pt idx="11">
                  <c:v>5.1395828257944998E-4</c:v>
                </c:pt>
                <c:pt idx="12">
                  <c:v>5.9630172711355853E-4</c:v>
                </c:pt>
                <c:pt idx="13">
                  <c:v>6.8581965548454376E-4</c:v>
                </c:pt>
                <c:pt idx="14">
                  <c:v>7.8251470187741924E-4</c:v>
                </c:pt>
                <c:pt idx="15">
                  <c:v>8.8638950031416826E-4</c:v>
                </c:pt>
                <c:pt idx="16">
                  <c:v>9.974466846537557E-4</c:v>
                </c:pt>
                <c:pt idx="17">
                  <c:v>1.1156888885921412E-3</c:v>
                </c:pt>
                <c:pt idx="18">
                  <c:v>1.2411187456622904E-3</c:v>
                </c:pt>
                <c:pt idx="19">
                  <c:v>1.3737388892341906E-3</c:v>
                </c:pt>
                <c:pt idx="20">
                  <c:v>1.5135519525148579E-3</c:v>
                </c:pt>
                <c:pt idx="21">
                  <c:v>1.6605605685483561E-3</c:v>
                </c:pt>
                <c:pt idx="22">
                  <c:v>1.814767370215806E-3</c:v>
                </c:pt>
                <c:pt idx="23">
                  <c:v>1.9761749902353957E-3</c:v>
                </c:pt>
                <c:pt idx="24">
                  <c:v>2.1447860611623999E-3</c:v>
                </c:pt>
                <c:pt idx="25">
                  <c:v>2.3206032153891849E-3</c:v>
                </c:pt>
                <c:pt idx="26">
                  <c:v>2.5036290851452279E-3</c:v>
                </c:pt>
                <c:pt idx="27">
                  <c:v>2.6938663024971233E-3</c:v>
                </c:pt>
                <c:pt idx="28">
                  <c:v>2.8913174993485998E-3</c:v>
                </c:pt>
                <c:pt idx="29">
                  <c:v>3.0959853074405339E-3</c:v>
                </c:pt>
                <c:pt idx="30">
                  <c:v>3.3078723583509573E-3</c:v>
                </c:pt>
                <c:pt idx="31">
                  <c:v>3.5269812834950727E-3</c:v>
                </c:pt>
                <c:pt idx="32">
                  <c:v>3.7533147141252687E-3</c:v>
                </c:pt>
                <c:pt idx="33">
                  <c:v>3.9868752813311233E-3</c:v>
                </c:pt>
                <c:pt idx="34">
                  <c:v>4.227665616039435E-3</c:v>
                </c:pt>
                <c:pt idx="35">
                  <c:v>4.4756883490142101E-3</c:v>
                </c:pt>
                <c:pt idx="36">
                  <c:v>4.7309461108567003E-3</c:v>
                </c:pt>
                <c:pt idx="37">
                  <c:v>4.9934415320053924E-3</c:v>
                </c:pt>
                <c:pt idx="38">
                  <c:v>5.2631772427360413E-3</c:v>
                </c:pt>
                <c:pt idx="39">
                  <c:v>5.5401558731616686E-3</c:v>
                </c:pt>
                <c:pt idx="40">
                  <c:v>5.8243800532325803E-3</c:v>
                </c:pt>
                <c:pt idx="41">
                  <c:v>6.1158524127363813E-3</c:v>
                </c:pt>
                <c:pt idx="42">
                  <c:v>6.4145755812979885E-3</c:v>
                </c:pt>
                <c:pt idx="43">
                  <c:v>6.7205521883796247E-3</c:v>
                </c:pt>
                <c:pt idx="44">
                  <c:v>7.0337848632808708E-3</c:v>
                </c:pt>
                <c:pt idx="45">
                  <c:v>7.3542762351386341E-3</c:v>
                </c:pt>
                <c:pt idx="46">
                  <c:v>7.6820289329271952E-3</c:v>
                </c:pt>
                <c:pt idx="47">
                  <c:v>8.0170455854582066E-3</c:v>
                </c:pt>
                <c:pt idx="48">
                  <c:v>8.3593288213806884E-3</c:v>
                </c:pt>
                <c:pt idx="49">
                  <c:v>8.7088812691810766E-3</c:v>
                </c:pt>
                <c:pt idx="50">
                  <c:v>9.0657055571832061E-3</c:v>
                </c:pt>
                <c:pt idx="51">
                  <c:v>9.4298043135483487E-3</c:v>
                </c:pt>
                <c:pt idx="52">
                  <c:v>9.8011801662751946E-3</c:v>
                </c:pt>
                <c:pt idx="53">
                  <c:v>1.0179835743199885E-2</c:v>
                </c:pt>
                <c:pt idx="54">
                  <c:v>1.0565773671996032E-2</c:v>
                </c:pt>
                <c:pt idx="55">
                  <c:v>1.0958996580174707E-2</c:v>
                </c:pt>
                <c:pt idx="56">
                  <c:v>1.1359507095084473E-2</c:v>
                </c:pt>
                <c:pt idx="57">
                  <c:v>1.1767307843911395E-2</c:v>
                </c:pt>
                <c:pt idx="58">
                  <c:v>1.2182401453679034E-2</c:v>
                </c:pt>
                <c:pt idx="59">
                  <c:v>1.2604790551248496E-2</c:v>
                </c:pt>
                <c:pt idx="60">
                  <c:v>1.3034477763318399E-2</c:v>
                </c:pt>
                <c:pt idx="61">
                  <c:v>1.347146571642492E-2</c:v>
                </c:pt>
                <c:pt idx="62">
                  <c:v>1.3915757036941818E-2</c:v>
                </c:pt>
                <c:pt idx="63">
                  <c:v>1.436735435108037E-2</c:v>
                </c:pt>
                <c:pt idx="64">
                  <c:v>1.4826260284889498E-2</c:v>
                </c:pt>
                <c:pt idx="65">
                  <c:v>1.5292477464255681E-2</c:v>
                </c:pt>
                <c:pt idx="66">
                  <c:v>1.5766008514903038E-2</c:v>
                </c:pt>
                <c:pt idx="67">
                  <c:v>1.6246856062393303E-2</c:v>
                </c:pt>
                <c:pt idx="68">
                  <c:v>1.6735022732125814E-2</c:v>
                </c:pt>
                <c:pt idx="69">
                  <c:v>1.7230511149337612E-2</c:v>
                </c:pt>
                <c:pt idx="70">
                  <c:v>1.7733323939103356E-2</c:v>
                </c:pt>
                <c:pt idx="71">
                  <c:v>1.8243463726335396E-2</c:v>
                </c:pt>
                <c:pt idx="72">
                  <c:v>1.8760933135783777E-2</c:v>
                </c:pt>
                <c:pt idx="73">
                  <c:v>1.928573479203622E-2</c:v>
                </c:pt>
                <c:pt idx="74">
                  <c:v>1.9817871319518173E-2</c:v>
                </c:pt>
                <c:pt idx="75">
                  <c:v>2.0357345342492807E-2</c:v>
                </c:pt>
                <c:pt idx="76">
                  <c:v>2.0904159485061025E-2</c:v>
                </c:pt>
                <c:pt idx="77">
                  <c:v>2.1458316371161492E-2</c:v>
                </c:pt>
                <c:pt idx="78">
                  <c:v>2.2019818624570586E-2</c:v>
                </c:pt>
                <c:pt idx="79">
                  <c:v>2.2588668868902539E-2</c:v>
                </c:pt>
                <c:pt idx="80">
                  <c:v>2.316486972760929E-2</c:v>
                </c:pt>
                <c:pt idx="81">
                  <c:v>2.3748423823980642E-2</c:v>
                </c:pt>
                <c:pt idx="82">
                  <c:v>2.4339333781144175E-2</c:v>
                </c:pt>
                <c:pt idx="83">
                  <c:v>2.4937602222065293E-2</c:v>
                </c:pt>
                <c:pt idx="84">
                  <c:v>2.5543231769547238E-2</c:v>
                </c:pt>
                <c:pt idx="85">
                  <c:v>2.6156225046231104E-2</c:v>
                </c:pt>
                <c:pt idx="86">
                  <c:v>2.677658467459584E-2</c:v>
                </c:pt>
                <c:pt idx="87">
                  <c:v>2.740431327695832E-2</c:v>
                </c:pt>
                <c:pt idx="88">
                  <c:v>2.8039413475473243E-2</c:v>
                </c:pt>
                <c:pt idx="89">
                  <c:v>2.8681887892133186E-2</c:v>
                </c:pt>
                <c:pt idx="90">
                  <c:v>2.9331739148768719E-2</c:v>
                </c:pt>
                <c:pt idx="91">
                  <c:v>2.9988969867048285E-2</c:v>
                </c:pt>
                <c:pt idx="92">
                  <c:v>3.0653582668478282E-2</c:v>
                </c:pt>
                <c:pt idx="93">
                  <c:v>3.1325580174403039E-2</c:v>
                </c:pt>
                <c:pt idx="94">
                  <c:v>3.2004965006004873E-2</c:v>
                </c:pt>
                <c:pt idx="95">
                  <c:v>3.2691739784304022E-2</c:v>
                </c:pt>
                <c:pt idx="96">
                  <c:v>3.3385907130158807E-2</c:v>
                </c:pt>
                <c:pt idx="97">
                  <c:v>3.4087469664265437E-2</c:v>
                </c:pt>
                <c:pt idx="98">
                  <c:v>3.4796430007158229E-2</c:v>
                </c:pt>
                <c:pt idx="99">
                  <c:v>3.5512790779209442E-2</c:v>
                </c:pt>
                <c:pt idx="100">
                  <c:v>3.6236554600629425E-2</c:v>
                </c:pt>
              </c:numCache>
            </c:numRef>
          </c:yVal>
          <c:smooth val="0"/>
          <c:extLst>
            <c:ext xmlns:c16="http://schemas.microsoft.com/office/drawing/2014/chart" uri="{C3380CC4-5D6E-409C-BE32-E72D297353CC}">
              <c16:uniqueId val="{00000000-707C-431D-A4F2-D6BD8D7D2451}"/>
            </c:ext>
          </c:extLst>
        </c:ser>
        <c:ser>
          <c:idx val="3"/>
          <c:order val="1"/>
          <c:tx>
            <c:strRef>
              <c:f>'Efficiency Calculations'!$AD$8</c:f>
              <c:strCache>
                <c:ptCount val="1"/>
                <c:pt idx="0">
                  <c:v>Transition Loss (not including capacitive loss)</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Calculations'!$AD$9:$AD$109</c:f>
              <c:numCache>
                <c:formatCode>0.000</c:formatCode>
                <c:ptCount val="101"/>
                <c:pt idx="0">
                  <c:v>0</c:v>
                </c:pt>
                <c:pt idx="1">
                  <c:v>3.9208233010212604E-3</c:v>
                </c:pt>
                <c:pt idx="2">
                  <c:v>7.8416466020425207E-3</c:v>
                </c:pt>
                <c:pt idx="3">
                  <c:v>1.1762469903063781E-2</c:v>
                </c:pt>
                <c:pt idx="4">
                  <c:v>1.5683293204085041E-2</c:v>
                </c:pt>
                <c:pt idx="5">
                  <c:v>1.9604116505106302E-2</c:v>
                </c:pt>
                <c:pt idx="6">
                  <c:v>2.3524939806127562E-2</c:v>
                </c:pt>
                <c:pt idx="7">
                  <c:v>2.7445763107148823E-2</c:v>
                </c:pt>
                <c:pt idx="8">
                  <c:v>3.1366586408170083E-2</c:v>
                </c:pt>
                <c:pt idx="9">
                  <c:v>3.528740970919135E-2</c:v>
                </c:pt>
                <c:pt idx="10">
                  <c:v>3.9208233010212604E-2</c:v>
                </c:pt>
                <c:pt idx="11">
                  <c:v>4.3129056311233864E-2</c:v>
                </c:pt>
                <c:pt idx="12">
                  <c:v>4.7049879612255124E-2</c:v>
                </c:pt>
                <c:pt idx="13">
                  <c:v>5.0970702913276385E-2</c:v>
                </c:pt>
                <c:pt idx="14">
                  <c:v>5.4891526214297645E-2</c:v>
                </c:pt>
                <c:pt idx="15">
                  <c:v>5.8812349515318905E-2</c:v>
                </c:pt>
                <c:pt idx="16">
                  <c:v>6.2733172816340166E-2</c:v>
                </c:pt>
                <c:pt idx="17">
                  <c:v>6.6653996117361405E-2</c:v>
                </c:pt>
                <c:pt idx="18">
                  <c:v>7.05748194183827E-2</c:v>
                </c:pt>
                <c:pt idx="19">
                  <c:v>7.449564271940394E-2</c:v>
                </c:pt>
                <c:pt idx="20">
                  <c:v>7.8416466020425207E-2</c:v>
                </c:pt>
                <c:pt idx="21">
                  <c:v>8.2337289321446461E-2</c:v>
                </c:pt>
                <c:pt idx="22">
                  <c:v>8.6258112622467728E-2</c:v>
                </c:pt>
                <c:pt idx="23">
                  <c:v>9.0178935923488981E-2</c:v>
                </c:pt>
                <c:pt idx="24">
                  <c:v>9.4099759224510249E-2</c:v>
                </c:pt>
                <c:pt idx="25">
                  <c:v>9.8020582525531502E-2</c:v>
                </c:pt>
                <c:pt idx="26">
                  <c:v>0.10194140582655277</c:v>
                </c:pt>
                <c:pt idx="27">
                  <c:v>0.10586222912757402</c:v>
                </c:pt>
                <c:pt idx="28">
                  <c:v>0.10978305242859529</c:v>
                </c:pt>
                <c:pt idx="29">
                  <c:v>0.11370387572961654</c:v>
                </c:pt>
                <c:pt idx="30">
                  <c:v>0.11762469903063781</c:v>
                </c:pt>
                <c:pt idx="31">
                  <c:v>0.12154552233165909</c:v>
                </c:pt>
                <c:pt idx="32">
                  <c:v>0.12546634563268033</c:v>
                </c:pt>
                <c:pt idx="33">
                  <c:v>0.12938716893370159</c:v>
                </c:pt>
                <c:pt idx="34">
                  <c:v>0.13330799223472281</c:v>
                </c:pt>
                <c:pt idx="35">
                  <c:v>0.13722881553574412</c:v>
                </c:pt>
                <c:pt idx="36">
                  <c:v>0.1411496388367654</c:v>
                </c:pt>
                <c:pt idx="37">
                  <c:v>0.14507046213778663</c:v>
                </c:pt>
                <c:pt idx="38">
                  <c:v>0.14899128543880788</c:v>
                </c:pt>
                <c:pt idx="39">
                  <c:v>0.15291210873982913</c:v>
                </c:pt>
                <c:pt idx="40">
                  <c:v>0.15683293204085041</c:v>
                </c:pt>
                <c:pt idx="41">
                  <c:v>0.16075375534187167</c:v>
                </c:pt>
                <c:pt idx="42">
                  <c:v>0.16467457864289292</c:v>
                </c:pt>
                <c:pt idx="43">
                  <c:v>0.16859540194391417</c:v>
                </c:pt>
                <c:pt idx="44">
                  <c:v>0.17251622524493546</c:v>
                </c:pt>
                <c:pt idx="45">
                  <c:v>0.17643704854595671</c:v>
                </c:pt>
                <c:pt idx="46">
                  <c:v>0.18035787184697796</c:v>
                </c:pt>
                <c:pt idx="47">
                  <c:v>0.18427869514799922</c:v>
                </c:pt>
                <c:pt idx="48">
                  <c:v>0.1881995184490205</c:v>
                </c:pt>
                <c:pt idx="49">
                  <c:v>0.19212034175004175</c:v>
                </c:pt>
                <c:pt idx="50">
                  <c:v>0.196041165051063</c:v>
                </c:pt>
                <c:pt idx="51">
                  <c:v>0.19996198835208426</c:v>
                </c:pt>
                <c:pt idx="52">
                  <c:v>0.20388281165310554</c:v>
                </c:pt>
                <c:pt idx="53">
                  <c:v>0.20780363495412679</c:v>
                </c:pt>
                <c:pt idx="54">
                  <c:v>0.21172445825514805</c:v>
                </c:pt>
                <c:pt idx="55">
                  <c:v>0.2156452815561693</c:v>
                </c:pt>
                <c:pt idx="56">
                  <c:v>0.21956610485719058</c:v>
                </c:pt>
                <c:pt idx="57">
                  <c:v>0.22348692815821183</c:v>
                </c:pt>
                <c:pt idx="58">
                  <c:v>0.22740775145923309</c:v>
                </c:pt>
                <c:pt idx="59">
                  <c:v>0.23132857476025434</c:v>
                </c:pt>
                <c:pt idx="60">
                  <c:v>0.23524939806127562</c:v>
                </c:pt>
                <c:pt idx="61">
                  <c:v>0.23917022136229688</c:v>
                </c:pt>
                <c:pt idx="62">
                  <c:v>0.24309104466331818</c:v>
                </c:pt>
                <c:pt idx="63">
                  <c:v>0.24701186796433933</c:v>
                </c:pt>
                <c:pt idx="64">
                  <c:v>0.25093269126536066</c:v>
                </c:pt>
                <c:pt idx="65">
                  <c:v>0.25485351456638189</c:v>
                </c:pt>
                <c:pt idx="66">
                  <c:v>0.25877433786740317</c:v>
                </c:pt>
                <c:pt idx="67">
                  <c:v>0.26269516116842451</c:v>
                </c:pt>
                <c:pt idx="68">
                  <c:v>0.26661598446944562</c:v>
                </c:pt>
                <c:pt idx="69">
                  <c:v>0.27053680777046696</c:v>
                </c:pt>
                <c:pt idx="70">
                  <c:v>0.27445763107148824</c:v>
                </c:pt>
                <c:pt idx="71">
                  <c:v>0.27837845437250947</c:v>
                </c:pt>
                <c:pt idx="72">
                  <c:v>0.2822992776735308</c:v>
                </c:pt>
                <c:pt idx="73">
                  <c:v>0.28622010097455192</c:v>
                </c:pt>
                <c:pt idx="74">
                  <c:v>0.29014092427557325</c:v>
                </c:pt>
                <c:pt idx="75">
                  <c:v>0.29406174757659453</c:v>
                </c:pt>
                <c:pt idx="76">
                  <c:v>0.29798257087761576</c:v>
                </c:pt>
                <c:pt idx="77">
                  <c:v>0.3019033941786371</c:v>
                </c:pt>
                <c:pt idx="78">
                  <c:v>0.30582421747965827</c:v>
                </c:pt>
                <c:pt idx="79">
                  <c:v>0.30974504078067955</c:v>
                </c:pt>
                <c:pt idx="80">
                  <c:v>0.31366586408170083</c:v>
                </c:pt>
                <c:pt idx="81">
                  <c:v>0.31758668738272205</c:v>
                </c:pt>
                <c:pt idx="82">
                  <c:v>0.32150751068374334</c:v>
                </c:pt>
                <c:pt idx="83">
                  <c:v>0.32542833398476462</c:v>
                </c:pt>
                <c:pt idx="84">
                  <c:v>0.32934915728578584</c:v>
                </c:pt>
                <c:pt idx="85">
                  <c:v>0.33326998058680712</c:v>
                </c:pt>
                <c:pt idx="86">
                  <c:v>0.33719080388782835</c:v>
                </c:pt>
                <c:pt idx="87">
                  <c:v>0.34111162718884963</c:v>
                </c:pt>
                <c:pt idx="88">
                  <c:v>0.34503245048987091</c:v>
                </c:pt>
                <c:pt idx="89">
                  <c:v>0.34895327379089214</c:v>
                </c:pt>
                <c:pt idx="90">
                  <c:v>0.35287409709191342</c:v>
                </c:pt>
                <c:pt idx="91">
                  <c:v>0.3567949203929347</c:v>
                </c:pt>
                <c:pt idx="92">
                  <c:v>0.36071574369395593</c:v>
                </c:pt>
                <c:pt idx="93">
                  <c:v>0.36463656699497721</c:v>
                </c:pt>
                <c:pt idx="94">
                  <c:v>0.36855739029599843</c:v>
                </c:pt>
                <c:pt idx="95">
                  <c:v>0.37247821359701971</c:v>
                </c:pt>
                <c:pt idx="96">
                  <c:v>0.376399036898041</c:v>
                </c:pt>
                <c:pt idx="97">
                  <c:v>0.38031986019906222</c:v>
                </c:pt>
                <c:pt idx="98">
                  <c:v>0.3842406835000835</c:v>
                </c:pt>
                <c:pt idx="99">
                  <c:v>0.38816150680110478</c:v>
                </c:pt>
                <c:pt idx="100">
                  <c:v>0.39208233010212601</c:v>
                </c:pt>
              </c:numCache>
            </c:numRef>
          </c:yVal>
          <c:smooth val="0"/>
          <c:extLst>
            <c:ext xmlns:c16="http://schemas.microsoft.com/office/drawing/2014/chart" uri="{C3380CC4-5D6E-409C-BE32-E72D297353CC}">
              <c16:uniqueId val="{00000001-707C-431D-A4F2-D6BD8D7D2451}"/>
            </c:ext>
          </c:extLst>
        </c:ser>
        <c:ser>
          <c:idx val="0"/>
          <c:order val="2"/>
          <c:tx>
            <c:strRef>
              <c:f>'Efficiency Calculations'!$AE$8</c:f>
              <c:strCache>
                <c:ptCount val="1"/>
                <c:pt idx="0">
                  <c:v>MOSFET Output Capacitance Loss</c:v>
                </c:pt>
              </c:strCache>
            </c:strRef>
          </c:tx>
          <c:spPr>
            <a:ln w="31750">
              <a:solidFill>
                <a:srgbClr val="FF6600"/>
              </a:solidFill>
              <a:prstDash val="lgDash"/>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Calculations'!$AE$9:$AE$109</c:f>
              <c:numCache>
                <c:formatCode>0.000</c:formatCode>
                <c:ptCount val="101"/>
                <c:pt idx="0">
                  <c:v>0.61654249358208768</c:v>
                </c:pt>
                <c:pt idx="1">
                  <c:v>0.62180096522025907</c:v>
                </c:pt>
                <c:pt idx="2">
                  <c:v>0.62620754730182837</c:v>
                </c:pt>
                <c:pt idx="3">
                  <c:v>0.62976223962729028</c:v>
                </c:pt>
                <c:pt idx="4">
                  <c:v>0.63246504199715159</c:v>
                </c:pt>
                <c:pt idx="5">
                  <c:v>0.63431595421193154</c:v>
                </c:pt>
                <c:pt idx="6">
                  <c:v>0.63531497607216147</c:v>
                </c:pt>
                <c:pt idx="7">
                  <c:v>0.63546210737838582</c:v>
                </c:pt>
                <c:pt idx="8">
                  <c:v>0.63475734793116012</c:v>
                </c:pt>
                <c:pt idx="9">
                  <c:v>0.63444464999999983</c:v>
                </c:pt>
                <c:pt idx="10">
                  <c:v>0.63444464999999983</c:v>
                </c:pt>
                <c:pt idx="11">
                  <c:v>0.63444464999999983</c:v>
                </c:pt>
                <c:pt idx="12">
                  <c:v>0.63444464999999983</c:v>
                </c:pt>
                <c:pt idx="13">
                  <c:v>0.63444464999999983</c:v>
                </c:pt>
                <c:pt idx="14">
                  <c:v>0.63444464999999983</c:v>
                </c:pt>
                <c:pt idx="15">
                  <c:v>0.63444464999999983</c:v>
                </c:pt>
                <c:pt idx="16">
                  <c:v>0.63444464999999983</c:v>
                </c:pt>
                <c:pt idx="17">
                  <c:v>0.63444464999999983</c:v>
                </c:pt>
                <c:pt idx="18">
                  <c:v>0.63444464999999983</c:v>
                </c:pt>
                <c:pt idx="19">
                  <c:v>0.63444464999999983</c:v>
                </c:pt>
                <c:pt idx="20">
                  <c:v>0.63444464999999983</c:v>
                </c:pt>
                <c:pt idx="21">
                  <c:v>0.63444464999999983</c:v>
                </c:pt>
                <c:pt idx="22">
                  <c:v>0.63444464999999983</c:v>
                </c:pt>
                <c:pt idx="23">
                  <c:v>0.63444464999999983</c:v>
                </c:pt>
                <c:pt idx="24">
                  <c:v>0.63444464999999983</c:v>
                </c:pt>
                <c:pt idx="25">
                  <c:v>0.63444464999999983</c:v>
                </c:pt>
                <c:pt idx="26">
                  <c:v>0.63444464999999983</c:v>
                </c:pt>
                <c:pt idx="27">
                  <c:v>0.63444464999999983</c:v>
                </c:pt>
                <c:pt idx="28">
                  <c:v>0.63444464999999983</c:v>
                </c:pt>
                <c:pt idx="29">
                  <c:v>0.63444464999999983</c:v>
                </c:pt>
                <c:pt idx="30">
                  <c:v>0.63444464999999983</c:v>
                </c:pt>
                <c:pt idx="31">
                  <c:v>0.63444464999999983</c:v>
                </c:pt>
                <c:pt idx="32">
                  <c:v>0.63444464999999983</c:v>
                </c:pt>
                <c:pt idx="33">
                  <c:v>0.63444464999999983</c:v>
                </c:pt>
                <c:pt idx="34">
                  <c:v>0.63444464999999983</c:v>
                </c:pt>
                <c:pt idx="35">
                  <c:v>0.63444464999999983</c:v>
                </c:pt>
                <c:pt idx="36">
                  <c:v>0.63444464999999983</c:v>
                </c:pt>
                <c:pt idx="37">
                  <c:v>0.63444464999999983</c:v>
                </c:pt>
                <c:pt idx="38">
                  <c:v>0.63444464999999983</c:v>
                </c:pt>
                <c:pt idx="39">
                  <c:v>0.63444464999999983</c:v>
                </c:pt>
                <c:pt idx="40">
                  <c:v>0.63444464999999983</c:v>
                </c:pt>
                <c:pt idx="41">
                  <c:v>0.63444464999999983</c:v>
                </c:pt>
                <c:pt idx="42">
                  <c:v>0.63444464999999983</c:v>
                </c:pt>
                <c:pt idx="43">
                  <c:v>0.63444464999999983</c:v>
                </c:pt>
                <c:pt idx="44">
                  <c:v>0.63444464999999983</c:v>
                </c:pt>
                <c:pt idx="45">
                  <c:v>0.63444464999999983</c:v>
                </c:pt>
                <c:pt idx="46">
                  <c:v>0.63444464999999983</c:v>
                </c:pt>
                <c:pt idx="47">
                  <c:v>0.63444464999999983</c:v>
                </c:pt>
                <c:pt idx="48">
                  <c:v>0.63444464999999983</c:v>
                </c:pt>
                <c:pt idx="49">
                  <c:v>0.63444464999999983</c:v>
                </c:pt>
                <c:pt idx="50">
                  <c:v>0.63444464999999983</c:v>
                </c:pt>
                <c:pt idx="51">
                  <c:v>0.63444464999999983</c:v>
                </c:pt>
                <c:pt idx="52">
                  <c:v>0.63444464999999983</c:v>
                </c:pt>
                <c:pt idx="53">
                  <c:v>0.63444464999999983</c:v>
                </c:pt>
                <c:pt idx="54">
                  <c:v>0.63444464999999983</c:v>
                </c:pt>
                <c:pt idx="55">
                  <c:v>0.63444464999999983</c:v>
                </c:pt>
                <c:pt idx="56">
                  <c:v>0.63444464999999983</c:v>
                </c:pt>
                <c:pt idx="57">
                  <c:v>0.63444464999999983</c:v>
                </c:pt>
                <c:pt idx="58">
                  <c:v>0.63444464999999983</c:v>
                </c:pt>
                <c:pt idx="59">
                  <c:v>0.63444464999999983</c:v>
                </c:pt>
                <c:pt idx="60">
                  <c:v>0.63444464999999983</c:v>
                </c:pt>
                <c:pt idx="61">
                  <c:v>0.63444464999999983</c:v>
                </c:pt>
                <c:pt idx="62">
                  <c:v>0.63444464999999983</c:v>
                </c:pt>
                <c:pt idx="63">
                  <c:v>0.63444464999999983</c:v>
                </c:pt>
                <c:pt idx="64">
                  <c:v>0.63444464999999983</c:v>
                </c:pt>
                <c:pt idx="65">
                  <c:v>0.63444464999999983</c:v>
                </c:pt>
                <c:pt idx="66">
                  <c:v>0.63444464999999983</c:v>
                </c:pt>
                <c:pt idx="67">
                  <c:v>0.63444464999999983</c:v>
                </c:pt>
                <c:pt idx="68">
                  <c:v>0.63444464999999983</c:v>
                </c:pt>
                <c:pt idx="69">
                  <c:v>0.63444464999999983</c:v>
                </c:pt>
                <c:pt idx="70">
                  <c:v>0.63444464999999983</c:v>
                </c:pt>
                <c:pt idx="71">
                  <c:v>0.63444464999999983</c:v>
                </c:pt>
                <c:pt idx="72">
                  <c:v>0.63444464999999983</c:v>
                </c:pt>
                <c:pt idx="73">
                  <c:v>0.63444464999999983</c:v>
                </c:pt>
                <c:pt idx="74">
                  <c:v>0.63444464999999983</c:v>
                </c:pt>
                <c:pt idx="75">
                  <c:v>0.63444464999999983</c:v>
                </c:pt>
                <c:pt idx="76">
                  <c:v>0.63444464999999983</c:v>
                </c:pt>
                <c:pt idx="77">
                  <c:v>0.63444464999999983</c:v>
                </c:pt>
                <c:pt idx="78">
                  <c:v>0.63444464999999983</c:v>
                </c:pt>
                <c:pt idx="79">
                  <c:v>0.63444464999999983</c:v>
                </c:pt>
                <c:pt idx="80">
                  <c:v>0.63444464999999983</c:v>
                </c:pt>
                <c:pt idx="81">
                  <c:v>0.63444464999999983</c:v>
                </c:pt>
                <c:pt idx="82">
                  <c:v>0.63444464999999983</c:v>
                </c:pt>
                <c:pt idx="83">
                  <c:v>0.63444464999999983</c:v>
                </c:pt>
                <c:pt idx="84">
                  <c:v>0.63444464999999983</c:v>
                </c:pt>
                <c:pt idx="85">
                  <c:v>0.63444464999999983</c:v>
                </c:pt>
                <c:pt idx="86">
                  <c:v>0.63444464999999983</c:v>
                </c:pt>
                <c:pt idx="87">
                  <c:v>0.63444464999999983</c:v>
                </c:pt>
                <c:pt idx="88">
                  <c:v>0.63444464999999983</c:v>
                </c:pt>
                <c:pt idx="89">
                  <c:v>0.63444464999999983</c:v>
                </c:pt>
                <c:pt idx="90">
                  <c:v>0.63444464999999983</c:v>
                </c:pt>
                <c:pt idx="91">
                  <c:v>0.63444464999999983</c:v>
                </c:pt>
                <c:pt idx="92">
                  <c:v>0.63444464999999983</c:v>
                </c:pt>
                <c:pt idx="93">
                  <c:v>0.63444464999999983</c:v>
                </c:pt>
                <c:pt idx="94">
                  <c:v>0.63444464999999983</c:v>
                </c:pt>
                <c:pt idx="95">
                  <c:v>0.63444464999999983</c:v>
                </c:pt>
                <c:pt idx="96">
                  <c:v>0.63444464999999983</c:v>
                </c:pt>
                <c:pt idx="97">
                  <c:v>0.63444464999999983</c:v>
                </c:pt>
                <c:pt idx="98">
                  <c:v>0.63444464999999983</c:v>
                </c:pt>
                <c:pt idx="99">
                  <c:v>0.63444464999999983</c:v>
                </c:pt>
                <c:pt idx="100">
                  <c:v>0.63444464999999983</c:v>
                </c:pt>
              </c:numCache>
            </c:numRef>
          </c:yVal>
          <c:smooth val="0"/>
          <c:extLst>
            <c:ext xmlns:c16="http://schemas.microsoft.com/office/drawing/2014/chart" uri="{C3380CC4-5D6E-409C-BE32-E72D297353CC}">
              <c16:uniqueId val="{00000002-707C-431D-A4F2-D6BD8D7D2451}"/>
            </c:ext>
          </c:extLst>
        </c:ser>
        <c:ser>
          <c:idx val="1"/>
          <c:order val="3"/>
          <c:tx>
            <c:strRef>
              <c:f>'Efficiency Calculations'!$AM$8</c:f>
              <c:strCache>
                <c:ptCount val="1"/>
                <c:pt idx="0">
                  <c:v>Reverse Recovery Loss</c:v>
                </c:pt>
              </c:strCache>
            </c:strRef>
          </c:tx>
          <c:spPr>
            <a:ln>
              <a:solidFill>
                <a:srgbClr val="00B050"/>
              </a:solidFill>
              <a:prstDash val="sysDot"/>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Calculations'!$AM$9:$AM$109</c:f>
              <c:numCache>
                <c:formatCode>0.000</c:formatCode>
                <c:ptCount val="101"/>
                <c:pt idx="0">
                  <c:v>0</c:v>
                </c:pt>
                <c:pt idx="1">
                  <c:v>2.6460000000000001E-2</c:v>
                </c:pt>
                <c:pt idx="2">
                  <c:v>5.2920000000000002E-2</c:v>
                </c:pt>
                <c:pt idx="3">
                  <c:v>7.9379999999999992E-2</c:v>
                </c:pt>
                <c:pt idx="4">
                  <c:v>0.10584</c:v>
                </c:pt>
                <c:pt idx="5">
                  <c:v>0.13229999999999997</c:v>
                </c:pt>
                <c:pt idx="6">
                  <c:v>0.15875999999999998</c:v>
                </c:pt>
                <c:pt idx="7">
                  <c:v>0.18522</c:v>
                </c:pt>
                <c:pt idx="8">
                  <c:v>0.21168000000000001</c:v>
                </c:pt>
                <c:pt idx="9">
                  <c:v>0.23813999999999999</c:v>
                </c:pt>
                <c:pt idx="10">
                  <c:v>0.26459999999999995</c:v>
                </c:pt>
                <c:pt idx="11">
                  <c:v>0.29105999999999999</c:v>
                </c:pt>
                <c:pt idx="12">
                  <c:v>0.31751999999999997</c:v>
                </c:pt>
                <c:pt idx="13">
                  <c:v>0.34398000000000006</c:v>
                </c:pt>
                <c:pt idx="14">
                  <c:v>0.37043999999999999</c:v>
                </c:pt>
                <c:pt idx="15">
                  <c:v>0.39689999999999992</c:v>
                </c:pt>
                <c:pt idx="16">
                  <c:v>0.42336000000000001</c:v>
                </c:pt>
                <c:pt idx="17">
                  <c:v>0.44981999999999994</c:v>
                </c:pt>
                <c:pt idx="18">
                  <c:v>0.47627999999999998</c:v>
                </c:pt>
                <c:pt idx="19">
                  <c:v>0.50273999999999996</c:v>
                </c:pt>
                <c:pt idx="20">
                  <c:v>0.52919999999999989</c:v>
                </c:pt>
                <c:pt idx="21">
                  <c:v>0.55565999999999993</c:v>
                </c:pt>
                <c:pt idx="22">
                  <c:v>0.58211999999999997</c:v>
                </c:pt>
                <c:pt idx="23">
                  <c:v>0.60857999999999979</c:v>
                </c:pt>
                <c:pt idx="24">
                  <c:v>0.63503999999999994</c:v>
                </c:pt>
                <c:pt idx="25">
                  <c:v>0.66149999999999998</c:v>
                </c:pt>
                <c:pt idx="26">
                  <c:v>0.68796000000000013</c:v>
                </c:pt>
                <c:pt idx="27">
                  <c:v>0.71442000000000005</c:v>
                </c:pt>
                <c:pt idx="28">
                  <c:v>0.74087999999999998</c:v>
                </c:pt>
                <c:pt idx="29">
                  <c:v>0.76733999999999991</c:v>
                </c:pt>
                <c:pt idx="30">
                  <c:v>0.79379999999999984</c:v>
                </c:pt>
                <c:pt idx="31">
                  <c:v>0.8202600000000001</c:v>
                </c:pt>
                <c:pt idx="32">
                  <c:v>0.84672000000000003</c:v>
                </c:pt>
                <c:pt idx="33">
                  <c:v>0.87317999999999996</c:v>
                </c:pt>
                <c:pt idx="34">
                  <c:v>0.89963999999999988</c:v>
                </c:pt>
                <c:pt idx="35">
                  <c:v>0.92609999999999981</c:v>
                </c:pt>
                <c:pt idx="36">
                  <c:v>0.95255999999999996</c:v>
                </c:pt>
                <c:pt idx="37">
                  <c:v>0.97902</c:v>
                </c:pt>
                <c:pt idx="38">
                  <c:v>1.0054799999999999</c:v>
                </c:pt>
                <c:pt idx="39">
                  <c:v>1.0319399999999999</c:v>
                </c:pt>
                <c:pt idx="40">
                  <c:v>1.0583999999999998</c:v>
                </c:pt>
                <c:pt idx="41">
                  <c:v>1.0848599999999997</c:v>
                </c:pt>
                <c:pt idx="42">
                  <c:v>1.1113199999999999</c:v>
                </c:pt>
                <c:pt idx="43">
                  <c:v>1.1377799999999998</c:v>
                </c:pt>
                <c:pt idx="44">
                  <c:v>1.1642399999999999</c:v>
                </c:pt>
                <c:pt idx="45">
                  <c:v>1.1906999999999999</c:v>
                </c:pt>
                <c:pt idx="46">
                  <c:v>1.2171599999999996</c:v>
                </c:pt>
                <c:pt idx="47">
                  <c:v>1.2436199999999999</c:v>
                </c:pt>
                <c:pt idx="48">
                  <c:v>1.2700799999999999</c:v>
                </c:pt>
                <c:pt idx="49">
                  <c:v>1.29654</c:v>
                </c:pt>
                <c:pt idx="50">
                  <c:v>1.323</c:v>
                </c:pt>
                <c:pt idx="51">
                  <c:v>1.3494599999999999</c:v>
                </c:pt>
                <c:pt idx="52">
                  <c:v>1.3759200000000003</c:v>
                </c:pt>
                <c:pt idx="53">
                  <c:v>1.4023799999999997</c:v>
                </c:pt>
                <c:pt idx="54">
                  <c:v>1.4288400000000001</c:v>
                </c:pt>
                <c:pt idx="55">
                  <c:v>1.4553</c:v>
                </c:pt>
                <c:pt idx="56">
                  <c:v>1.48176</c:v>
                </c:pt>
                <c:pt idx="57">
                  <c:v>1.5082199999999999</c:v>
                </c:pt>
                <c:pt idx="58">
                  <c:v>1.5346799999999998</c:v>
                </c:pt>
                <c:pt idx="59">
                  <c:v>1.56114</c:v>
                </c:pt>
                <c:pt idx="60">
                  <c:v>1.5875999999999997</c:v>
                </c:pt>
                <c:pt idx="61">
                  <c:v>1.6140600000000001</c:v>
                </c:pt>
                <c:pt idx="62">
                  <c:v>1.6405200000000002</c:v>
                </c:pt>
                <c:pt idx="63">
                  <c:v>1.6669799999999999</c:v>
                </c:pt>
                <c:pt idx="64">
                  <c:v>1.6934400000000001</c:v>
                </c:pt>
                <c:pt idx="65">
                  <c:v>1.7199</c:v>
                </c:pt>
                <c:pt idx="66">
                  <c:v>1.7463599999999999</c:v>
                </c:pt>
                <c:pt idx="67">
                  <c:v>1.7728199999999998</c:v>
                </c:pt>
                <c:pt idx="68">
                  <c:v>1.7992799999999998</c:v>
                </c:pt>
                <c:pt idx="69">
                  <c:v>1.8257400000000001</c:v>
                </c:pt>
                <c:pt idx="70">
                  <c:v>1.8521999999999996</c:v>
                </c:pt>
                <c:pt idx="71">
                  <c:v>1.8786599999999996</c:v>
                </c:pt>
                <c:pt idx="72">
                  <c:v>1.9051199999999999</c:v>
                </c:pt>
                <c:pt idx="73">
                  <c:v>1.9315799999999999</c:v>
                </c:pt>
                <c:pt idx="74">
                  <c:v>1.95804</c:v>
                </c:pt>
                <c:pt idx="75">
                  <c:v>1.9844999999999999</c:v>
                </c:pt>
                <c:pt idx="76">
                  <c:v>2.0109599999999999</c:v>
                </c:pt>
                <c:pt idx="77">
                  <c:v>2.03742</c:v>
                </c:pt>
                <c:pt idx="78">
                  <c:v>2.0638799999999997</c:v>
                </c:pt>
                <c:pt idx="79">
                  <c:v>2.0903399999999999</c:v>
                </c:pt>
                <c:pt idx="80">
                  <c:v>2.1167999999999996</c:v>
                </c:pt>
                <c:pt idx="81">
                  <c:v>2.1432600000000002</c:v>
                </c:pt>
                <c:pt idx="82">
                  <c:v>2.1697199999999994</c:v>
                </c:pt>
                <c:pt idx="83">
                  <c:v>2.19618</c:v>
                </c:pt>
                <c:pt idx="84">
                  <c:v>2.2226399999999997</c:v>
                </c:pt>
                <c:pt idx="85">
                  <c:v>2.2490999999999999</c:v>
                </c:pt>
                <c:pt idx="86">
                  <c:v>2.2755599999999996</c:v>
                </c:pt>
                <c:pt idx="87">
                  <c:v>2.3020199999999997</c:v>
                </c:pt>
                <c:pt idx="88">
                  <c:v>2.3284799999999999</c:v>
                </c:pt>
                <c:pt idx="89">
                  <c:v>2.35494</c:v>
                </c:pt>
                <c:pt idx="90">
                  <c:v>2.3813999999999997</c:v>
                </c:pt>
                <c:pt idx="91">
                  <c:v>2.4078599999999994</c:v>
                </c:pt>
                <c:pt idx="92">
                  <c:v>2.4343199999999992</c:v>
                </c:pt>
                <c:pt idx="93">
                  <c:v>2.4607799999999997</c:v>
                </c:pt>
                <c:pt idx="94">
                  <c:v>2.4872399999999999</c:v>
                </c:pt>
                <c:pt idx="95">
                  <c:v>2.5136999999999996</c:v>
                </c:pt>
                <c:pt idx="96">
                  <c:v>2.5401599999999998</c:v>
                </c:pt>
                <c:pt idx="97">
                  <c:v>2.5666199999999995</c:v>
                </c:pt>
                <c:pt idx="98">
                  <c:v>2.5930800000000001</c:v>
                </c:pt>
                <c:pt idx="99">
                  <c:v>2.6195399999999998</c:v>
                </c:pt>
                <c:pt idx="100">
                  <c:v>2.6459999999999999</c:v>
                </c:pt>
              </c:numCache>
            </c:numRef>
          </c:yVal>
          <c:smooth val="0"/>
          <c:extLst>
            <c:ext xmlns:c16="http://schemas.microsoft.com/office/drawing/2014/chart" uri="{C3380CC4-5D6E-409C-BE32-E72D297353CC}">
              <c16:uniqueId val="{00000000-DE97-44C0-9E09-4F57490C8304}"/>
            </c:ext>
          </c:extLst>
        </c:ser>
        <c:dLbls>
          <c:showLegendKey val="0"/>
          <c:showVal val="0"/>
          <c:showCatName val="0"/>
          <c:showSerName val="0"/>
          <c:showPercent val="0"/>
          <c:showBubbleSize val="0"/>
        </c:dLbls>
        <c:axId val="196609536"/>
        <c:axId val="196611456"/>
      </c:scatterChart>
      <c:valAx>
        <c:axId val="19660953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11456"/>
        <c:crosses val="autoZero"/>
        <c:crossBetween val="midCat"/>
      </c:valAx>
      <c:valAx>
        <c:axId val="19661145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0953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56046611093765375"/>
          <c:y val="1.0080645161290322E-2"/>
          <c:w val="0.41405632280755778"/>
          <c:h val="0.13942069083982347"/>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Calculations'!$AV$9:$AV$109</c:f>
              <c:numCache>
                <c:formatCode>0.0%</c:formatCode>
                <c:ptCount val="101"/>
                <c:pt idx="0">
                  <c:v>0</c:v>
                </c:pt>
                <c:pt idx="1">
                  <c:v>0.1592912798378445</c:v>
                </c:pt>
                <c:pt idx="2">
                  <c:v>0.26933669658720083</c:v>
                </c:pt>
                <c:pt idx="3">
                  <c:v>0.35004256134658684</c:v>
                </c:pt>
                <c:pt idx="4">
                  <c:v>0.41186088290732981</c:v>
                </c:pt>
                <c:pt idx="5">
                  <c:v>0.46080645121376151</c:v>
                </c:pt>
                <c:pt idx="6">
                  <c:v>0.50058559007285208</c:v>
                </c:pt>
                <c:pt idx="7">
                  <c:v>0.53360668247257326</c:v>
                </c:pt>
                <c:pt idx="8">
                  <c:v>0.56150260233880245</c:v>
                </c:pt>
                <c:pt idx="9">
                  <c:v>0.58499628756817423</c:v>
                </c:pt>
                <c:pt idx="10">
                  <c:v>0.60512279171703309</c:v>
                </c:pt>
                <c:pt idx="11">
                  <c:v>0.62263917743875929</c:v>
                </c:pt>
                <c:pt idx="12">
                  <c:v>0.63801969085782151</c:v>
                </c:pt>
                <c:pt idx="13">
                  <c:v>0.65163024808172598</c:v>
                </c:pt>
                <c:pt idx="14">
                  <c:v>0.66375769592148892</c:v>
                </c:pt>
                <c:pt idx="15">
                  <c:v>0.67463007446645407</c:v>
                </c:pt>
                <c:pt idx="16">
                  <c:v>0.68443095237819451</c:v>
                </c:pt>
                <c:pt idx="17">
                  <c:v>0.69330976371407049</c:v>
                </c:pt>
                <c:pt idx="18">
                  <c:v>0.70138938963190411</c:v>
                </c:pt>
                <c:pt idx="19">
                  <c:v>0.7087718052596893</c:v>
                </c:pt>
                <c:pt idx="20">
                  <c:v>0.7155423442884703</c:v>
                </c:pt>
                <c:pt idx="21">
                  <c:v>0.72177296057083651</c:v>
                </c:pt>
                <c:pt idx="22">
                  <c:v>0.72752475155534579</c:v>
                </c:pt>
                <c:pt idx="23">
                  <c:v>0.73284993137691701</c:v>
                </c:pt>
                <c:pt idx="24">
                  <c:v>0.73779338872246725</c:v>
                </c:pt>
                <c:pt idx="25">
                  <c:v>0.74239392796241821</c:v>
                </c:pt>
                <c:pt idx="26">
                  <c:v>0.7466852662145459</c:v>
                </c:pt>
                <c:pt idx="27">
                  <c:v>0.75069684055820896</c:v>
                </c:pt>
                <c:pt idx="28">
                  <c:v>0.7544544662755992</c:v>
                </c:pt>
                <c:pt idx="29">
                  <c:v>0.75798087723832297</c:v>
                </c:pt>
                <c:pt idx="30">
                  <c:v>0.76129617234411617</c:v>
                </c:pt>
                <c:pt idx="31">
                  <c:v>0.76441818652319504</c:v>
                </c:pt>
                <c:pt idx="32">
                  <c:v>0.76736280077591335</c:v>
                </c:pt>
                <c:pt idx="33">
                  <c:v>0.77014420261916283</c:v>
                </c:pt>
                <c:pt idx="34">
                  <c:v>0.77277510595549281</c:v>
                </c:pt>
                <c:pt idx="35">
                  <c:v>0.77526693755382803</c:v>
                </c:pt>
                <c:pt idx="36">
                  <c:v>0.77762999591102877</c:v>
                </c:pt>
                <c:pt idx="37">
                  <c:v>0.77987358715169264</c:v>
                </c:pt>
                <c:pt idx="38">
                  <c:v>0.78200614174714156</c:v>
                </c:pt>
                <c:pt idx="39">
                  <c:v>0.78403531513937064</c:v>
                </c:pt>
                <c:pt idx="40">
                  <c:v>0.78596807480112474</c:v>
                </c:pt>
                <c:pt idx="41">
                  <c:v>0.78781077581834413</c:v>
                </c:pt>
                <c:pt idx="42">
                  <c:v>0.78956922672237617</c:v>
                </c:pt>
                <c:pt idx="43">
                  <c:v>0.79124874700849435</c:v>
                </c:pt>
                <c:pt idx="44">
                  <c:v>0.79285421754036201</c:v>
                </c:pt>
                <c:pt idx="45">
                  <c:v>0.79439012484624139</c:v>
                </c:pt>
                <c:pt idx="46">
                  <c:v>0.79586060015345084</c:v>
                </c:pt>
                <c:pt idx="47">
                  <c:v>0.79726945387610237</c:v>
                </c:pt>
                <c:pt idx="48">
                  <c:v>0.79862020616222407</c:v>
                </c:pt>
                <c:pt idx="49">
                  <c:v>0.79991611401574891</c:v>
                </c:pt>
                <c:pt idx="50">
                  <c:v>0.80116019543321015</c:v>
                </c:pt>
                <c:pt idx="51">
                  <c:v>0.80235525093158755</c:v>
                </c:pt>
                <c:pt idx="52">
                  <c:v>0.80350388279046314</c:v>
                </c:pt>
                <c:pt idx="53">
                  <c:v>0.80460851228668917</c:v>
                </c:pt>
                <c:pt idx="54">
                  <c:v>0.8056713951617348</c:v>
                </c:pt>
                <c:pt idx="55">
                  <c:v>0.80669463552959286</c:v>
                </c:pt>
                <c:pt idx="56">
                  <c:v>0.80768019840564542</c:v>
                </c:pt>
                <c:pt idx="57">
                  <c:v>0.80862992101342057</c:v>
                </c:pt>
                <c:pt idx="58">
                  <c:v>0.80954552300609661</c:v>
                </c:pt>
                <c:pt idx="59">
                  <c:v>0.81042861572236335</c:v>
                </c:pt>
                <c:pt idx="60">
                  <c:v>0.81128071058142115</c:v>
                </c:pt>
                <c:pt idx="61">
                  <c:v>0.81210322670910573</c:v>
                </c:pt>
                <c:pt idx="62">
                  <c:v>0.81289749787605325</c:v>
                </c:pt>
                <c:pt idx="63">
                  <c:v>0.8136647788192457</c:v>
                </c:pt>
                <c:pt idx="64">
                  <c:v>0.81440625100993058</c:v>
                </c:pt>
                <c:pt idx="65">
                  <c:v>0.81512302792367319</c:v>
                </c:pt>
                <c:pt idx="66">
                  <c:v>0.8158161598619631</c:v>
                </c:pt>
                <c:pt idx="67">
                  <c:v>0.81648663836927371</c:v>
                </c:pt>
                <c:pt idx="68">
                  <c:v>0.81713540028462905</c:v>
                </c:pt>
                <c:pt idx="69">
                  <c:v>0.81776333146247904</c:v>
                </c:pt>
                <c:pt idx="70">
                  <c:v>0.81837127019395262</c:v>
                </c:pt>
                <c:pt idx="71">
                  <c:v>0.81896001035626342</c:v>
                </c:pt>
                <c:pt idx="72">
                  <c:v>0.81953030431513818</c:v>
                </c:pt>
                <c:pt idx="73">
                  <c:v>0.8200828656025746</c:v>
                </c:pt>
                <c:pt idx="74">
                  <c:v>0.82061837138995719</c:v>
                </c:pt>
                <c:pt idx="75">
                  <c:v>0.82113746477454996</c:v>
                </c:pt>
                <c:pt idx="76">
                  <c:v>0.82164075689559124</c:v>
                </c:pt>
                <c:pt idx="77">
                  <c:v>0.82212882889462158</c:v>
                </c:pt>
                <c:pt idx="78">
                  <c:v>0.82260223373326402</c:v>
                </c:pt>
                <c:pt idx="79">
                  <c:v>0.82306149788040062</c:v>
                </c:pt>
                <c:pt idx="80">
                  <c:v>0.82350712287956651</c:v>
                </c:pt>
                <c:pt idx="81">
                  <c:v>0.82393958680636514</c:v>
                </c:pt>
                <c:pt idx="82">
                  <c:v>0.82435934562480351</c:v>
                </c:pt>
                <c:pt idx="83">
                  <c:v>0.82476683445063403</c:v>
                </c:pt>
                <c:pt idx="84">
                  <c:v>0.8251624687290573</c:v>
                </c:pt>
                <c:pt idx="85">
                  <c:v>0.82554664533347988</c:v>
                </c:pt>
                <c:pt idx="86">
                  <c:v>0.82591974359143872</c:v>
                </c:pt>
                <c:pt idx="87">
                  <c:v>0.82628212624325681</c:v>
                </c:pt>
                <c:pt idx="88">
                  <c:v>0.82663414033852478</c:v>
                </c:pt>
                <c:pt idx="89">
                  <c:v>0.82697611807506088</c:v>
                </c:pt>
                <c:pt idx="90">
                  <c:v>0.82730837758460918</c:v>
                </c:pt>
                <c:pt idx="91">
                  <c:v>0.82763122366918018</c:v>
                </c:pt>
                <c:pt idx="92">
                  <c:v>0.82794494849161482</c:v>
                </c:pt>
                <c:pt idx="93">
                  <c:v>0.82824983222365567</c:v>
                </c:pt>
                <c:pt idx="94">
                  <c:v>0.82854614365454726</c:v>
                </c:pt>
                <c:pt idx="95">
                  <c:v>0.82883414076293904</c:v>
                </c:pt>
                <c:pt idx="96">
                  <c:v>0.82911407125465075</c:v>
                </c:pt>
                <c:pt idx="97">
                  <c:v>0.82938617306865081</c:v>
                </c:pt>
                <c:pt idx="98">
                  <c:v>0.82965067485341937</c:v>
                </c:pt>
                <c:pt idx="99">
                  <c:v>0.82990779641569989</c:v>
                </c:pt>
                <c:pt idx="100">
                  <c:v>0.83015774914348661</c:v>
                </c:pt>
              </c:numCache>
            </c:numRef>
          </c:yVal>
          <c:smooth val="0"/>
          <c:extLst>
            <c:ext xmlns:c16="http://schemas.microsoft.com/office/drawing/2014/chart" uri="{C3380CC4-5D6E-409C-BE32-E72D297353CC}">
              <c16:uniqueId val="{00000000-D0AF-458B-AAD9-F9E223A07CD7}"/>
            </c:ext>
          </c:extLst>
        </c:ser>
        <c:dLbls>
          <c:showLegendKey val="0"/>
          <c:showVal val="0"/>
          <c:showCatName val="0"/>
          <c:showSerName val="0"/>
          <c:showPercent val="0"/>
          <c:showBubbleSize val="0"/>
        </c:dLbls>
        <c:axId val="196665344"/>
        <c:axId val="196667264"/>
      </c:scatterChart>
      <c:valAx>
        <c:axId val="196665344"/>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667264"/>
        <c:crosses val="autoZero"/>
        <c:crossBetween val="midCat"/>
      </c:valAx>
      <c:valAx>
        <c:axId val="196667264"/>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66534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1417468158588802"/>
          <c:y val="3.6290322580645726E-2"/>
          <c:w val="0.16008127236069711"/>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Calculations'!$BC$8</c:f>
              <c:strCache>
                <c:ptCount val="1"/>
                <c:pt idx="0">
                  <c:v>Control MOSFET Loss</c:v>
                </c:pt>
              </c:strCache>
            </c:strRef>
          </c:tx>
          <c:spPr>
            <a:ln w="25400">
              <a:solidFill>
                <a:srgbClr val="000080"/>
              </a:solidFill>
              <a:prstDash val="dash"/>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Calculations'!$BC$9:$BC$109</c:f>
              <c:numCache>
                <c:formatCode>0.000</c:formatCode>
                <c:ptCount val="101"/>
                <c:pt idx="0">
                  <c:v>0.62511840461775225</c:v>
                </c:pt>
                <c:pt idx="1">
                  <c:v>0.65073733422400215</c:v>
                </c:pt>
                <c:pt idx="2">
                  <c:v>0.67551243201276812</c:v>
                </c:pt>
                <c:pt idx="3">
                  <c:v>0.69944372666943666</c:v>
                </c:pt>
                <c:pt idx="4">
                  <c:v>0.72253123965593968</c:v>
                </c:pt>
                <c:pt idx="5">
                  <c:v>0.74477498520648122</c:v>
                </c:pt>
                <c:pt idx="6">
                  <c:v>0.76617497032311277</c:v>
                </c:pt>
                <c:pt idx="7">
                  <c:v>0.78673119477115216</c:v>
                </c:pt>
                <c:pt idx="8">
                  <c:v>0.80644365107444593</c:v>
                </c:pt>
                <c:pt idx="9">
                  <c:v>0.82732494042577753</c:v>
                </c:pt>
                <c:pt idx="10">
                  <c:v>0.8487868313797865</c:v>
                </c:pt>
                <c:pt idx="11">
                  <c:v>0.8702569735136152</c:v>
                </c:pt>
                <c:pt idx="12">
                  <c:v>0.89173538743007918</c:v>
                </c:pt>
                <c:pt idx="13">
                  <c:v>0.91322209381276043</c:v>
                </c:pt>
                <c:pt idx="14">
                  <c:v>0.93471711342635178</c:v>
                </c:pt>
                <c:pt idx="15">
                  <c:v>0.95622046711700737</c:v>
                </c:pt>
                <c:pt idx="16">
                  <c:v>0.97773217581269167</c:v>
                </c:pt>
                <c:pt idx="17">
                  <c:v>0.99925226052353233</c:v>
                </c:pt>
                <c:pt idx="18">
                  <c:v>1.0207807423421749</c:v>
                </c:pt>
                <c:pt idx="19">
                  <c:v>1.0423176424441392</c:v>
                </c:pt>
                <c:pt idx="20">
                  <c:v>1.0638629820881778</c:v>
                </c:pt>
                <c:pt idx="21">
                  <c:v>1.0854167826166368</c:v>
                </c:pt>
                <c:pt idx="22">
                  <c:v>1.1069790654558189</c:v>
                </c:pt>
                <c:pt idx="23">
                  <c:v>1.1285498521163477</c:v>
                </c:pt>
                <c:pt idx="24">
                  <c:v>1.1501291641935352</c:v>
                </c:pt>
                <c:pt idx="25">
                  <c:v>1.1717170233677499</c:v>
                </c:pt>
                <c:pt idx="26">
                  <c:v>1.1933134514047894</c:v>
                </c:pt>
                <c:pt idx="27">
                  <c:v>1.2149184701562525</c:v>
                </c:pt>
                <c:pt idx="28">
                  <c:v>1.236532101559916</c:v>
                </c:pt>
                <c:pt idx="29">
                  <c:v>1.258154367640111</c:v>
                </c:pt>
                <c:pt idx="30">
                  <c:v>1.2797852905081037</c:v>
                </c:pt>
                <c:pt idx="31">
                  <c:v>1.301424892362478</c:v>
                </c:pt>
                <c:pt idx="32">
                  <c:v>1.3230731954895185</c:v>
                </c:pt>
                <c:pt idx="33">
                  <c:v>1.3447302222635966</c:v>
                </c:pt>
                <c:pt idx="34">
                  <c:v>1.3663959951475624</c:v>
                </c:pt>
                <c:pt idx="35">
                  <c:v>1.3880705366931327</c:v>
                </c:pt>
                <c:pt idx="36">
                  <c:v>1.409753869541285</c:v>
                </c:pt>
                <c:pt idx="37">
                  <c:v>1.4314460164226539</c:v>
                </c:pt>
                <c:pt idx="38">
                  <c:v>1.4531470001579287</c:v>
                </c:pt>
                <c:pt idx="39">
                  <c:v>1.4748568436582525</c:v>
                </c:pt>
                <c:pt idx="40">
                  <c:v>1.4965755699256276</c:v>
                </c:pt>
                <c:pt idx="41">
                  <c:v>1.5183032020533167</c:v>
                </c:pt>
                <c:pt idx="42">
                  <c:v>1.5400397632262535</c:v>
                </c:pt>
                <c:pt idx="43">
                  <c:v>1.5617852767214493</c:v>
                </c:pt>
                <c:pt idx="44">
                  <c:v>1.5835397659084083</c:v>
                </c:pt>
                <c:pt idx="45">
                  <c:v>1.6053032542495391</c:v>
                </c:pt>
                <c:pt idx="46">
                  <c:v>1.6270757653005732</c:v>
                </c:pt>
                <c:pt idx="47">
                  <c:v>1.6488573227109851</c:v>
                </c:pt>
                <c:pt idx="48">
                  <c:v>1.6706479502244105</c:v>
                </c:pt>
                <c:pt idx="49">
                  <c:v>1.6924476716790755</c:v>
                </c:pt>
                <c:pt idx="50">
                  <c:v>1.7142565110082186</c:v>
                </c:pt>
                <c:pt idx="51">
                  <c:v>1.7360744922405238</c:v>
                </c:pt>
                <c:pt idx="52">
                  <c:v>1.7579016395005493</c:v>
                </c:pt>
                <c:pt idx="53">
                  <c:v>1.7797379770091637</c:v>
                </c:pt>
                <c:pt idx="54">
                  <c:v>1.8015835290839823</c:v>
                </c:pt>
                <c:pt idx="55">
                  <c:v>1.8234383201398054</c:v>
                </c:pt>
                <c:pt idx="56">
                  <c:v>1.8453023746890622</c:v>
                </c:pt>
                <c:pt idx="57">
                  <c:v>1.8671757173422541</c:v>
                </c:pt>
                <c:pt idx="58">
                  <c:v>1.8890583728084021</c:v>
                </c:pt>
                <c:pt idx="59">
                  <c:v>1.9109503658954963</c:v>
                </c:pt>
                <c:pt idx="60">
                  <c:v>1.9328517215109491</c:v>
                </c:pt>
                <c:pt idx="61">
                  <c:v>1.9547624646620498</c:v>
                </c:pt>
                <c:pt idx="62">
                  <c:v>1.9766826204564234</c:v>
                </c:pt>
                <c:pt idx="63">
                  <c:v>1.9986122141024876</c:v>
                </c:pt>
                <c:pt idx="64">
                  <c:v>2.0205512709099218</c:v>
                </c:pt>
                <c:pt idx="65">
                  <c:v>2.0424998162901282</c:v>
                </c:pt>
                <c:pt idx="66">
                  <c:v>2.0644578757567027</c:v>
                </c:pt>
                <c:pt idx="67">
                  <c:v>2.0864254749259059</c:v>
                </c:pt>
                <c:pt idx="68">
                  <c:v>2.1084026395171369</c:v>
                </c:pt>
                <c:pt idx="69">
                  <c:v>2.1303893953534137</c:v>
                </c:pt>
                <c:pt idx="70">
                  <c:v>2.1523857683618455</c:v>
                </c:pt>
                <c:pt idx="71">
                  <c:v>2.1743917845741247</c:v>
                </c:pt>
                <c:pt idx="72">
                  <c:v>2.1964074701270069</c:v>
                </c:pt>
                <c:pt idx="73">
                  <c:v>2.2184328512627998</c:v>
                </c:pt>
                <c:pt idx="74">
                  <c:v>2.2404679543298558</c:v>
                </c:pt>
                <c:pt idx="75">
                  <c:v>2.2625128057830675</c:v>
                </c:pt>
                <c:pt idx="76">
                  <c:v>2.2845674321843621</c:v>
                </c:pt>
                <c:pt idx="77">
                  <c:v>2.3066318602032037</c:v>
                </c:pt>
                <c:pt idx="78">
                  <c:v>2.3287061166170959</c:v>
                </c:pt>
                <c:pt idx="79">
                  <c:v>2.3507902283120892</c:v>
                </c:pt>
                <c:pt idx="80">
                  <c:v>2.3728842222832869</c:v>
                </c:pt>
                <c:pt idx="81">
                  <c:v>2.3949881256353627</c:v>
                </c:pt>
                <c:pt idx="82">
                  <c:v>2.4171019655830697</c:v>
                </c:pt>
                <c:pt idx="83">
                  <c:v>2.4392257694517663</c:v>
                </c:pt>
                <c:pt idx="84">
                  <c:v>2.4613595646779296</c:v>
                </c:pt>
                <c:pt idx="85">
                  <c:v>2.483503378809687</c:v>
                </c:pt>
                <c:pt idx="86">
                  <c:v>2.5056572395073404</c:v>
                </c:pt>
                <c:pt idx="87">
                  <c:v>2.527821174543897</c:v>
                </c:pt>
                <c:pt idx="88">
                  <c:v>2.549995211805606</c:v>
                </c:pt>
                <c:pt idx="89">
                  <c:v>2.5721793792924936</c:v>
                </c:pt>
                <c:pt idx="90">
                  <c:v>2.5943737051189046</c:v>
                </c:pt>
                <c:pt idx="91">
                  <c:v>2.616578217514046</c:v>
                </c:pt>
                <c:pt idx="92">
                  <c:v>2.6387929448225345</c:v>
                </c:pt>
                <c:pt idx="93">
                  <c:v>2.6610179155049476</c:v>
                </c:pt>
                <c:pt idx="94">
                  <c:v>2.6832531581383745</c:v>
                </c:pt>
                <c:pt idx="95">
                  <c:v>2.7054987014169765</c:v>
                </c:pt>
                <c:pt idx="96">
                  <c:v>2.727754574152546</c:v>
                </c:pt>
                <c:pt idx="97">
                  <c:v>2.7500208052750699</c:v>
                </c:pt>
                <c:pt idx="98">
                  <c:v>2.7722974238332991</c:v>
                </c:pt>
                <c:pt idx="99">
                  <c:v>2.7945844589953146</c:v>
                </c:pt>
                <c:pt idx="100">
                  <c:v>2.8168819400491074</c:v>
                </c:pt>
              </c:numCache>
            </c:numRef>
          </c:yVal>
          <c:smooth val="0"/>
          <c:extLst>
            <c:ext xmlns:c16="http://schemas.microsoft.com/office/drawing/2014/chart" uri="{C3380CC4-5D6E-409C-BE32-E72D297353CC}">
              <c16:uniqueId val="{00000000-CD56-4A2A-9FDC-2F5EB8C6A064}"/>
            </c:ext>
          </c:extLst>
        </c:ser>
        <c:ser>
          <c:idx val="3"/>
          <c:order val="1"/>
          <c:tx>
            <c:strRef>
              <c:f>'Efficiency Calculations'!$BD$8</c:f>
              <c:strCache>
                <c:ptCount val="1"/>
                <c:pt idx="0">
                  <c:v>SYNC MOSFET Loss</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Calculations'!$BD$9:$BD$109</c:f>
              <c:numCache>
                <c:formatCode>0.000</c:formatCode>
                <c:ptCount val="101"/>
                <c:pt idx="0">
                  <c:v>8.5929131608621524E-3</c:v>
                </c:pt>
                <c:pt idx="1">
                  <c:v>1.8359365207883969E-2</c:v>
                </c:pt>
                <c:pt idx="2">
                  <c:v>2.8135357004792666E-2</c:v>
                </c:pt>
                <c:pt idx="3">
                  <c:v>3.7920892047856369E-2</c:v>
                </c:pt>
                <c:pt idx="4">
                  <c:v>4.7715973915624453E-2</c:v>
                </c:pt>
                <c:pt idx="5">
                  <c:v>5.7520606268964915E-2</c:v>
                </c:pt>
                <c:pt idx="6">
                  <c:v>6.7334792851103581E-2</c:v>
                </c:pt>
                <c:pt idx="7">
                  <c:v>7.7158537487665046E-2</c:v>
                </c:pt>
                <c:pt idx="8">
                  <c:v>8.699184408671537E-2</c:v>
                </c:pt>
                <c:pt idx="9">
                  <c:v>9.7603288506861646E-2</c:v>
                </c:pt>
                <c:pt idx="10">
                  <c:v>0.10848398475381946</c:v>
                </c:pt>
                <c:pt idx="11">
                  <c:v>0.11937428762290309</c:v>
                </c:pt>
                <c:pt idx="12">
                  <c:v>0.13027420581432764</c:v>
                </c:pt>
                <c:pt idx="13">
                  <c:v>0.14118374811090817</c:v>
                </c:pt>
                <c:pt idx="14">
                  <c:v>0.15210292337817724</c:v>
                </c:pt>
                <c:pt idx="15">
                  <c:v>0.16303174056450495</c:v>
                </c:pt>
                <c:pt idx="16">
                  <c:v>0.17397020870122029</c:v>
                </c:pt>
                <c:pt idx="17">
                  <c:v>0.18491833690273418</c:v>
                </c:pt>
                <c:pt idx="18">
                  <c:v>0.19587613436666504</c:v>
                </c:pt>
                <c:pt idx="19">
                  <c:v>0.20684361037396515</c:v>
                </c:pt>
                <c:pt idx="20">
                  <c:v>0.2178207742890495</c:v>
                </c:pt>
                <c:pt idx="21">
                  <c:v>0.22880763555992623</c:v>
                </c:pt>
                <c:pt idx="22">
                  <c:v>0.23980420371832886</c:v>
                </c:pt>
                <c:pt idx="23">
                  <c:v>0.25081048837985026</c:v>
                </c:pt>
                <c:pt idx="24">
                  <c:v>0.2618264992440788</c:v>
                </c:pt>
                <c:pt idx="25">
                  <c:v>0.27285224609473563</c:v>
                </c:pt>
                <c:pt idx="26">
                  <c:v>0.28388773879981444</c:v>
                </c:pt>
                <c:pt idx="27">
                  <c:v>0.29493298731172257</c:v>
                </c:pt>
                <c:pt idx="28">
                  <c:v>0.30598800166742457</c:v>
                </c:pt>
                <c:pt idx="29">
                  <c:v>0.31705279198858682</c:v>
                </c:pt>
                <c:pt idx="30">
                  <c:v>0.32812736848172425</c:v>
                </c:pt>
                <c:pt idx="31">
                  <c:v>0.33921174143834965</c:v>
                </c:pt>
                <c:pt idx="32">
                  <c:v>0.35030592123512316</c:v>
                </c:pt>
                <c:pt idx="33">
                  <c:v>0.36140991833400549</c:v>
                </c:pt>
                <c:pt idx="34">
                  <c:v>0.37252374328241189</c:v>
                </c:pt>
                <c:pt idx="35">
                  <c:v>0.38364740671336817</c:v>
                </c:pt>
                <c:pt idx="36">
                  <c:v>0.39478091934566839</c:v>
                </c:pt>
                <c:pt idx="37">
                  <c:v>0.40592429198403518</c:v>
                </c:pt>
                <c:pt idx="38">
                  <c:v>0.41707753551928095</c:v>
                </c:pt>
                <c:pt idx="39">
                  <c:v>0.42824066092847163</c:v>
                </c:pt>
                <c:pt idx="40">
                  <c:v>0.43941367927509239</c:v>
                </c:pt>
                <c:pt idx="41">
                  <c:v>0.45059660170921434</c:v>
                </c:pt>
                <c:pt idx="42">
                  <c:v>0.46178943946766454</c:v>
                </c:pt>
                <c:pt idx="43">
                  <c:v>0.47299220387419627</c:v>
                </c:pt>
                <c:pt idx="44">
                  <c:v>0.4842049063396629</c:v>
                </c:pt>
                <c:pt idx="45">
                  <c:v>0.4954275583621921</c:v>
                </c:pt>
                <c:pt idx="46">
                  <c:v>0.50666017152736331</c:v>
                </c:pt>
                <c:pt idx="47">
                  <c:v>0.51790275750838655</c:v>
                </c:pt>
                <c:pt idx="48">
                  <c:v>0.52915532806628207</c:v>
                </c:pt>
                <c:pt idx="49">
                  <c:v>0.54041789505006443</c:v>
                </c:pt>
                <c:pt idx="50">
                  <c:v>0.5516904703969262</c:v>
                </c:pt>
                <c:pt idx="51">
                  <c:v>0.56297306613242482</c:v>
                </c:pt>
                <c:pt idx="52">
                  <c:v>0.57426569437067121</c:v>
                </c:pt>
                <c:pt idx="53">
                  <c:v>0.58556836731451933</c:v>
                </c:pt>
                <c:pt idx="54">
                  <c:v>0.59688109725576033</c:v>
                </c:pt>
                <c:pt idx="55">
                  <c:v>0.60820389657531493</c:v>
                </c:pt>
                <c:pt idx="56">
                  <c:v>0.61953677774343141</c:v>
                </c:pt>
                <c:pt idx="57">
                  <c:v>0.63087975331988311</c:v>
                </c:pt>
                <c:pt idx="58">
                  <c:v>0.64223283595416869</c:v>
                </c:pt>
                <c:pt idx="59">
                  <c:v>0.65359603838571512</c:v>
                </c:pt>
                <c:pt idx="60">
                  <c:v>0.66496937344408158</c:v>
                </c:pt>
                <c:pt idx="61">
                  <c:v>0.67635285404916556</c:v>
                </c:pt>
                <c:pt idx="62">
                  <c:v>0.6877464932114119</c:v>
                </c:pt>
                <c:pt idx="63">
                  <c:v>0.69915030403202238</c:v>
                </c:pt>
                <c:pt idx="64">
                  <c:v>0.71056429970316914</c:v>
                </c:pt>
                <c:pt idx="65">
                  <c:v>0.72198849350820804</c:v>
                </c:pt>
                <c:pt idx="66">
                  <c:v>0.73342289882189626</c:v>
                </c:pt>
                <c:pt idx="67">
                  <c:v>0.74486752911060994</c:v>
                </c:pt>
                <c:pt idx="68">
                  <c:v>0.75632239793256539</c:v>
                </c:pt>
                <c:pt idx="69">
                  <c:v>0.76778751893804176</c:v>
                </c:pt>
                <c:pt idx="70">
                  <c:v>0.77926290586960478</c:v>
                </c:pt>
                <c:pt idx="71">
                  <c:v>0.79074857256233577</c:v>
                </c:pt>
                <c:pt idx="72">
                  <c:v>0.8022445329440584</c:v>
                </c:pt>
                <c:pt idx="73">
                  <c:v>0.81375080103557118</c:v>
                </c:pt>
                <c:pt idx="74">
                  <c:v>0.82526739095087942</c:v>
                </c:pt>
                <c:pt idx="75">
                  <c:v>0.83679431689743189</c:v>
                </c:pt>
                <c:pt idx="76">
                  <c:v>0.84833159317635687</c:v>
                </c:pt>
                <c:pt idx="77">
                  <c:v>0.85987923418270307</c:v>
                </c:pt>
                <c:pt idx="78">
                  <c:v>0.87143725440567943</c:v>
                </c:pt>
                <c:pt idx="79">
                  <c:v>0.88300566842890127</c:v>
                </c:pt>
                <c:pt idx="80">
                  <c:v>0.89458449093063419</c:v>
                </c:pt>
                <c:pt idx="81">
                  <c:v>0.90617373668404344</c:v>
                </c:pt>
                <c:pt idx="82">
                  <c:v>0.91777342055744326</c:v>
                </c:pt>
                <c:pt idx="83">
                  <c:v>0.92938355751455137</c:v>
                </c:pt>
                <c:pt idx="84">
                  <c:v>0.9410041626147404</c:v>
                </c:pt>
                <c:pt idx="85">
                  <c:v>0.95263525101329782</c:v>
                </c:pt>
                <c:pt idx="86">
                  <c:v>0.96427683796168395</c:v>
                </c:pt>
                <c:pt idx="87">
                  <c:v>0.97592893880779275</c:v>
                </c:pt>
                <c:pt idx="88">
                  <c:v>0.98759156899621592</c:v>
                </c:pt>
                <c:pt idx="89">
                  <c:v>0.9992647440685084</c:v>
                </c:pt>
                <c:pt idx="90">
                  <c:v>1.0109484796634571</c:v>
                </c:pt>
                <c:pt idx="91">
                  <c:v>1.0226427915173506</c:v>
                </c:pt>
                <c:pt idx="92">
                  <c:v>1.0343476954642512</c:v>
                </c:pt>
                <c:pt idx="93">
                  <c:v>1.0460632074362715</c:v>
                </c:pt>
                <c:pt idx="94">
                  <c:v>1.0577893434638495</c:v>
                </c:pt>
                <c:pt idx="95">
                  <c:v>1.0695261196760286</c:v>
                </c:pt>
                <c:pt idx="96">
                  <c:v>1.0812735523007406</c:v>
                </c:pt>
                <c:pt idx="97">
                  <c:v>1.0930316576650885</c:v>
                </c:pt>
                <c:pt idx="98">
                  <c:v>1.1048004521956332</c:v>
                </c:pt>
                <c:pt idx="99">
                  <c:v>1.1165799524186812</c:v>
                </c:pt>
                <c:pt idx="100">
                  <c:v>1.1283701749605783</c:v>
                </c:pt>
              </c:numCache>
            </c:numRef>
          </c:yVal>
          <c:smooth val="0"/>
          <c:extLst>
            <c:ext xmlns:c16="http://schemas.microsoft.com/office/drawing/2014/chart" uri="{C3380CC4-5D6E-409C-BE32-E72D297353CC}">
              <c16:uniqueId val="{00000001-CD56-4A2A-9FDC-2F5EB8C6A064}"/>
            </c:ext>
          </c:extLst>
        </c:ser>
        <c:ser>
          <c:idx val="0"/>
          <c:order val="2"/>
          <c:tx>
            <c:v>Inductor Loss</c:v>
          </c:tx>
          <c:spPr>
            <a:ln w="31750">
              <a:solidFill>
                <a:srgbClr val="FF6600"/>
              </a:solidFill>
              <a:prstDash val="lgDash"/>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Calculations'!$U$9:$U$109</c:f>
              <c:numCache>
                <c:formatCode>0.000</c:formatCode>
                <c:ptCount val="101"/>
                <c:pt idx="0">
                  <c:v>0.30007832719426097</c:v>
                </c:pt>
                <c:pt idx="1">
                  <c:v>0.30008179891170261</c:v>
                </c:pt>
                <c:pt idx="2">
                  <c:v>0.30009218272693877</c:v>
                </c:pt>
                <c:pt idx="3">
                  <c:v>0.30010947867361282</c:v>
                </c:pt>
                <c:pt idx="4">
                  <c:v>0.30013368680776392</c:v>
                </c:pt>
                <c:pt idx="5">
                  <c:v>0.30016480720782746</c:v>
                </c:pt>
                <c:pt idx="6">
                  <c:v>0.30020283997463554</c:v>
                </c:pt>
                <c:pt idx="7">
                  <c:v>0.30024778523141765</c:v>
                </c:pt>
                <c:pt idx="8">
                  <c:v>0.30029964312380231</c:v>
                </c:pt>
                <c:pt idx="9">
                  <c:v>0.30035841381981737</c:v>
                </c:pt>
                <c:pt idx="10">
                  <c:v>0.30042409750989202</c:v>
                </c:pt>
                <c:pt idx="11">
                  <c:v>0.30049669440685817</c:v>
                </c:pt>
                <c:pt idx="12">
                  <c:v>0.30057620474595198</c:v>
                </c:pt>
                <c:pt idx="13">
                  <c:v>0.30066262878481609</c:v>
                </c:pt>
                <c:pt idx="14">
                  <c:v>0.30075596680350131</c:v>
                </c:pt>
                <c:pt idx="15">
                  <c:v>0.30085621910446925</c:v>
                </c:pt>
                <c:pt idx="16">
                  <c:v>0.3009633860125947</c:v>
                </c:pt>
                <c:pt idx="17">
                  <c:v>0.30107746787516804</c:v>
                </c:pt>
                <c:pt idx="18">
                  <c:v>0.30119846506189818</c:v>
                </c:pt>
                <c:pt idx="19">
                  <c:v>0.30132637796491579</c:v>
                </c:pt>
                <c:pt idx="20">
                  <c:v>0.3014612069987761</c:v>
                </c:pt>
                <c:pt idx="21">
                  <c:v>0.30160295260046249</c:v>
                </c:pt>
                <c:pt idx="22">
                  <c:v>0.30175161522938987</c:v>
                </c:pt>
                <c:pt idx="23">
                  <c:v>0.30190719536740873</c:v>
                </c:pt>
                <c:pt idx="24">
                  <c:v>0.30206969351880847</c:v>
                </c:pt>
                <c:pt idx="25">
                  <c:v>0.30223911021032229</c:v>
                </c:pt>
                <c:pt idx="26">
                  <c:v>0.30241544599113052</c:v>
                </c:pt>
                <c:pt idx="27">
                  <c:v>0.30259870143286588</c:v>
                </c:pt>
                <c:pt idx="28">
                  <c:v>0.30278887712961772</c:v>
                </c:pt>
                <c:pt idx="29">
                  <c:v>0.30298597369793689</c:v>
                </c:pt>
                <c:pt idx="30">
                  <c:v>0.30318999177684064</c:v>
                </c:pt>
                <c:pt idx="31">
                  <c:v>0.30340093202781815</c:v>
                </c:pt>
                <c:pt idx="32">
                  <c:v>0.30361879513483542</c:v>
                </c:pt>
                <c:pt idx="33">
                  <c:v>0.30384358180434118</c:v>
                </c:pt>
                <c:pt idx="34">
                  <c:v>0.30407529276527251</c:v>
                </c:pt>
                <c:pt idx="35">
                  <c:v>0.30431392876906072</c:v>
                </c:pt>
                <c:pt idx="36">
                  <c:v>0.30455949058963738</c:v>
                </c:pt>
                <c:pt idx="37">
                  <c:v>0.30481197902344076</c:v>
                </c:pt>
                <c:pt idx="38">
                  <c:v>0.3050713948894222</c:v>
                </c:pt>
                <c:pt idx="39">
                  <c:v>0.3053377390290527</c:v>
                </c:pt>
                <c:pt idx="40">
                  <c:v>0.30561101230632992</c:v>
                </c:pt>
                <c:pt idx="41">
                  <c:v>0.30589121560778504</c:v>
                </c:pt>
                <c:pt idx="42">
                  <c:v>0.30617834984248987</c:v>
                </c:pt>
                <c:pt idx="43">
                  <c:v>0.30647241594206448</c:v>
                </c:pt>
                <c:pt idx="44">
                  <c:v>0.30677341486068471</c:v>
                </c:pt>
                <c:pt idx="45">
                  <c:v>0.30708134757508965</c:v>
                </c:pt>
                <c:pt idx="46">
                  <c:v>0.30739621508458975</c:v>
                </c:pt>
                <c:pt idx="47">
                  <c:v>0.30771801841107521</c:v>
                </c:pt>
                <c:pt idx="48">
                  <c:v>0.30804675859902375</c:v>
                </c:pt>
                <c:pt idx="49">
                  <c:v>0.30838243671550952</c:v>
                </c:pt>
                <c:pt idx="50">
                  <c:v>0.30872505385021132</c:v>
                </c:pt>
                <c:pt idx="51">
                  <c:v>0.309074611115422</c:v>
                </c:pt>
                <c:pt idx="52">
                  <c:v>0.30943110964605719</c:v>
                </c:pt>
                <c:pt idx="53">
                  <c:v>0.30979455059966449</c:v>
                </c:pt>
                <c:pt idx="54">
                  <c:v>0.3101649351564329</c:v>
                </c:pt>
                <c:pt idx="55">
                  <c:v>0.31054226451920253</c:v>
                </c:pt>
                <c:pt idx="56">
                  <c:v>0.31092653991347419</c:v>
                </c:pt>
                <c:pt idx="57">
                  <c:v>0.31131776258741967</c:v>
                </c:pt>
                <c:pt idx="58">
                  <c:v>0.31171593381189139</c:v>
                </c:pt>
                <c:pt idx="59">
                  <c:v>0.31212105488043318</c:v>
                </c:pt>
                <c:pt idx="60">
                  <c:v>0.31253312710929071</c:v>
                </c:pt>
                <c:pt idx="61">
                  <c:v>0.31295215183742192</c:v>
                </c:pt>
                <c:pt idx="62">
                  <c:v>0.31337813042650819</c:v>
                </c:pt>
                <c:pt idx="63">
                  <c:v>0.3138110642609655</c:v>
                </c:pt>
                <c:pt idx="64">
                  <c:v>0.31425095474795517</c:v>
                </c:pt>
                <c:pt idx="65">
                  <c:v>0.31469780331739594</c:v>
                </c:pt>
                <c:pt idx="66">
                  <c:v>0.31515161142197534</c:v>
                </c:pt>
                <c:pt idx="67">
                  <c:v>0.3156123805371614</c:v>
                </c:pt>
                <c:pt idx="68">
                  <c:v>0.31608011216121479</c:v>
                </c:pt>
                <c:pt idx="69">
                  <c:v>0.31655480781520107</c:v>
                </c:pt>
                <c:pt idx="70">
                  <c:v>0.31703646904300298</c:v>
                </c:pt>
                <c:pt idx="71">
                  <c:v>0.31752509741133295</c:v>
                </c:pt>
                <c:pt idx="72">
                  <c:v>0.31802069450974613</c:v>
                </c:pt>
                <c:pt idx="73">
                  <c:v>0.31852326195065295</c:v>
                </c:pt>
                <c:pt idx="74">
                  <c:v>0.3190328013693326</c:v>
                </c:pt>
                <c:pt idx="75">
                  <c:v>0.31954931442394635</c:v>
                </c:pt>
                <c:pt idx="76">
                  <c:v>0.32007280279555073</c:v>
                </c:pt>
                <c:pt idx="77">
                  <c:v>0.32060326818811147</c:v>
                </c:pt>
                <c:pt idx="78">
                  <c:v>0.32114071232851754</c:v>
                </c:pt>
                <c:pt idx="79">
                  <c:v>0.32168513696659506</c:v>
                </c:pt>
                <c:pt idx="80">
                  <c:v>0.32223654387512124</c:v>
                </c:pt>
                <c:pt idx="81">
                  <c:v>0.32279493484983968</c:v>
                </c:pt>
                <c:pt idx="82">
                  <c:v>0.32336031170947421</c:v>
                </c:pt>
                <c:pt idx="83">
                  <c:v>0.32393267629574418</c:v>
                </c:pt>
                <c:pt idx="84">
                  <c:v>0.32451203047337934</c:v>
                </c:pt>
                <c:pt idx="85">
                  <c:v>0.32509837613013504</c:v>
                </c:pt>
                <c:pt idx="86">
                  <c:v>0.32569171517680784</c:v>
                </c:pt>
                <c:pt idx="87">
                  <c:v>0.32629204954725077</c:v>
                </c:pt>
                <c:pt idx="88">
                  <c:v>0.32689938119838957</c:v>
                </c:pt>
                <c:pt idx="89">
                  <c:v>0.32751371211023828</c:v>
                </c:pt>
                <c:pt idx="90">
                  <c:v>0.32813504428591561</c:v>
                </c:pt>
                <c:pt idx="91">
                  <c:v>0.32876337975166148</c:v>
                </c:pt>
                <c:pt idx="92">
                  <c:v>0.32939872055685299</c:v>
                </c:pt>
                <c:pt idx="93">
                  <c:v>0.33004106877402206</c:v>
                </c:pt>
                <c:pt idx="94">
                  <c:v>0.3306904264988717</c:v>
                </c:pt>
                <c:pt idx="95">
                  <c:v>0.33134679585029325</c:v>
                </c:pt>
                <c:pt idx="96">
                  <c:v>0.33201017897038404</c:v>
                </c:pt>
                <c:pt idx="97">
                  <c:v>0.3326805780244646</c:v>
                </c:pt>
                <c:pt idx="98">
                  <c:v>0.33335799520109655</c:v>
                </c:pt>
                <c:pt idx="99">
                  <c:v>0.33404243271210055</c:v>
                </c:pt>
                <c:pt idx="100">
                  <c:v>0.33473389279257421</c:v>
                </c:pt>
              </c:numCache>
            </c:numRef>
          </c:yVal>
          <c:smooth val="0"/>
          <c:extLst>
            <c:ext xmlns:c16="http://schemas.microsoft.com/office/drawing/2014/chart" uri="{C3380CC4-5D6E-409C-BE32-E72D297353CC}">
              <c16:uniqueId val="{00000002-CD56-4A2A-9FDC-2F5EB8C6A064}"/>
            </c:ext>
          </c:extLst>
        </c:ser>
        <c:dLbls>
          <c:showLegendKey val="0"/>
          <c:showVal val="0"/>
          <c:showCatName val="0"/>
          <c:showSerName val="0"/>
          <c:showPercent val="0"/>
          <c:showBubbleSize val="0"/>
        </c:dLbls>
        <c:axId val="196609536"/>
        <c:axId val="196611456"/>
      </c:scatterChart>
      <c:valAx>
        <c:axId val="19660953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11456"/>
        <c:crosses val="autoZero"/>
        <c:crossBetween val="midCat"/>
      </c:valAx>
      <c:valAx>
        <c:axId val="19661145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0953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'Ch2 Efficiency Calculations'!$AW$8</c:f>
              <c:strCache>
                <c:ptCount val="1"/>
                <c:pt idx="0">
                  <c:v>Buck ''CONTROL'' MOSFET Temp Rise</c:v>
                </c:pt>
              </c:strCache>
            </c:strRef>
          </c:tx>
          <c:spPr>
            <a:ln w="31750">
              <a:solidFill>
                <a:srgbClr val="000080"/>
              </a:solidFill>
              <a:prstDash val="dash"/>
            </a:ln>
          </c:spPr>
          <c:marker>
            <c:symbol val="none"/>
          </c:marker>
          <c:xVal>
            <c:numRef>
              <c:f>'Ch2 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'Ch2 Efficiency Calculations'!$AW$9:$AW$109</c:f>
              <c:numCache>
                <c:formatCode>0.0</c:formatCode>
                <c:ptCount val="101"/>
                <c:pt idx="0">
                  <c:v>31.877582231340639</c:v>
                </c:pt>
                <c:pt idx="1">
                  <c:v>32.89535524379712</c:v>
                </c:pt>
                <c:pt idx="2">
                  <c:v>33.871970594598608</c:v>
                </c:pt>
                <c:pt idx="3">
                  <c:v>34.938065501706674</c:v>
                </c:pt>
                <c:pt idx="4">
                  <c:v>36.012785332762206</c:v>
                </c:pt>
                <c:pt idx="5">
                  <c:v>37.089082418641411</c:v>
                </c:pt>
                <c:pt idx="6">
                  <c:v>38.166959589238502</c:v>
                </c:pt>
                <c:pt idx="7">
                  <c:v>39.246419716080226</c:v>
                </c:pt>
                <c:pt idx="8">
                  <c:v>40.327465712459507</c:v>
                </c:pt>
                <c:pt idx="9">
                  <c:v>41.410100533571928</c:v>
                </c:pt>
                <c:pt idx="10">
                  <c:v>42.494327176654842</c:v>
                </c:pt>
                <c:pt idx="11">
                  <c:v>43.580148681129394</c:v>
                </c:pt>
                <c:pt idx="12">
                  <c:v>44.66756812874533</c:v>
                </c:pt>
                <c:pt idx="13">
                  <c:v>45.756588643728527</c:v>
                </c:pt>
                <c:pt idx="14">
                  <c:v>46.847213392931415</c:v>
                </c:pt>
                <c:pt idx="15">
                  <c:v>47.939445585986299</c:v>
                </c:pt>
                <c:pt idx="16">
                  <c:v>49.033288475461404</c:v>
                </c:pt>
                <c:pt idx="17">
                  <c:v>50.128745357019881</c:v>
                </c:pt>
                <c:pt idx="18">
                  <c:v>51.225819569581724</c:v>
                </c:pt>
                <c:pt idx="19">
                  <c:v>52.324514495488515</c:v>
                </c:pt>
                <c:pt idx="20">
                  <c:v>53.424833560671168</c:v>
                </c:pt>
                <c:pt idx="21">
                  <c:v>54.526780234820549</c:v>
                </c:pt>
                <c:pt idx="22">
                  <c:v>55.630358031561101</c:v>
                </c:pt>
                <c:pt idx="23">
                  <c:v>56.735570508627411</c:v>
                </c:pt>
                <c:pt idx="24">
                  <c:v>57.84242126804385</c:v>
                </c:pt>
                <c:pt idx="25">
                  <c:v>58.950913956307083</c:v>
                </c:pt>
                <c:pt idx="26">
                  <c:v>60.061052264571757</c:v>
                </c:pt>
                <c:pt idx="27">
                  <c:v>61.172839928839117</c:v>
                </c:pt>
                <c:pt idx="28">
                  <c:v>62.286280730148832</c:v>
                </c:pt>
                <c:pt idx="29">
                  <c:v>63.401378494773809</c:v>
                </c:pt>
                <c:pt idx="30">
                  <c:v>64.51813709441808</c:v>
                </c:pt>
                <c:pt idx="31">
                  <c:v>65.636560446418031</c:v>
                </c:pt>
                <c:pt idx="32">
                  <c:v>66.756652513946491</c:v>
                </c:pt>
                <c:pt idx="33">
                  <c:v>67.878417306220257</c:v>
                </c:pt>
                <c:pt idx="34">
                  <c:v>69.001858878710692</c:v>
                </c:pt>
                <c:pt idx="35">
                  <c:v>70.12698133335762</c:v>
                </c:pt>
                <c:pt idx="36">
                  <c:v>71.253788818786248</c:v>
                </c:pt>
                <c:pt idx="37">
                  <c:v>72.382285530527724</c:v>
                </c:pt>
                <c:pt idx="38">
                  <c:v>73.512475711242701</c:v>
                </c:pt>
                <c:pt idx="39">
                  <c:v>74.644363650948307</c:v>
                </c:pt>
                <c:pt idx="40">
                  <c:v>75.777953687248484</c:v>
                </c:pt>
                <c:pt idx="41">
                  <c:v>76.91325020556765</c:v>
                </c:pt>
                <c:pt idx="42">
                  <c:v>78.050257639387794</c:v>
                </c:pt>
                <c:pt idx="43">
                  <c:v>79.188980470488971</c:v>
                </c:pt>
                <c:pt idx="44">
                  <c:v>80.329423229193253</c:v>
                </c:pt>
                <c:pt idx="45">
                  <c:v>81.471590494612101</c:v>
                </c:pt>
                <c:pt idx="46">
                  <c:v>82.615486894897344</c:v>
                </c:pt>
                <c:pt idx="47">
                  <c:v>83.761117107495721</c:v>
                </c:pt>
                <c:pt idx="48">
                  <c:v>84.908485859406596</c:v>
                </c:pt>
                <c:pt idx="49">
                  <c:v>86.057597927443922</c:v>
                </c:pt>
                <c:pt idx="50">
                  <c:v>87.208458138501157</c:v>
                </c:pt>
                <c:pt idx="51">
                  <c:v>88.361071369820365</c:v>
                </c:pt>
                <c:pt idx="52">
                  <c:v>89.515442549264563</c:v>
                </c:pt>
                <c:pt idx="53">
                  <c:v>90.67157665559408</c:v>
                </c:pt>
                <c:pt idx="54">
                  <c:v>91.829478718746586</c:v>
                </c:pt>
                <c:pt idx="55">
                  <c:v>92.98915382012072</c:v>
                </c:pt>
                <c:pt idx="56">
                  <c:v>94.150607092863808</c:v>
                </c:pt>
                <c:pt idx="57">
                  <c:v>95.313843722163156</c:v>
                </c:pt>
                <c:pt idx="58">
                  <c:v>96.47886894554145</c:v>
                </c:pt>
                <c:pt idx="59">
                  <c:v>97.645688053155808</c:v>
                </c:pt>
                <c:pt idx="60">
                  <c:v>98.814306388101031</c:v>
                </c:pt>
                <c:pt idx="61">
                  <c:v>99.984729346716676</c:v>
                </c:pt>
                <c:pt idx="62">
                  <c:v>101.15696237889816</c:v>
                </c:pt>
                <c:pt idx="63">
                  <c:v>102.33101098841185</c:v>
                </c:pt>
                <c:pt idx="64">
                  <c:v>103.50688073321454</c:v>
                </c:pt>
                <c:pt idx="65">
                  <c:v>104.68457722577665</c:v>
                </c:pt>
                <c:pt idx="66">
                  <c:v>105.86410613340979</c:v>
                </c:pt>
                <c:pt idx="67">
                  <c:v>107.04547317859863</c:v>
                </c:pt>
                <c:pt idx="68">
                  <c:v>108.22868413933666</c:v>
                </c:pt>
                <c:pt idx="69">
                  <c:v>109.41374484946678</c:v>
                </c:pt>
                <c:pt idx="70">
                  <c:v>110.60066119902547</c:v>
                </c:pt>
                <c:pt idx="71">
                  <c:v>111.7894391345922</c:v>
                </c:pt>
                <c:pt idx="72">
                  <c:v>112.98008465964247</c:v>
                </c:pt>
                <c:pt idx="73">
                  <c:v>114.17260383490569</c:v>
                </c:pt>
                <c:pt idx="74">
                  <c:v>115.36700277872754</c:v>
                </c:pt>
                <c:pt idx="75">
                  <c:v>116.56328766743678</c:v>
                </c:pt>
                <c:pt idx="76">
                  <c:v>117.76146473571654</c:v>
                </c:pt>
                <c:pt idx="77">
                  <c:v>118.96154027698067</c:v>
                </c:pt>
                <c:pt idx="78">
                  <c:v>120.16352064375401</c:v>
                </c:pt>
                <c:pt idx="79">
                  <c:v>121.36741224805827</c:v>
                </c:pt>
                <c:pt idx="80">
                  <c:v>122.57322156180179</c:v>
                </c:pt>
                <c:pt idx="81">
                  <c:v>123.780955117175</c:v>
                </c:pt>
                <c:pt idx="82">
                  <c:v>124.99061950704977</c:v>
                </c:pt>
                <c:pt idx="83">
                  <c:v>126.20222138538473</c:v>
                </c:pt>
                <c:pt idx="84">
                  <c:v>127.41576746763457</c:v>
                </c:pt>
                <c:pt idx="85">
                  <c:v>128.63126453116513</c:v>
                </c:pt>
                <c:pt idx="86">
                  <c:v>129.84871941567295</c:v>
                </c:pt>
                <c:pt idx="87">
                  <c:v>131.06813902361043</c:v>
                </c:pt>
                <c:pt idx="88">
                  <c:v>132.28953032061582</c:v>
                </c:pt>
                <c:pt idx="89">
                  <c:v>133.51290033594859</c:v>
                </c:pt>
                <c:pt idx="90">
                  <c:v>134.73825616293001</c:v>
                </c:pt>
                <c:pt idx="91">
                  <c:v>135.96560495938937</c:v>
                </c:pt>
                <c:pt idx="92">
                  <c:v>137.1949539481148</c:v>
                </c:pt>
                <c:pt idx="93">
                  <c:v>138.42631041731079</c:v>
                </c:pt>
                <c:pt idx="94">
                  <c:v>139.65968172105977</c:v>
                </c:pt>
                <c:pt idx="95">
                  <c:v>140.89507527979057</c:v>
                </c:pt>
                <c:pt idx="96">
                  <c:v>142.13249858075164</c:v>
                </c:pt>
                <c:pt idx="97">
                  <c:v>143.37195917849041</c:v>
                </c:pt>
                <c:pt idx="98">
                  <c:v>144.61346469533822</c:v>
                </c:pt>
                <c:pt idx="99">
                  <c:v>145.85702282190093</c:v>
                </c:pt>
                <c:pt idx="100">
                  <c:v>147.10264131755588</c:v>
                </c:pt>
              </c:numCache>
            </c:numRef>
          </c:yVal>
          <c:smooth val="0"/>
          <c:extLst>
            <c:ext xmlns:c16="http://schemas.microsoft.com/office/drawing/2014/chart" uri="{C3380CC4-5D6E-409C-BE32-E72D297353CC}">
              <c16:uniqueId val="{00000000-F506-44FF-8C40-0061493B9501}"/>
            </c:ext>
          </c:extLst>
        </c:ser>
        <c:ser>
          <c:idx val="1"/>
          <c:order val="1"/>
          <c:tx>
            <c:strRef>
              <c:f>'Ch2 Efficiency Calculations'!$AX$8</c:f>
              <c:strCache>
                <c:ptCount val="1"/>
                <c:pt idx="0">
                  <c:v>Buck ''SYNC'' MOSFET Temp Rise</c:v>
                </c:pt>
              </c:strCache>
            </c:strRef>
          </c:tx>
          <c:spPr>
            <a:ln w="25400">
              <a:solidFill>
                <a:srgbClr val="FF0000"/>
              </a:solidFill>
              <a:prstDash val="solid"/>
            </a:ln>
          </c:spPr>
          <c:marker>
            <c:symbol val="none"/>
          </c:marker>
          <c:xVal>
            <c:numRef>
              <c:f>'Ch2 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'Ch2 Efficiency Calculations'!$AX$9:$AX$109</c:f>
              <c:numCache>
                <c:formatCode>0.0</c:formatCode>
                <c:ptCount val="101"/>
                <c:pt idx="0">
                  <c:v>8.0622087330098999E-2</c:v>
                </c:pt>
                <c:pt idx="1">
                  <c:v>0.4515157058314121</c:v>
                </c:pt>
                <c:pt idx="2">
                  <c:v>0.8224319397571187</c:v>
                </c:pt>
                <c:pt idx="3">
                  <c:v>1.2301549821980566</c:v>
                </c:pt>
                <c:pt idx="4">
                  <c:v>1.6402465499633028</c:v>
                </c:pt>
                <c:pt idx="5">
                  <c:v>2.0503607443446841</c:v>
                </c:pt>
                <c:pt idx="6">
                  <c:v>2.4604975671716751</c:v>
                </c:pt>
                <c:pt idx="7">
                  <c:v>2.8706570202486006</c:v>
                </c:pt>
                <c:pt idx="8">
                  <c:v>3.2808391053546115</c:v>
                </c:pt>
                <c:pt idx="9">
                  <c:v>3.6910438242436574</c:v>
                </c:pt>
                <c:pt idx="10">
                  <c:v>4.1012711786444642</c:v>
                </c:pt>
                <c:pt idx="11">
                  <c:v>4.5115211702605045</c:v>
                </c:pt>
                <c:pt idx="12">
                  <c:v>4.9217938007699722</c:v>
                </c:pt>
                <c:pt idx="13">
                  <c:v>5.3320890718257621</c:v>
                </c:pt>
                <c:pt idx="14">
                  <c:v>5.7424069850554318</c:v>
                </c:pt>
                <c:pt idx="15">
                  <c:v>6.1527475420611912</c:v>
                </c:pt>
                <c:pt idx="16">
                  <c:v>6.5631107444198662</c:v>
                </c:pt>
                <c:pt idx="17">
                  <c:v>6.973496593682869</c:v>
                </c:pt>
                <c:pt idx="18">
                  <c:v>7.3839050913761888</c:v>
                </c:pt>
                <c:pt idx="19">
                  <c:v>7.7943362390003443</c:v>
                </c:pt>
                <c:pt idx="20">
                  <c:v>8.2047900380303744</c:v>
                </c:pt>
                <c:pt idx="21">
                  <c:v>8.615266489915804</c:v>
                </c:pt>
                <c:pt idx="22">
                  <c:v>9.0257655960806158</c:v>
                </c:pt>
                <c:pt idx="23">
                  <c:v>9.4362873579232254</c:v>
                </c:pt>
                <c:pt idx="24">
                  <c:v>9.8468317768164706</c:v>
                </c:pt>
                <c:pt idx="25">
                  <c:v>10.257398854107553</c:v>
                </c:pt>
                <c:pt idx="26">
                  <c:v>10.667988591118041</c:v>
                </c:pt>
                <c:pt idx="27">
                  <c:v>11.078600989143821</c:v>
                </c:pt>
                <c:pt idx="28">
                  <c:v>11.489236049455092</c:v>
                </c:pt>
                <c:pt idx="29">
                  <c:v>11.899893773296322</c:v>
                </c:pt>
                <c:pt idx="30">
                  <c:v>12.310574161886231</c:v>
                </c:pt>
                <c:pt idx="31">
                  <c:v>12.721277216417761</c:v>
                </c:pt>
                <c:pt idx="32">
                  <c:v>13.132002938058042</c:v>
                </c:pt>
                <c:pt idx="33">
                  <c:v>13.542751327948373</c:v>
                </c:pt>
                <c:pt idx="34">
                  <c:v>13.953522387204206</c:v>
                </c:pt>
                <c:pt idx="35">
                  <c:v>14.364316116915099</c:v>
                </c:pt>
                <c:pt idx="36">
                  <c:v>14.775132518144691</c:v>
                </c:pt>
                <c:pt idx="37">
                  <c:v>15.185971591930691</c:v>
                </c:pt>
                <c:pt idx="38">
                  <c:v>15.596833339284837</c:v>
                </c:pt>
                <c:pt idx="39">
                  <c:v>16.007717761192872</c:v>
                </c:pt>
                <c:pt idx="40">
                  <c:v>16.418624858614518</c:v>
                </c:pt>
                <c:pt idx="41">
                  <c:v>16.82955463248345</c:v>
                </c:pt>
                <c:pt idx="42">
                  <c:v>17.240507083707275</c:v>
                </c:pt>
                <c:pt idx="43">
                  <c:v>17.651482213167473</c:v>
                </c:pt>
                <c:pt idx="44">
                  <c:v>18.062480021719423</c:v>
                </c:pt>
                <c:pt idx="45">
                  <c:v>18.47350051019232</c:v>
                </c:pt>
                <c:pt idx="46">
                  <c:v>18.884543679389189</c:v>
                </c:pt>
                <c:pt idx="47">
                  <c:v>19.295609530086853</c:v>
                </c:pt>
                <c:pt idx="48">
                  <c:v>19.706698063035862</c:v>
                </c:pt>
                <c:pt idx="49">
                  <c:v>20.117809278960532</c:v>
                </c:pt>
                <c:pt idx="50">
                  <c:v>20.528943178558855</c:v>
                </c:pt>
                <c:pt idx="51">
                  <c:v>20.94009976250252</c:v>
                </c:pt>
                <c:pt idx="52">
                  <c:v>21.351279031436867</c:v>
                </c:pt>
                <c:pt idx="53">
                  <c:v>21.762480985980822</c:v>
                </c:pt>
                <c:pt idx="54">
                  <c:v>22.173705626726964</c:v>
                </c:pt>
                <c:pt idx="55">
                  <c:v>22.584952954241384</c:v>
                </c:pt>
                <c:pt idx="56">
                  <c:v>22.996222969063737</c:v>
                </c:pt>
                <c:pt idx="57">
                  <c:v>23.407515671707181</c:v>
                </c:pt>
                <c:pt idx="58">
                  <c:v>23.818831062658361</c:v>
                </c:pt>
                <c:pt idx="59">
                  <c:v>24.230169142377367</c:v>
                </c:pt>
                <c:pt idx="60">
                  <c:v>24.64152991129772</c:v>
                </c:pt>
                <c:pt idx="61">
                  <c:v>25.052913369826349</c:v>
                </c:pt>
                <c:pt idx="62">
                  <c:v>25.464319518343533</c:v>
                </c:pt>
                <c:pt idx="63">
                  <c:v>25.875748357202895</c:v>
                </c:pt>
                <c:pt idx="64">
                  <c:v>26.287199886731397</c:v>
                </c:pt>
                <c:pt idx="65">
                  <c:v>26.698674107229238</c:v>
                </c:pt>
                <c:pt idx="66">
                  <c:v>27.110171018969922</c:v>
                </c:pt>
                <c:pt idx="67">
                  <c:v>27.521690622200154</c:v>
                </c:pt>
                <c:pt idx="68">
                  <c:v>27.933232917139847</c:v>
                </c:pt>
                <c:pt idx="69">
                  <c:v>28.344797903982091</c:v>
                </c:pt>
                <c:pt idx="70">
                  <c:v>28.756385582893088</c:v>
                </c:pt>
                <c:pt idx="71">
                  <c:v>29.167995954012191</c:v>
                </c:pt>
                <c:pt idx="72">
                  <c:v>29.579629017451836</c:v>
                </c:pt>
                <c:pt idx="73">
                  <c:v>29.991284773297487</c:v>
                </c:pt>
                <c:pt idx="74">
                  <c:v>30.40296322160766</c:v>
                </c:pt>
                <c:pt idx="75">
                  <c:v>30.814664362413861</c:v>
                </c:pt>
                <c:pt idx="76">
                  <c:v>31.226388195720567</c:v>
                </c:pt>
                <c:pt idx="77">
                  <c:v>31.63813472150521</c:v>
                </c:pt>
                <c:pt idx="78">
                  <c:v>32.049903939718106</c:v>
                </c:pt>
                <c:pt idx="79">
                  <c:v>32.461695850282496</c:v>
                </c:pt>
                <c:pt idx="80">
                  <c:v>32.87351045309444</c:v>
                </c:pt>
                <c:pt idx="81">
                  <c:v>33.285347748022843</c:v>
                </c:pt>
                <c:pt idx="82">
                  <c:v>33.697207734909384</c:v>
                </c:pt>
                <c:pt idx="83">
                  <c:v>34.109090413568559</c:v>
                </c:pt>
                <c:pt idx="84">
                  <c:v>34.520995783787548</c:v>
                </c:pt>
                <c:pt idx="85">
                  <c:v>34.932923845326272</c:v>
                </c:pt>
                <c:pt idx="86">
                  <c:v>35.344874597917325</c:v>
                </c:pt>
                <c:pt idx="87">
                  <c:v>35.756848041265954</c:v>
                </c:pt>
                <c:pt idx="88">
                  <c:v>36.168844175050026</c:v>
                </c:pt>
                <c:pt idx="89">
                  <c:v>36.580862998919997</c:v>
                </c:pt>
                <c:pt idx="90">
                  <c:v>36.992904512498896</c:v>
                </c:pt>
                <c:pt idx="91">
                  <c:v>37.404968715382282</c:v>
                </c:pt>
                <c:pt idx="92">
                  <c:v>37.817055607138208</c:v>
                </c:pt>
                <c:pt idx="93">
                  <c:v>38.229165187307231</c:v>
                </c:pt>
                <c:pt idx="94">
                  <c:v>38.641297455402324</c:v>
                </c:pt>
                <c:pt idx="95">
                  <c:v>39.053452410908861</c:v>
                </c:pt>
                <c:pt idx="96">
                  <c:v>39.46563005328467</c:v>
                </c:pt>
                <c:pt idx="97">
                  <c:v>39.877830381959861</c:v>
                </c:pt>
                <c:pt idx="98">
                  <c:v>40.290053396336923</c:v>
                </c:pt>
                <c:pt idx="99">
                  <c:v>40.702299095790607</c:v>
                </c:pt>
                <c:pt idx="100">
                  <c:v>41.114567479667947</c:v>
                </c:pt>
              </c:numCache>
            </c:numRef>
          </c:yVal>
          <c:smooth val="0"/>
          <c:extLst>
            <c:ext xmlns:c16="http://schemas.microsoft.com/office/drawing/2014/chart" uri="{C3380CC4-5D6E-409C-BE32-E72D297353CC}">
              <c16:uniqueId val="{00000001-F506-44FF-8C40-0061493B9501}"/>
            </c:ext>
          </c:extLst>
        </c:ser>
        <c:dLbls>
          <c:showLegendKey val="0"/>
          <c:showVal val="0"/>
          <c:showCatName val="0"/>
          <c:showSerName val="0"/>
          <c:showPercent val="0"/>
          <c:showBubbleSize val="0"/>
        </c:dLbls>
        <c:axId val="152240896"/>
        <c:axId val="152242816"/>
      </c:scatterChart>
      <c:valAx>
        <c:axId val="15224089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52242816"/>
        <c:crosses val="autoZero"/>
        <c:crossBetween val="midCat"/>
      </c:valAx>
      <c:valAx>
        <c:axId val="15224281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5224089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'Ch2 Efficiency Calculations'!$BC$8</c:f>
              <c:strCache>
                <c:ptCount val="1"/>
                <c:pt idx="0">
                  <c:v>Control MOSFET Loss</c:v>
                </c:pt>
              </c:strCache>
            </c:strRef>
          </c:tx>
          <c:spPr>
            <a:ln w="25400">
              <a:solidFill>
                <a:srgbClr val="000080"/>
              </a:solidFill>
              <a:prstDash val="dash"/>
            </a:ln>
          </c:spPr>
          <c:marker>
            <c:symbol val="none"/>
          </c:marker>
          <c:xVal>
            <c:numRef>
              <c:f>'Ch2 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'Ch2 Efficiency Calculations'!$BC$9:$BC$109</c:f>
              <c:numCache>
                <c:formatCode>0.000</c:formatCode>
                <c:ptCount val="101"/>
                <c:pt idx="0">
                  <c:v>0.6375516446268128</c:v>
                </c:pt>
                <c:pt idx="1">
                  <c:v>0.65790710487594239</c:v>
                </c:pt>
                <c:pt idx="2">
                  <c:v>0.6774394118919721</c:v>
                </c:pt>
                <c:pt idx="3">
                  <c:v>0.69876131003413344</c:v>
                </c:pt>
                <c:pt idx="4">
                  <c:v>0.72025570665524419</c:v>
                </c:pt>
                <c:pt idx="5">
                  <c:v>0.74178164837282823</c:v>
                </c:pt>
                <c:pt idx="6">
                  <c:v>0.76333919178477005</c:v>
                </c:pt>
                <c:pt idx="7">
                  <c:v>0.78492839432160455</c:v>
                </c:pt>
                <c:pt idx="8">
                  <c:v>0.80654931424919019</c:v>
                </c:pt>
                <c:pt idx="9">
                  <c:v>0.8282020106714385</c:v>
                </c:pt>
                <c:pt idx="10">
                  <c:v>0.84988654353309678</c:v>
                </c:pt>
                <c:pt idx="11">
                  <c:v>0.87160297362258787</c:v>
                </c:pt>
                <c:pt idx="12">
                  <c:v>0.89335136257490655</c:v>
                </c:pt>
                <c:pt idx="13">
                  <c:v>0.91513177287457059</c:v>
                </c:pt>
                <c:pt idx="14">
                  <c:v>0.93694426785862828</c:v>
                </c:pt>
                <c:pt idx="15">
                  <c:v>0.95878891171972591</c:v>
                </c:pt>
                <c:pt idx="16">
                  <c:v>0.98066576950922812</c:v>
                </c:pt>
                <c:pt idx="17">
                  <c:v>1.0025749071403975</c:v>
                </c:pt>
                <c:pt idx="18">
                  <c:v>1.0245163913916344</c:v>
                </c:pt>
                <c:pt idx="19">
                  <c:v>1.0464902899097703</c:v>
                </c:pt>
                <c:pt idx="20">
                  <c:v>1.0684966712134234</c:v>
                </c:pt>
                <c:pt idx="21">
                  <c:v>1.090535604696411</c:v>
                </c:pt>
                <c:pt idx="22">
                  <c:v>1.112607160631222</c:v>
                </c:pt>
                <c:pt idx="23">
                  <c:v>1.1347114101725482</c:v>
                </c:pt>
                <c:pt idx="24">
                  <c:v>1.1568484253608771</c:v>
                </c:pt>
                <c:pt idx="25">
                  <c:v>1.1790182791261417</c:v>
                </c:pt>
                <c:pt idx="26">
                  <c:v>1.2012210452914351</c:v>
                </c:pt>
                <c:pt idx="27">
                  <c:v>1.2234567985767824</c:v>
                </c:pt>
                <c:pt idx="28">
                  <c:v>1.2457256146029767</c:v>
                </c:pt>
                <c:pt idx="29">
                  <c:v>1.2680275698954762</c:v>
                </c:pt>
                <c:pt idx="30">
                  <c:v>1.2903627418883616</c:v>
                </c:pt>
                <c:pt idx="31">
                  <c:v>1.3127312089283607</c:v>
                </c:pt>
                <c:pt idx="32">
                  <c:v>1.3351330502789298</c:v>
                </c:pt>
                <c:pt idx="33">
                  <c:v>1.3575683461244052</c:v>
                </c:pt>
                <c:pt idx="34">
                  <c:v>1.380037177574214</c:v>
                </c:pt>
                <c:pt idx="35">
                  <c:v>1.4025396266671524</c:v>
                </c:pt>
                <c:pt idx="36">
                  <c:v>1.4250757763757249</c:v>
                </c:pt>
                <c:pt idx="37">
                  <c:v>1.4476457106105545</c:v>
                </c:pt>
                <c:pt idx="38">
                  <c:v>1.4702495142248539</c:v>
                </c:pt>
                <c:pt idx="39">
                  <c:v>1.4928872730189662</c:v>
                </c:pt>
                <c:pt idx="40">
                  <c:v>1.5155590737449698</c:v>
                </c:pt>
                <c:pt idx="41">
                  <c:v>1.538265004111353</c:v>
                </c:pt>
                <c:pt idx="42">
                  <c:v>1.561005152787756</c:v>
                </c:pt>
                <c:pt idx="43">
                  <c:v>1.5837796094097794</c:v>
                </c:pt>
                <c:pt idx="44">
                  <c:v>1.6065884645838651</c:v>
                </c:pt>
                <c:pt idx="45">
                  <c:v>1.629431809892242</c:v>
                </c:pt>
                <c:pt idx="46">
                  <c:v>1.652309737897947</c:v>
                </c:pt>
                <c:pt idx="47">
                  <c:v>1.6752223421499144</c:v>
                </c:pt>
                <c:pt idx="48">
                  <c:v>1.698169717188132</c:v>
                </c:pt>
                <c:pt idx="49">
                  <c:v>1.7211519585488784</c:v>
                </c:pt>
                <c:pt idx="50">
                  <c:v>1.7441691627700231</c:v>
                </c:pt>
                <c:pt idx="51">
                  <c:v>1.7672214273964073</c:v>
                </c:pt>
                <c:pt idx="52">
                  <c:v>1.7903088509852911</c:v>
                </c:pt>
                <c:pt idx="53">
                  <c:v>1.8134315331118815</c:v>
                </c:pt>
                <c:pt idx="54">
                  <c:v>1.8365895743749316</c:v>
                </c:pt>
                <c:pt idx="55">
                  <c:v>1.8597830764024144</c:v>
                </c:pt>
                <c:pt idx="56">
                  <c:v>1.8830121418572761</c:v>
                </c:pt>
                <c:pt idx="57">
                  <c:v>1.9062768744432632</c:v>
                </c:pt>
                <c:pt idx="58">
                  <c:v>1.929577378910829</c:v>
                </c:pt>
                <c:pt idx="59">
                  <c:v>1.9529137610631162</c:v>
                </c:pt>
                <c:pt idx="60">
                  <c:v>1.9762861277620207</c:v>
                </c:pt>
                <c:pt idx="61">
                  <c:v>1.9996945869343337</c:v>
                </c:pt>
                <c:pt idx="62">
                  <c:v>2.023139247577963</c:v>
                </c:pt>
                <c:pt idx="63">
                  <c:v>2.0466202197682368</c:v>
                </c:pt>
                <c:pt idx="64">
                  <c:v>2.0701376146642909</c:v>
                </c:pt>
                <c:pt idx="65">
                  <c:v>2.0936915445155329</c:v>
                </c:pt>
                <c:pt idx="66">
                  <c:v>2.1172821226681959</c:v>
                </c:pt>
                <c:pt idx="67">
                  <c:v>2.1409094635719725</c:v>
                </c:pt>
                <c:pt idx="68">
                  <c:v>2.1645736827867332</c:v>
                </c:pt>
                <c:pt idx="69">
                  <c:v>2.1882748969893355</c:v>
                </c:pt>
                <c:pt idx="70">
                  <c:v>2.2120132239805095</c:v>
                </c:pt>
                <c:pt idx="71">
                  <c:v>2.2357887826918441</c:v>
                </c:pt>
                <c:pt idx="72">
                  <c:v>2.2596016931928493</c:v>
                </c:pt>
                <c:pt idx="73">
                  <c:v>2.2834520766981137</c:v>
                </c:pt>
                <c:pt idx="74">
                  <c:v>2.3073400555745507</c:v>
                </c:pt>
                <c:pt idx="75">
                  <c:v>2.3312657533487355</c:v>
                </c:pt>
                <c:pt idx="76">
                  <c:v>2.3552292947143307</c:v>
                </c:pt>
                <c:pt idx="77">
                  <c:v>2.3792308055396134</c:v>
                </c:pt>
                <c:pt idx="78">
                  <c:v>2.4032704128750804</c:v>
                </c:pt>
                <c:pt idx="79">
                  <c:v>2.4273482449611654</c:v>
                </c:pt>
                <c:pt idx="80">
                  <c:v>2.4514644312360359</c:v>
                </c:pt>
                <c:pt idx="81">
                  <c:v>2.4756191023434999</c:v>
                </c:pt>
                <c:pt idx="82">
                  <c:v>2.4998123901409954</c:v>
                </c:pt>
                <c:pt idx="83">
                  <c:v>2.5240444277076945</c:v>
                </c:pt>
                <c:pt idx="84">
                  <c:v>2.5483153493526913</c:v>
                </c:pt>
                <c:pt idx="85">
                  <c:v>2.5726252906233027</c:v>
                </c:pt>
                <c:pt idx="86">
                  <c:v>2.5969743883134591</c:v>
                </c:pt>
                <c:pt idx="87">
                  <c:v>2.6213627804722086</c:v>
                </c:pt>
                <c:pt idx="88">
                  <c:v>2.6457906064123167</c:v>
                </c:pt>
                <c:pt idx="89">
                  <c:v>2.6702580067189716</c:v>
                </c:pt>
                <c:pt idx="90">
                  <c:v>2.6947651232586005</c:v>
                </c:pt>
                <c:pt idx="91">
                  <c:v>2.7193120991877873</c:v>
                </c:pt>
                <c:pt idx="92">
                  <c:v>2.7438990789622961</c:v>
                </c:pt>
                <c:pt idx="93">
                  <c:v>2.7685262083462159</c:v>
                </c:pt>
                <c:pt idx="94">
                  <c:v>2.7931936344211956</c:v>
                </c:pt>
                <c:pt idx="95">
                  <c:v>2.8179015055958114</c:v>
                </c:pt>
                <c:pt idx="96">
                  <c:v>2.8426499716150326</c:v>
                </c:pt>
                <c:pt idx="97">
                  <c:v>2.8674391835698083</c:v>
                </c:pt>
                <c:pt idx="98">
                  <c:v>2.8922692939067645</c:v>
                </c:pt>
                <c:pt idx="99">
                  <c:v>2.9171404564380183</c:v>
                </c:pt>
                <c:pt idx="100">
                  <c:v>2.9420528263511176</c:v>
                </c:pt>
              </c:numCache>
            </c:numRef>
          </c:yVal>
          <c:smooth val="0"/>
          <c:extLst>
            <c:ext xmlns:c16="http://schemas.microsoft.com/office/drawing/2014/chart" uri="{C3380CC4-5D6E-409C-BE32-E72D297353CC}">
              <c16:uniqueId val="{00000000-43BE-4445-8235-AC1A889A3262}"/>
            </c:ext>
          </c:extLst>
        </c:ser>
        <c:ser>
          <c:idx val="3"/>
          <c:order val="1"/>
          <c:tx>
            <c:strRef>
              <c:f>'Ch2 Efficiency Calculations'!$BD$8</c:f>
              <c:strCache>
                <c:ptCount val="1"/>
                <c:pt idx="0">
                  <c:v>SYNC MOSFET Loss</c:v>
                </c:pt>
              </c:strCache>
            </c:strRef>
          </c:tx>
          <c:spPr>
            <a:ln w="25400">
              <a:solidFill>
                <a:srgbClr val="FF0000"/>
              </a:solidFill>
              <a:prstDash val="solid"/>
            </a:ln>
          </c:spPr>
          <c:marker>
            <c:symbol val="none"/>
          </c:marker>
          <c:xVal>
            <c:numRef>
              <c:f>'Ch2 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'Ch2 Efficiency Calculations'!$BD$9:$BD$109</c:f>
              <c:numCache>
                <c:formatCode>0.000</c:formatCode>
                <c:ptCount val="101"/>
                <c:pt idx="0">
                  <c:v>2.1216338771078685E-3</c:v>
                </c:pt>
                <c:pt idx="1">
                  <c:v>1.1881992258721372E-2</c:v>
                </c:pt>
                <c:pt idx="2">
                  <c:v>2.1642945783082072E-2</c:v>
                </c:pt>
                <c:pt idx="3">
                  <c:v>3.2372499531527807E-2</c:v>
                </c:pt>
                <c:pt idx="4">
                  <c:v>4.3164382893771128E-2</c:v>
                </c:pt>
                <c:pt idx="5">
                  <c:v>5.3956861693281163E-2</c:v>
                </c:pt>
                <c:pt idx="6">
                  <c:v>6.4749935978201972E-2</c:v>
                </c:pt>
                <c:pt idx="7">
                  <c:v>7.5543605796015809E-2</c:v>
                </c:pt>
                <c:pt idx="8">
                  <c:v>8.6337871193542415E-2</c:v>
                </c:pt>
                <c:pt idx="9">
                  <c:v>9.7132732216938356E-2</c:v>
                </c:pt>
                <c:pt idx="10">
                  <c:v>0.10792818891169642</c:v>
                </c:pt>
                <c:pt idx="11">
                  <c:v>0.11872424132264486</c:v>
                </c:pt>
                <c:pt idx="12">
                  <c:v>0.12952088949394663</c:v>
                </c:pt>
                <c:pt idx="13">
                  <c:v>0.14031813346909899</c:v>
                </c:pt>
                <c:pt idx="14">
                  <c:v>0.1511159732909324</c:v>
                </c:pt>
                <c:pt idx="15">
                  <c:v>0.1619144090016103</c:v>
                </c:pt>
                <c:pt idx="16">
                  <c:v>0.17271344064262806</c:v>
                </c:pt>
                <c:pt idx="17">
                  <c:v>0.18351306825481234</c:v>
                </c:pt>
                <c:pt idx="18">
                  <c:v>0.19431329187832075</c:v>
                </c:pt>
                <c:pt idx="19">
                  <c:v>0.20511411155264064</c:v>
                </c:pt>
                <c:pt idx="20">
                  <c:v>0.21591552731658881</c:v>
                </c:pt>
                <c:pt idx="21">
                  <c:v>0.22671753920831061</c:v>
                </c:pt>
                <c:pt idx="22">
                  <c:v>0.23752014726527934</c:v>
                </c:pt>
                <c:pt idx="23">
                  <c:v>0.24832335152429541</c:v>
                </c:pt>
                <c:pt idx="24">
                  <c:v>0.25912715202148606</c:v>
                </c:pt>
                <c:pt idx="25">
                  <c:v>0.26993154879230402</c:v>
                </c:pt>
                <c:pt idx="26">
                  <c:v>0.28073654187152741</c:v>
                </c:pt>
                <c:pt idx="27">
                  <c:v>0.29154213129325846</c:v>
                </c:pt>
                <c:pt idx="28">
                  <c:v>0.30234831709092347</c:v>
                </c:pt>
                <c:pt idx="29">
                  <c:v>0.31315509929727164</c:v>
                </c:pt>
                <c:pt idx="30">
                  <c:v>0.32396247794437449</c:v>
                </c:pt>
                <c:pt idx="31">
                  <c:v>0.3347704530636253</c:v>
                </c:pt>
                <c:pt idx="32">
                  <c:v>0.34557902468573792</c:v>
                </c:pt>
                <c:pt idx="33">
                  <c:v>0.35638819284074669</c:v>
                </c:pt>
                <c:pt idx="34">
                  <c:v>0.36719795755800544</c:v>
                </c:pt>
                <c:pt idx="35">
                  <c:v>0.3780083188661868</c:v>
                </c:pt>
                <c:pt idx="36">
                  <c:v>0.38881927679328132</c:v>
                </c:pt>
                <c:pt idx="37">
                  <c:v>0.39963083136659716</c:v>
                </c:pt>
                <c:pt idx="38">
                  <c:v>0.41044298261275886</c:v>
                </c:pt>
                <c:pt idx="39">
                  <c:v>0.42125573055770715</c:v>
                </c:pt>
                <c:pt idx="40">
                  <c:v>0.43206907522669785</c:v>
                </c:pt>
                <c:pt idx="41">
                  <c:v>0.44288301664430135</c:v>
                </c:pt>
                <c:pt idx="42">
                  <c:v>0.45369755483440194</c:v>
                </c:pt>
                <c:pt idx="43">
                  <c:v>0.46451268982019661</c:v>
                </c:pt>
                <c:pt idx="44">
                  <c:v>0.47532842162419531</c:v>
                </c:pt>
                <c:pt idx="45">
                  <c:v>0.48614475026821891</c:v>
                </c:pt>
                <c:pt idx="46">
                  <c:v>0.49696167577339972</c:v>
                </c:pt>
                <c:pt idx="47">
                  <c:v>0.50777919816018036</c:v>
                </c:pt>
                <c:pt idx="48">
                  <c:v>0.51859731744831217</c:v>
                </c:pt>
                <c:pt idx="49">
                  <c:v>0.52941603365685608</c:v>
                </c:pt>
                <c:pt idx="50">
                  <c:v>0.54023534680418039</c:v>
                </c:pt>
                <c:pt idx="51">
                  <c:v>0.55105525690796109</c:v>
                </c:pt>
                <c:pt idx="52">
                  <c:v>0.56187576398518069</c:v>
                </c:pt>
                <c:pt idx="53">
                  <c:v>0.57269686805212694</c:v>
                </c:pt>
                <c:pt idx="54">
                  <c:v>0.58351856912439382</c:v>
                </c:pt>
                <c:pt idx="55">
                  <c:v>0.59434086721687851</c:v>
                </c:pt>
                <c:pt idx="56">
                  <c:v>0.60516376234378255</c:v>
                </c:pt>
                <c:pt idx="57">
                  <c:v>0.61598725451861003</c:v>
                </c:pt>
                <c:pt idx="58">
                  <c:v>0.62681134375416736</c:v>
                </c:pt>
                <c:pt idx="59">
                  <c:v>0.63763603006256231</c:v>
                </c:pt>
                <c:pt idx="60">
                  <c:v>0.64846131345520319</c:v>
                </c:pt>
                <c:pt idx="61">
                  <c:v>0.65928719394279867</c:v>
                </c:pt>
                <c:pt idx="62">
                  <c:v>0.67011367153535617</c:v>
                </c:pt>
                <c:pt idx="63">
                  <c:v>0.68094074624218148</c:v>
                </c:pt>
                <c:pt idx="64">
                  <c:v>0.69176841807187883</c:v>
                </c:pt>
                <c:pt idx="65">
                  <c:v>0.70259668703234834</c:v>
                </c:pt>
                <c:pt idx="66">
                  <c:v>0.71342555313078737</c:v>
                </c:pt>
                <c:pt idx="67">
                  <c:v>0.72425501637368828</c:v>
                </c:pt>
                <c:pt idx="68">
                  <c:v>0.7350850767668381</c:v>
                </c:pt>
                <c:pt idx="69">
                  <c:v>0.74591573431531821</c:v>
                </c:pt>
                <c:pt idx="70">
                  <c:v>0.75674698902350235</c:v>
                </c:pt>
                <c:pt idx="71">
                  <c:v>0.76757884089505768</c:v>
                </c:pt>
                <c:pt idx="72">
                  <c:v>0.77841128993294306</c:v>
                </c:pt>
                <c:pt idx="73">
                  <c:v>0.78924433613940759</c:v>
                </c:pt>
                <c:pt idx="74">
                  <c:v>0.80007797951599102</c:v>
                </c:pt>
                <c:pt idx="75">
                  <c:v>0.8109122200635227</c:v>
                </c:pt>
                <c:pt idx="76">
                  <c:v>0.8217470577821202</c:v>
                </c:pt>
                <c:pt idx="77">
                  <c:v>0.83258249267118978</c:v>
                </c:pt>
                <c:pt idx="78">
                  <c:v>0.84341852472942391</c:v>
                </c:pt>
                <c:pt idx="79">
                  <c:v>0.85425515395480256</c:v>
                </c:pt>
                <c:pt idx="80">
                  <c:v>0.86509238034459046</c:v>
                </c:pt>
                <c:pt idx="81">
                  <c:v>0.87593020389533804</c:v>
                </c:pt>
                <c:pt idx="82">
                  <c:v>0.88676862460287853</c:v>
                </c:pt>
                <c:pt idx="83">
                  <c:v>0.89760764246233049</c:v>
                </c:pt>
                <c:pt idx="84">
                  <c:v>0.90844725746809341</c:v>
                </c:pt>
                <c:pt idx="85">
                  <c:v>0.91928746961384922</c:v>
                </c:pt>
                <c:pt idx="86">
                  <c:v>0.93012827889256111</c:v>
                </c:pt>
                <c:pt idx="87">
                  <c:v>0.9409696852964724</c:v>
                </c:pt>
                <c:pt idx="88">
                  <c:v>0.95181168881710598</c:v>
                </c:pt>
                <c:pt idx="89">
                  <c:v>0.9626542894452631</c:v>
                </c:pt>
                <c:pt idx="90">
                  <c:v>0.97349748717102358</c:v>
                </c:pt>
                <c:pt idx="91">
                  <c:v>0.98434128198374427</c:v>
                </c:pt>
                <c:pt idx="92">
                  <c:v>0.99518567387205814</c:v>
                </c:pt>
                <c:pt idx="93">
                  <c:v>1.0060306628238744</c:v>
                </c:pt>
                <c:pt idx="94">
                  <c:v>1.0168762488263769</c:v>
                </c:pt>
                <c:pt idx="95">
                  <c:v>1.0277224318660227</c:v>
                </c:pt>
                <c:pt idx="96">
                  <c:v>1.0385692119285439</c:v>
                </c:pt>
                <c:pt idx="97">
                  <c:v>1.0494165889989437</c:v>
                </c:pt>
                <c:pt idx="98">
                  <c:v>1.060264563061498</c:v>
                </c:pt>
                <c:pt idx="99">
                  <c:v>1.0711131340997528</c:v>
                </c:pt>
                <c:pt idx="100">
                  <c:v>1.081962302096525</c:v>
                </c:pt>
              </c:numCache>
            </c:numRef>
          </c:yVal>
          <c:smooth val="0"/>
          <c:extLst>
            <c:ext xmlns:c16="http://schemas.microsoft.com/office/drawing/2014/chart" uri="{C3380CC4-5D6E-409C-BE32-E72D297353CC}">
              <c16:uniqueId val="{00000001-43BE-4445-8235-AC1A889A3262}"/>
            </c:ext>
          </c:extLst>
        </c:ser>
        <c:ser>
          <c:idx val="0"/>
          <c:order val="2"/>
          <c:tx>
            <c:v>Inductor Loss</c:v>
          </c:tx>
          <c:spPr>
            <a:ln w="31750">
              <a:solidFill>
                <a:srgbClr val="FF6600"/>
              </a:solidFill>
              <a:prstDash val="lgDash"/>
            </a:ln>
          </c:spPr>
          <c:marker>
            <c:symbol val="none"/>
          </c:marker>
          <c:xVal>
            <c:numRef>
              <c:f>'Ch2 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'Ch2 Efficiency Calculations'!$U$9:$U$109</c:f>
              <c:numCache>
                <c:formatCode>0.000</c:formatCode>
                <c:ptCount val="101"/>
                <c:pt idx="0">
                  <c:v>0.30000489542155695</c:v>
                </c:pt>
                <c:pt idx="1">
                  <c:v>0.30000834801500087</c:v>
                </c:pt>
                <c:pt idx="2">
                  <c:v>0.30001871262782925</c:v>
                </c:pt>
                <c:pt idx="3">
                  <c:v>0.30003598929362357</c:v>
                </c:pt>
                <c:pt idx="4">
                  <c:v>0.30006017806836072</c:v>
                </c:pt>
                <c:pt idx="5">
                  <c:v>0.30009127903041349</c:v>
                </c:pt>
                <c:pt idx="6">
                  <c:v>0.30012929228055096</c:v>
                </c:pt>
                <c:pt idx="7">
                  <c:v>0.30017421794193933</c:v>
                </c:pt>
                <c:pt idx="8">
                  <c:v>0.30022605616014308</c:v>
                </c:pt>
                <c:pt idx="9">
                  <c:v>0.30028480710312616</c:v>
                </c:pt>
                <c:pt idx="10">
                  <c:v>0.30035047096125317</c:v>
                </c:pt>
                <c:pt idx="11">
                  <c:v>0.30042304794729091</c:v>
                </c:pt>
                <c:pt idx="12">
                  <c:v>0.30050253829641049</c:v>
                </c:pt>
                <c:pt idx="13">
                  <c:v>0.30058894226618865</c:v>
                </c:pt>
                <c:pt idx="14">
                  <c:v>0.30068226013661015</c:v>
                </c:pt>
                <c:pt idx="15">
                  <c:v>0.30078249221007025</c:v>
                </c:pt>
                <c:pt idx="16">
                  <c:v>0.3008896388113767</c:v>
                </c:pt>
                <c:pt idx="17">
                  <c:v>0.3010037002877527</c:v>
                </c:pt>
                <c:pt idx="18">
                  <c:v>0.30112467700883971</c:v>
                </c:pt>
                <c:pt idx="19">
                  <c:v>0.30125256936670014</c:v>
                </c:pt>
                <c:pt idx="20">
                  <c:v>0.30138737777582092</c:v>
                </c:pt>
                <c:pt idx="21">
                  <c:v>0.30152910267311656</c:v>
                </c:pt>
                <c:pt idx="22">
                  <c:v>0.301677744517933</c:v>
                </c:pt>
                <c:pt idx="23">
                  <c:v>0.30183330379205081</c:v>
                </c:pt>
                <c:pt idx="24">
                  <c:v>0.30199578099968971</c:v>
                </c:pt>
                <c:pt idx="25">
                  <c:v>0.30216517666751236</c:v>
                </c:pt>
                <c:pt idx="26">
                  <c:v>0.30234149134462845</c:v>
                </c:pt>
                <c:pt idx="27">
                  <c:v>0.30252472560259952</c:v>
                </c:pt>
                <c:pt idx="28">
                  <c:v>0.30271488003544333</c:v>
                </c:pt>
                <c:pt idx="29">
                  <c:v>0.30291195525963882</c:v>
                </c:pt>
                <c:pt idx="30">
                  <c:v>0.30311595191413099</c:v>
                </c:pt>
                <c:pt idx="31">
                  <c:v>0.30332687066033609</c:v>
                </c:pt>
                <c:pt idx="32">
                  <c:v>0.30354471218214729</c:v>
                </c:pt>
                <c:pt idx="33">
                  <c:v>0.30376947718593961</c:v>
                </c:pt>
                <c:pt idx="34">
                  <c:v>0.30400116640057623</c:v>
                </c:pt>
                <c:pt idx="35">
                  <c:v>0.30423978057741419</c:v>
                </c:pt>
                <c:pt idx="36">
                  <c:v>0.30448532049031035</c:v>
                </c:pt>
                <c:pt idx="37">
                  <c:v>0.30473778693562781</c:v>
                </c:pt>
                <c:pt idx="38">
                  <c:v>0.30499718073224241</c:v>
                </c:pt>
                <c:pt idx="39">
                  <c:v>0.3052635027215494</c:v>
                </c:pt>
                <c:pt idx="40">
                  <c:v>0.30553675376746992</c:v>
                </c:pt>
                <c:pt idx="41">
                  <c:v>0.30581693475645844</c:v>
                </c:pt>
                <c:pt idx="42">
                  <c:v>0.30610404659750989</c:v>
                </c:pt>
                <c:pt idx="43">
                  <c:v>0.30639809022216657</c:v>
                </c:pt>
                <c:pt idx="44">
                  <c:v>0.30669906658452645</c:v>
                </c:pt>
                <c:pt idx="45">
                  <c:v>0.30700697666125032</c:v>
                </c:pt>
                <c:pt idx="46">
                  <c:v>0.30732182145157005</c:v>
                </c:pt>
                <c:pt idx="47">
                  <c:v>0.30764360197729645</c:v>
                </c:pt>
                <c:pt idx="48">
                  <c:v>0.30797231928282787</c:v>
                </c:pt>
                <c:pt idx="49">
                  <c:v>0.30830797443515828</c:v>
                </c:pt>
                <c:pt idx="50">
                  <c:v>0.30865056852388645</c:v>
                </c:pt>
                <c:pt idx="51">
                  <c:v>0.30900010266122424</c:v>
                </c:pt>
                <c:pt idx="52">
                  <c:v>0.30935657798200622</c:v>
                </c:pt>
                <c:pt idx="53">
                  <c:v>0.30971999564369823</c:v>
                </c:pt>
                <c:pt idx="54">
                  <c:v>0.3100903568264074</c:v>
                </c:pt>
                <c:pt idx="55">
                  <c:v>0.31046766273289145</c:v>
                </c:pt>
                <c:pt idx="56">
                  <c:v>0.31085191458856837</c:v>
                </c:pt>
                <c:pt idx="57">
                  <c:v>0.31124311364152657</c:v>
                </c:pt>
                <c:pt idx="58">
                  <c:v>0.31164126116253493</c:v>
                </c:pt>
                <c:pt idx="59">
                  <c:v>0.31204635844505335</c:v>
                </c:pt>
                <c:pt idx="60">
                  <c:v>0.31245840680524267</c:v>
                </c:pt>
                <c:pt idx="61">
                  <c:v>0.3128774075819763</c:v>
                </c:pt>
                <c:pt idx="62">
                  <c:v>0.31330336213685012</c:v>
                </c:pt>
                <c:pt idx="63">
                  <c:v>0.31373627185419428</c:v>
                </c:pt>
                <c:pt idx="64">
                  <c:v>0.31417613814108419</c:v>
                </c:pt>
                <c:pt idx="65">
                  <c:v>0.31462296242735199</c:v>
                </c:pt>
                <c:pt idx="66">
                  <c:v>0.31507674616559805</c:v>
                </c:pt>
                <c:pt idx="67">
                  <c:v>0.31553749083120314</c:v>
                </c:pt>
                <c:pt idx="68">
                  <c:v>0.31600519792234011</c:v>
                </c:pt>
                <c:pt idx="69">
                  <c:v>0.31647986895998614</c:v>
                </c:pt>
                <c:pt idx="70">
                  <c:v>0.31696150548793539</c:v>
                </c:pt>
                <c:pt idx="71">
                  <c:v>0.31745010907281124</c:v>
                </c:pt>
                <c:pt idx="72">
                  <c:v>0.31794568130407924</c:v>
                </c:pt>
                <c:pt idx="73">
                  <c:v>0.31844822379405985</c:v>
                </c:pt>
                <c:pt idx="74">
                  <c:v>0.31895773817794204</c:v>
                </c:pt>
                <c:pt idx="75">
                  <c:v>0.31947422611379606</c:v>
                </c:pt>
                <c:pt idx="76">
                  <c:v>0.31999768928258737</c:v>
                </c:pt>
                <c:pt idx="77">
                  <c:v>0.32052812938819003</c:v>
                </c:pt>
                <c:pt idx="78">
                  <c:v>0.3210655481574009</c:v>
                </c:pt>
                <c:pt idx="79">
                  <c:v>0.32160994733995346</c:v>
                </c:pt>
                <c:pt idx="80">
                  <c:v>0.32216132870853231</c:v>
                </c:pt>
                <c:pt idx="81">
                  <c:v>0.32271969405878742</c:v>
                </c:pt>
                <c:pt idx="82">
                  <c:v>0.32328504520934875</c:v>
                </c:pt>
                <c:pt idx="83">
                  <c:v>0.32385738400184161</c:v>
                </c:pt>
                <c:pt idx="84">
                  <c:v>0.32443671230090088</c:v>
                </c:pt>
                <c:pt idx="85">
                  <c:v>0.32502303199418692</c:v>
                </c:pt>
                <c:pt idx="86">
                  <c:v>0.32561634499240066</c:v>
                </c:pt>
                <c:pt idx="87">
                  <c:v>0.32621665322929927</c:v>
                </c:pt>
                <c:pt idx="88">
                  <c:v>0.32682395866171193</c:v>
                </c:pt>
                <c:pt idx="89">
                  <c:v>0.32743826326955588</c:v>
                </c:pt>
                <c:pt idx="90">
                  <c:v>0.32805956905585254</c:v>
                </c:pt>
                <c:pt idx="91">
                  <c:v>0.32868787804674393</c:v>
                </c:pt>
                <c:pt idx="92">
                  <c:v>0.3293231922915093</c:v>
                </c:pt>
                <c:pt idx="93">
                  <c:v>0.32996551386258161</c:v>
                </c:pt>
                <c:pt idx="94">
                  <c:v>0.33061484485556492</c:v>
                </c:pt>
                <c:pt idx="95">
                  <c:v>0.3312711873892511</c:v>
                </c:pt>
                <c:pt idx="96">
                  <c:v>0.33193454360563746</c:v>
                </c:pt>
                <c:pt idx="97">
                  <c:v>0.33260491566994416</c:v>
                </c:pt>
                <c:pt idx="98">
                  <c:v>0.333282305770632</c:v>
                </c:pt>
                <c:pt idx="99">
                  <c:v>0.33396671611942019</c:v>
                </c:pt>
                <c:pt idx="100">
                  <c:v>0.33465814895130469</c:v>
                </c:pt>
              </c:numCache>
            </c:numRef>
          </c:yVal>
          <c:smooth val="0"/>
          <c:extLst>
            <c:ext xmlns:c16="http://schemas.microsoft.com/office/drawing/2014/chart" uri="{C3380CC4-5D6E-409C-BE32-E72D297353CC}">
              <c16:uniqueId val="{00000002-43BE-4445-8235-AC1A889A3262}"/>
            </c:ext>
          </c:extLst>
        </c:ser>
        <c:dLbls>
          <c:showLegendKey val="0"/>
          <c:showVal val="0"/>
          <c:showCatName val="0"/>
          <c:showSerName val="0"/>
          <c:showPercent val="0"/>
          <c:showBubbleSize val="0"/>
        </c:dLbls>
        <c:axId val="152298240"/>
        <c:axId val="152300160"/>
      </c:scatterChart>
      <c:valAx>
        <c:axId val="152298240"/>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2300160"/>
        <c:crosses val="autoZero"/>
        <c:crossBetween val="midCat"/>
      </c:valAx>
      <c:valAx>
        <c:axId val="15230016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2298240"/>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'Ch2 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'Ch2 Efficiency Calculations'!$AV$9:$AV$109</c:f>
              <c:numCache>
                <c:formatCode>0.0%</c:formatCode>
                <c:ptCount val="101"/>
                <c:pt idx="0">
                  <c:v>0</c:v>
                </c:pt>
                <c:pt idx="1">
                  <c:v>0.4311417507744888</c:v>
                </c:pt>
                <c:pt idx="2">
                  <c:v>0.59681462378240879</c:v>
                </c:pt>
                <c:pt idx="3">
                  <c:v>0.6840504897326799</c:v>
                </c:pt>
                <c:pt idx="4">
                  <c:v>0.73794610936598326</c:v>
                </c:pt>
                <c:pt idx="5">
                  <c:v>0.77455156608513931</c:v>
                </c:pt>
                <c:pt idx="6">
                  <c:v>0.8010322026376927</c:v>
                </c:pt>
                <c:pt idx="7">
                  <c:v>0.82107464905771821</c:v>
                </c:pt>
                <c:pt idx="8">
                  <c:v>0.83676943161588624</c:v>
                </c:pt>
                <c:pt idx="9">
                  <c:v>0.8493903908359326</c:v>
                </c:pt>
                <c:pt idx="10">
                  <c:v>0.85975800579531469</c:v>
                </c:pt>
                <c:pt idx="11">
                  <c:v>0.86842460480480377</c:v>
                </c:pt>
                <c:pt idx="12">
                  <c:v>0.8757756378858762</c:v>
                </c:pt>
                <c:pt idx="13">
                  <c:v>0.88208827548570234</c:v>
                </c:pt>
                <c:pt idx="14">
                  <c:v>0.88756693543016363</c:v>
                </c:pt>
                <c:pt idx="15">
                  <c:v>0.89236568340691036</c:v>
                </c:pt>
                <c:pt idx="16">
                  <c:v>0.89660283703790955</c:v>
                </c:pt>
                <c:pt idx="17">
                  <c:v>0.90037076573688213</c:v>
                </c:pt>
                <c:pt idx="18">
                  <c:v>0.90374263433105839</c:v>
                </c:pt>
                <c:pt idx="19">
                  <c:v>0.90677714749411764</c:v>
                </c:pt>
                <c:pt idx="20">
                  <c:v>0.90952195388540336</c:v>
                </c:pt>
                <c:pt idx="21">
                  <c:v>0.912016131868019</c:v>
                </c:pt>
                <c:pt idx="22">
                  <c:v>0.91429203344969101</c:v>
                </c:pt>
                <c:pt idx="23">
                  <c:v>0.91637667178518944</c:v>
                </c:pt>
                <c:pt idx="24">
                  <c:v>0.91829277883247418</c:v>
                </c:pt>
                <c:pt idx="25">
                  <c:v>0.92005962115819717</c:v>
                </c:pt>
                <c:pt idx="26">
                  <c:v>0.92169363604425325</c:v>
                </c:pt>
                <c:pt idx="27">
                  <c:v>0.92320893243978086</c:v>
                </c:pt>
                <c:pt idx="28">
                  <c:v>0.92461768911537712</c:v>
                </c:pt>
                <c:pt idx="29">
                  <c:v>0.92593047381604032</c:v>
                </c:pt>
                <c:pt idx="30">
                  <c:v>0.92715650111531289</c:v>
                </c:pt>
                <c:pt idx="31">
                  <c:v>0.92830384228030205</c:v>
                </c:pt>
                <c:pt idx="32">
                  <c:v>0.9293795972538702</c:v>
                </c:pt>
                <c:pt idx="33">
                  <c:v>0.93039003649894148</c:v>
                </c:pt>
                <c:pt idx="34">
                  <c:v>0.93134071869161184</c:v>
                </c:pt>
                <c:pt idx="35">
                  <c:v>0.93223658892814221</c:v>
                </c:pt>
                <c:pt idx="36">
                  <c:v>0.93308206110873526</c:v>
                </c:pt>
                <c:pt idx="37">
                  <c:v>0.93388108739467257</c:v>
                </c:pt>
                <c:pt idx="38">
                  <c:v>0.9346372170448406</c:v>
                </c:pt>
                <c:pt idx="39">
                  <c:v>0.93535364647921315</c:v>
                </c:pt>
                <c:pt idx="40">
                  <c:v>0.93603326205844162</c:v>
                </c:pt>
                <c:pt idx="41">
                  <c:v>0.93667867678666461</c:v>
                </c:pt>
                <c:pt idx="42">
                  <c:v>0.9372922619213091</c:v>
                </c:pt>
                <c:pt idx="43">
                  <c:v>0.93787617429575787</c:v>
                </c:pt>
                <c:pt idx="44">
                  <c:v>0.93843238001824569</c:v>
                </c:pt>
                <c:pt idx="45">
                  <c:v>0.93896267509557563</c:v>
                </c:pt>
                <c:pt idx="46">
                  <c:v>0.93946870343734423</c:v>
                </c:pt>
                <c:pt idx="47">
                  <c:v>0.93995197262079011</c:v>
                </c:pt>
                <c:pt idx="48">
                  <c:v>0.94041386773462587</c:v>
                </c:pt>
                <c:pt idx="49">
                  <c:v>0.94085566356951278</c:v>
                </c:pt>
                <c:pt idx="50">
                  <c:v>0.94127853538105366</c:v>
                </c:pt>
                <c:pt idx="51">
                  <c:v>0.94168356841658296</c:v>
                </c:pt>
                <c:pt idx="52">
                  <c:v>0.9420717663682957</c:v>
                </c:pt>
                <c:pt idx="53">
                  <c:v>0.94244405889127758</c:v>
                </c:pt>
                <c:pt idx="54">
                  <c:v>0.94280130830493458</c:v>
                </c:pt>
                <c:pt idx="55">
                  <c:v>0.94314431557946421</c:v>
                </c:pt>
                <c:pt idx="56">
                  <c:v>0.94347382569480198</c:v>
                </c:pt>
                <c:pt idx="57">
                  <c:v>0.94379053244746935</c:v>
                </c:pt>
                <c:pt idx="58">
                  <c:v>0.94409508277056053</c:v>
                </c:pt>
                <c:pt idx="59">
                  <c:v>0.94438808062344426</c:v>
                </c:pt>
                <c:pt idx="60">
                  <c:v>0.94467009050036488</c:v>
                </c:pt>
                <c:pt idx="61">
                  <c:v>0.9449416406008041</c:v>
                </c:pt>
                <c:pt idx="62">
                  <c:v>0.94520322569904358</c:v>
                </c:pt>
                <c:pt idx="63">
                  <c:v>0.94545530974570702</c:v>
                </c:pt>
                <c:pt idx="64">
                  <c:v>0.9456983282300383</c:v>
                </c:pt>
                <c:pt idx="65">
                  <c:v>0.94593269032820004</c:v>
                </c:pt>
                <c:pt idx="66">
                  <c:v>0.94615878085987237</c:v>
                </c:pt>
                <c:pt idx="67">
                  <c:v>0.94637696207281274</c:v>
                </c:pt>
                <c:pt idx="68">
                  <c:v>0.94658757527277182</c:v>
                </c:pt>
                <c:pt idx="69">
                  <c:v>0.94679094231417649</c:v>
                </c:pt>
                <c:pt idx="70">
                  <c:v>0.94698736696526187</c:v>
                </c:pt>
                <c:pt idx="71">
                  <c:v>0.94717713615981758</c:v>
                </c:pt>
                <c:pt idx="72">
                  <c:v>0.94736052114638525</c:v>
                </c:pt>
                <c:pt idx="73">
                  <c:v>0.94753777854457699</c:v>
                </c:pt>
                <c:pt idx="74">
                  <c:v>0.94770915131715572</c:v>
                </c:pt>
                <c:pt idx="75">
                  <c:v>0.94787486966561285</c:v>
                </c:pt>
                <c:pt idx="76">
                  <c:v>0.94803515185617415</c:v>
                </c:pt>
                <c:pt idx="77">
                  <c:v>0.94819020498246087</c:v>
                </c:pt>
                <c:pt idx="78">
                  <c:v>0.94834022567040066</c:v>
                </c:pt>
                <c:pt idx="79">
                  <c:v>0.94848540073042642</c:v>
                </c:pt>
                <c:pt idx="80">
                  <c:v>0.94862590776150646</c:v>
                </c:pt>
                <c:pt idx="81">
                  <c:v>0.94876191571110224</c:v>
                </c:pt>
                <c:pt idx="82">
                  <c:v>0.94889358539476576</c:v>
                </c:pt>
                <c:pt idx="83">
                  <c:v>0.94902106997872426</c:v>
                </c:pt>
                <c:pt idx="84">
                  <c:v>0.94914451542849643</c:v>
                </c:pt>
                <c:pt idx="85">
                  <c:v>0.94926406092629489</c:v>
                </c:pt>
                <c:pt idx="86">
                  <c:v>0.94937983925972014</c:v>
                </c:pt>
                <c:pt idx="87">
                  <c:v>0.94949197718402389</c:v>
                </c:pt>
                <c:pt idx="88">
                  <c:v>0.94960059576001388</c:v>
                </c:pt>
                <c:pt idx="89">
                  <c:v>0.94970581066949089</c:v>
                </c:pt>
                <c:pt idx="90">
                  <c:v>0.94980773250994099</c:v>
                </c:pt>
                <c:pt idx="91">
                  <c:v>0.94990646707005766</c:v>
                </c:pt>
                <c:pt idx="92">
                  <c:v>0.95000211558753267</c:v>
                </c:pt>
                <c:pt idx="93">
                  <c:v>0.95009477499043304</c:v>
                </c:pt>
                <c:pt idx="94">
                  <c:v>0.95018453812337078</c:v>
                </c:pt>
                <c:pt idx="95">
                  <c:v>0.95027149395957</c:v>
                </c:pt>
                <c:pt idx="96">
                  <c:v>0.95035572779984923</c:v>
                </c:pt>
                <c:pt idx="97">
                  <c:v>0.95043732145944848</c:v>
                </c:pt>
                <c:pt idx="98">
                  <c:v>0.95051635344356078</c:v>
                </c:pt>
                <c:pt idx="99">
                  <c:v>0.95059289911235523</c:v>
                </c:pt>
                <c:pt idx="100">
                  <c:v>0.95066703083621806</c:v>
                </c:pt>
              </c:numCache>
            </c:numRef>
          </c:yVal>
          <c:smooth val="0"/>
          <c:extLst>
            <c:ext xmlns:c16="http://schemas.microsoft.com/office/drawing/2014/chart" uri="{C3380CC4-5D6E-409C-BE32-E72D297353CC}">
              <c16:uniqueId val="{00000000-D9E8-45F2-A795-7D30E126B9E6}"/>
            </c:ext>
          </c:extLst>
        </c:ser>
        <c:dLbls>
          <c:showLegendKey val="0"/>
          <c:showVal val="0"/>
          <c:showCatName val="0"/>
          <c:showSerName val="0"/>
          <c:showPercent val="0"/>
          <c:showBubbleSize val="0"/>
        </c:dLbls>
        <c:axId val="196013056"/>
        <c:axId val="196195456"/>
      </c:scatterChart>
      <c:valAx>
        <c:axId val="196013056"/>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195456"/>
        <c:crosses val="autoZero"/>
        <c:crossBetween val="midCat"/>
      </c:valAx>
      <c:valAx>
        <c:axId val="196195456"/>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01305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1417468158588802"/>
          <c:y val="3.6290322580645726E-2"/>
          <c:w val="0.16008127236069711"/>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'Efficiency Calculations'!$AZ$9:$AZ$109</c:f>
              <c:numCache>
                <c:formatCode>0.00</c:formatCode>
                <c:ptCount val="101"/>
                <c:pt idx="0">
                  <c:v>0</c:v>
                </c:pt>
                <c:pt idx="1">
                  <c:v>15.929127983784449</c:v>
                </c:pt>
                <c:pt idx="2">
                  <c:v>26.933669658720085</c:v>
                </c:pt>
                <c:pt idx="3">
                  <c:v>35.004256134658682</c:v>
                </c:pt>
                <c:pt idx="4">
                  <c:v>41.186088290732982</c:v>
                </c:pt>
                <c:pt idx="5">
                  <c:v>46.080645121376151</c:v>
                </c:pt>
                <c:pt idx="6">
                  <c:v>50.058559007285211</c:v>
                </c:pt>
                <c:pt idx="7">
                  <c:v>53.360668247257323</c:v>
                </c:pt>
                <c:pt idx="8">
                  <c:v>56.150260233880246</c:v>
                </c:pt>
                <c:pt idx="9">
                  <c:v>58.499628756817422</c:v>
                </c:pt>
                <c:pt idx="10">
                  <c:v>60.512279171703312</c:v>
                </c:pt>
                <c:pt idx="11">
                  <c:v>62.263917743875929</c:v>
                </c:pt>
                <c:pt idx="12">
                  <c:v>63.801969085782147</c:v>
                </c:pt>
                <c:pt idx="13">
                  <c:v>65.163024808172594</c:v>
                </c:pt>
                <c:pt idx="14">
                  <c:v>66.375769592148899</c:v>
                </c:pt>
                <c:pt idx="15">
                  <c:v>67.463007446645406</c:v>
                </c:pt>
                <c:pt idx="16">
                  <c:v>68.443095237819449</c:v>
                </c:pt>
                <c:pt idx="17">
                  <c:v>69.330976371407047</c:v>
                </c:pt>
                <c:pt idx="18">
                  <c:v>70.138938963190412</c:v>
                </c:pt>
                <c:pt idx="19">
                  <c:v>70.877180525968924</c:v>
                </c:pt>
                <c:pt idx="20">
                  <c:v>71.554234428847025</c:v>
                </c:pt>
                <c:pt idx="21">
                  <c:v>72.177296057083652</c:v>
                </c:pt>
                <c:pt idx="22">
                  <c:v>72.752475155534583</c:v>
                </c:pt>
                <c:pt idx="23">
                  <c:v>73.2849931376917</c:v>
                </c:pt>
                <c:pt idx="24">
                  <c:v>73.779338872246726</c:v>
                </c:pt>
                <c:pt idx="25">
                  <c:v>74.239392796241816</c:v>
                </c:pt>
                <c:pt idx="26">
                  <c:v>74.668526621454589</c:v>
                </c:pt>
                <c:pt idx="27">
                  <c:v>75.0696840558209</c:v>
                </c:pt>
                <c:pt idx="28">
                  <c:v>75.445446627559917</c:v>
                </c:pt>
                <c:pt idx="29">
                  <c:v>75.798087723832296</c:v>
                </c:pt>
                <c:pt idx="30">
                  <c:v>76.129617234411612</c:v>
                </c:pt>
                <c:pt idx="31">
                  <c:v>76.441818652319498</c:v>
                </c:pt>
                <c:pt idx="32">
                  <c:v>76.736280077591331</c:v>
                </c:pt>
                <c:pt idx="33">
                  <c:v>77.014420261916285</c:v>
                </c:pt>
                <c:pt idx="34">
                  <c:v>77.277510595549288</c:v>
                </c:pt>
                <c:pt idx="35">
                  <c:v>77.526693755382809</c:v>
                </c:pt>
                <c:pt idx="36">
                  <c:v>77.762999591102883</c:v>
                </c:pt>
                <c:pt idx="37">
                  <c:v>77.987358715169265</c:v>
                </c:pt>
                <c:pt idx="38">
                  <c:v>78.200614174714161</c:v>
                </c:pt>
                <c:pt idx="39">
                  <c:v>78.403531513937068</c:v>
                </c:pt>
                <c:pt idx="40">
                  <c:v>78.596807480112474</c:v>
                </c:pt>
                <c:pt idx="41">
                  <c:v>78.78107758183441</c:v>
                </c:pt>
                <c:pt idx="42">
                  <c:v>78.956922672237624</c:v>
                </c:pt>
                <c:pt idx="43">
                  <c:v>79.124874700849432</c:v>
                </c:pt>
                <c:pt idx="44">
                  <c:v>79.285421754036207</c:v>
                </c:pt>
                <c:pt idx="45">
                  <c:v>79.439012484624143</c:v>
                </c:pt>
                <c:pt idx="46">
                  <c:v>79.586060015345083</c:v>
                </c:pt>
                <c:pt idx="47">
                  <c:v>79.726945387610243</c:v>
                </c:pt>
                <c:pt idx="48">
                  <c:v>79.862020616222409</c:v>
                </c:pt>
                <c:pt idx="49">
                  <c:v>79.991611401574886</c:v>
                </c:pt>
                <c:pt idx="50">
                  <c:v>80.116019543321016</c:v>
                </c:pt>
                <c:pt idx="51">
                  <c:v>80.235525093158756</c:v>
                </c:pt>
                <c:pt idx="52">
                  <c:v>80.350388279046314</c:v>
                </c:pt>
                <c:pt idx="53">
                  <c:v>80.460851228668915</c:v>
                </c:pt>
                <c:pt idx="54">
                  <c:v>80.567139516173484</c:v>
                </c:pt>
                <c:pt idx="55">
                  <c:v>80.669463552959286</c:v>
                </c:pt>
                <c:pt idx="56">
                  <c:v>80.768019840564548</c:v>
                </c:pt>
                <c:pt idx="57">
                  <c:v>80.862992101342059</c:v>
                </c:pt>
                <c:pt idx="58">
                  <c:v>80.954552300609663</c:v>
                </c:pt>
                <c:pt idx="59">
                  <c:v>81.042861572236333</c:v>
                </c:pt>
                <c:pt idx="60">
                  <c:v>81.128071058142112</c:v>
                </c:pt>
                <c:pt idx="61">
                  <c:v>81.210322670910571</c:v>
                </c:pt>
                <c:pt idx="62">
                  <c:v>81.289749787605331</c:v>
                </c:pt>
                <c:pt idx="63">
                  <c:v>81.366477881924567</c:v>
                </c:pt>
                <c:pt idx="64">
                  <c:v>81.44062510099306</c:v>
                </c:pt>
                <c:pt idx="65">
                  <c:v>81.512302792367322</c:v>
                </c:pt>
                <c:pt idx="66">
                  <c:v>81.581615986196311</c:v>
                </c:pt>
                <c:pt idx="67">
                  <c:v>81.648663836927369</c:v>
                </c:pt>
                <c:pt idx="68">
                  <c:v>81.713540028462901</c:v>
                </c:pt>
                <c:pt idx="69">
                  <c:v>81.776333146247907</c:v>
                </c:pt>
                <c:pt idx="70">
                  <c:v>81.837127019395268</c:v>
                </c:pt>
                <c:pt idx="71">
                  <c:v>81.896001035626341</c:v>
                </c:pt>
                <c:pt idx="72">
                  <c:v>81.953030431513824</c:v>
                </c:pt>
                <c:pt idx="73">
                  <c:v>82.00828656025746</c:v>
                </c:pt>
                <c:pt idx="74">
                  <c:v>82.061837138995713</c:v>
                </c:pt>
                <c:pt idx="75">
                  <c:v>82.113746477454995</c:v>
                </c:pt>
                <c:pt idx="76">
                  <c:v>82.164075689559127</c:v>
                </c:pt>
                <c:pt idx="77">
                  <c:v>82.212882889462151</c:v>
                </c:pt>
                <c:pt idx="78">
                  <c:v>82.260223373326397</c:v>
                </c:pt>
                <c:pt idx="79">
                  <c:v>82.306149788040059</c:v>
                </c:pt>
                <c:pt idx="80">
                  <c:v>82.350712287956654</c:v>
                </c:pt>
                <c:pt idx="81">
                  <c:v>82.393958680636516</c:v>
                </c:pt>
                <c:pt idx="82">
                  <c:v>82.435934562480355</c:v>
                </c:pt>
                <c:pt idx="83">
                  <c:v>82.476683445063401</c:v>
                </c:pt>
                <c:pt idx="84">
                  <c:v>82.516246872905725</c:v>
                </c:pt>
                <c:pt idx="85">
                  <c:v>82.554664533347989</c:v>
                </c:pt>
                <c:pt idx="86">
                  <c:v>82.591974359143876</c:v>
                </c:pt>
                <c:pt idx="87">
                  <c:v>82.628212624325684</c:v>
                </c:pt>
                <c:pt idx="88">
                  <c:v>82.663414033852476</c:v>
                </c:pt>
                <c:pt idx="89">
                  <c:v>82.697611807506092</c:v>
                </c:pt>
                <c:pt idx="90">
                  <c:v>82.730837758460922</c:v>
                </c:pt>
                <c:pt idx="91">
                  <c:v>82.763122366918012</c:v>
                </c:pt>
                <c:pt idx="92">
                  <c:v>82.794494849161481</c:v>
                </c:pt>
                <c:pt idx="93">
                  <c:v>82.82498322236556</c:v>
                </c:pt>
                <c:pt idx="94">
                  <c:v>82.854614365454722</c:v>
                </c:pt>
                <c:pt idx="95">
                  <c:v>82.883414076293903</c:v>
                </c:pt>
                <c:pt idx="96">
                  <c:v>82.911407125465075</c:v>
                </c:pt>
                <c:pt idx="97">
                  <c:v>82.938617306865083</c:v>
                </c:pt>
                <c:pt idx="98">
                  <c:v>82.965067485341933</c:v>
                </c:pt>
                <c:pt idx="99">
                  <c:v>82.990779641569986</c:v>
                </c:pt>
                <c:pt idx="100">
                  <c:v>83.015774914348668</c:v>
                </c:pt>
              </c:numCache>
            </c:numRef>
          </c:val>
          <c:smooth val="0"/>
          <c:extLst>
            <c:ext xmlns:c16="http://schemas.microsoft.com/office/drawing/2014/chart" uri="{C3380CC4-5D6E-409C-BE32-E72D297353CC}">
              <c16:uniqueId val="{00000000-C1B6-475C-810B-3C43E5BC6454}"/>
            </c:ext>
          </c:extLst>
        </c:ser>
        <c:dLbls>
          <c:showLegendKey val="0"/>
          <c:showVal val="0"/>
          <c:showCatName val="0"/>
          <c:showSerName val="0"/>
          <c:showPercent val="0"/>
          <c:showBubbleSize val="0"/>
        </c:dLbls>
        <c:marker val="1"/>
        <c:smooth val="0"/>
        <c:axId val="201996160"/>
        <c:axId val="202006528"/>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'Efficiency Calculations'!$BC$9:$BC$109</c:f>
              <c:numCache>
                <c:formatCode>0.000</c:formatCode>
                <c:ptCount val="101"/>
                <c:pt idx="0">
                  <c:v>0.62511840461775225</c:v>
                </c:pt>
                <c:pt idx="1">
                  <c:v>0.65073733422400215</c:v>
                </c:pt>
                <c:pt idx="2">
                  <c:v>0.67551243201276812</c:v>
                </c:pt>
                <c:pt idx="3">
                  <c:v>0.69944372666943666</c:v>
                </c:pt>
                <c:pt idx="4">
                  <c:v>0.72253123965593968</c:v>
                </c:pt>
                <c:pt idx="5">
                  <c:v>0.74477498520648122</c:v>
                </c:pt>
                <c:pt idx="6">
                  <c:v>0.76617497032311277</c:v>
                </c:pt>
                <c:pt idx="7">
                  <c:v>0.78673119477115216</c:v>
                </c:pt>
                <c:pt idx="8">
                  <c:v>0.80644365107444593</c:v>
                </c:pt>
                <c:pt idx="9">
                  <c:v>0.82732494042577753</c:v>
                </c:pt>
                <c:pt idx="10">
                  <c:v>0.8487868313797865</c:v>
                </c:pt>
                <c:pt idx="11">
                  <c:v>0.8702569735136152</c:v>
                </c:pt>
                <c:pt idx="12">
                  <c:v>0.89173538743007918</c:v>
                </c:pt>
                <c:pt idx="13">
                  <c:v>0.91322209381276043</c:v>
                </c:pt>
                <c:pt idx="14">
                  <c:v>0.93471711342635178</c:v>
                </c:pt>
                <c:pt idx="15">
                  <c:v>0.95622046711700737</c:v>
                </c:pt>
                <c:pt idx="16">
                  <c:v>0.97773217581269167</c:v>
                </c:pt>
                <c:pt idx="17">
                  <c:v>0.99925226052353233</c:v>
                </c:pt>
                <c:pt idx="18">
                  <c:v>1.0207807423421749</c:v>
                </c:pt>
                <c:pt idx="19">
                  <c:v>1.0423176424441392</c:v>
                </c:pt>
                <c:pt idx="20">
                  <c:v>1.0638629820881778</c:v>
                </c:pt>
                <c:pt idx="21">
                  <c:v>1.0854167826166368</c:v>
                </c:pt>
                <c:pt idx="22">
                  <c:v>1.1069790654558189</c:v>
                </c:pt>
                <c:pt idx="23">
                  <c:v>1.1285498521163477</c:v>
                </c:pt>
                <c:pt idx="24">
                  <c:v>1.1501291641935352</c:v>
                </c:pt>
                <c:pt idx="25">
                  <c:v>1.1717170233677499</c:v>
                </c:pt>
                <c:pt idx="26">
                  <c:v>1.1933134514047894</c:v>
                </c:pt>
                <c:pt idx="27">
                  <c:v>1.2149184701562525</c:v>
                </c:pt>
                <c:pt idx="28">
                  <c:v>1.236532101559916</c:v>
                </c:pt>
                <c:pt idx="29">
                  <c:v>1.258154367640111</c:v>
                </c:pt>
                <c:pt idx="30">
                  <c:v>1.2797852905081037</c:v>
                </c:pt>
                <c:pt idx="31">
                  <c:v>1.301424892362478</c:v>
                </c:pt>
                <c:pt idx="32">
                  <c:v>1.3230731954895185</c:v>
                </c:pt>
                <c:pt idx="33">
                  <c:v>1.3447302222635966</c:v>
                </c:pt>
                <c:pt idx="34">
                  <c:v>1.3663959951475624</c:v>
                </c:pt>
                <c:pt idx="35">
                  <c:v>1.3880705366931327</c:v>
                </c:pt>
                <c:pt idx="36">
                  <c:v>1.409753869541285</c:v>
                </c:pt>
                <c:pt idx="37">
                  <c:v>1.4314460164226539</c:v>
                </c:pt>
                <c:pt idx="38">
                  <c:v>1.4531470001579287</c:v>
                </c:pt>
                <c:pt idx="39">
                  <c:v>1.4748568436582525</c:v>
                </c:pt>
                <c:pt idx="40">
                  <c:v>1.4965755699256276</c:v>
                </c:pt>
                <c:pt idx="41">
                  <c:v>1.5183032020533167</c:v>
                </c:pt>
                <c:pt idx="42">
                  <c:v>1.5400397632262535</c:v>
                </c:pt>
                <c:pt idx="43">
                  <c:v>1.5617852767214493</c:v>
                </c:pt>
                <c:pt idx="44">
                  <c:v>1.5835397659084083</c:v>
                </c:pt>
                <c:pt idx="45">
                  <c:v>1.6053032542495391</c:v>
                </c:pt>
                <c:pt idx="46">
                  <c:v>1.6270757653005732</c:v>
                </c:pt>
                <c:pt idx="47">
                  <c:v>1.6488573227109851</c:v>
                </c:pt>
                <c:pt idx="48">
                  <c:v>1.6706479502244105</c:v>
                </c:pt>
                <c:pt idx="49">
                  <c:v>1.6924476716790755</c:v>
                </c:pt>
                <c:pt idx="50">
                  <c:v>1.7142565110082186</c:v>
                </c:pt>
                <c:pt idx="51">
                  <c:v>1.7360744922405238</c:v>
                </c:pt>
                <c:pt idx="52">
                  <c:v>1.7579016395005493</c:v>
                </c:pt>
                <c:pt idx="53">
                  <c:v>1.7797379770091637</c:v>
                </c:pt>
                <c:pt idx="54">
                  <c:v>1.8015835290839823</c:v>
                </c:pt>
                <c:pt idx="55">
                  <c:v>1.8234383201398054</c:v>
                </c:pt>
                <c:pt idx="56">
                  <c:v>1.8453023746890622</c:v>
                </c:pt>
                <c:pt idx="57">
                  <c:v>1.8671757173422541</c:v>
                </c:pt>
                <c:pt idx="58">
                  <c:v>1.8890583728084021</c:v>
                </c:pt>
                <c:pt idx="59">
                  <c:v>1.9109503658954963</c:v>
                </c:pt>
                <c:pt idx="60">
                  <c:v>1.9328517215109491</c:v>
                </c:pt>
                <c:pt idx="61">
                  <c:v>1.9547624646620498</c:v>
                </c:pt>
                <c:pt idx="62">
                  <c:v>1.9766826204564234</c:v>
                </c:pt>
                <c:pt idx="63">
                  <c:v>1.9986122141024876</c:v>
                </c:pt>
                <c:pt idx="64">
                  <c:v>2.0205512709099218</c:v>
                </c:pt>
                <c:pt idx="65">
                  <c:v>2.0424998162901282</c:v>
                </c:pt>
                <c:pt idx="66">
                  <c:v>2.0644578757567027</c:v>
                </c:pt>
                <c:pt idx="67">
                  <c:v>2.0864254749259059</c:v>
                </c:pt>
                <c:pt idx="68">
                  <c:v>2.1084026395171369</c:v>
                </c:pt>
                <c:pt idx="69">
                  <c:v>2.1303893953534137</c:v>
                </c:pt>
                <c:pt idx="70">
                  <c:v>2.1523857683618455</c:v>
                </c:pt>
                <c:pt idx="71">
                  <c:v>2.1743917845741247</c:v>
                </c:pt>
                <c:pt idx="72">
                  <c:v>2.1964074701270069</c:v>
                </c:pt>
                <c:pt idx="73">
                  <c:v>2.2184328512627998</c:v>
                </c:pt>
                <c:pt idx="74">
                  <c:v>2.2404679543298558</c:v>
                </c:pt>
                <c:pt idx="75">
                  <c:v>2.2625128057830675</c:v>
                </c:pt>
                <c:pt idx="76">
                  <c:v>2.2845674321843621</c:v>
                </c:pt>
                <c:pt idx="77">
                  <c:v>2.3066318602032037</c:v>
                </c:pt>
                <c:pt idx="78">
                  <c:v>2.3287061166170959</c:v>
                </c:pt>
                <c:pt idx="79">
                  <c:v>2.3507902283120892</c:v>
                </c:pt>
                <c:pt idx="80">
                  <c:v>2.3728842222832869</c:v>
                </c:pt>
                <c:pt idx="81">
                  <c:v>2.3949881256353627</c:v>
                </c:pt>
                <c:pt idx="82">
                  <c:v>2.4171019655830697</c:v>
                </c:pt>
                <c:pt idx="83">
                  <c:v>2.4392257694517663</c:v>
                </c:pt>
                <c:pt idx="84">
                  <c:v>2.4613595646779296</c:v>
                </c:pt>
                <c:pt idx="85">
                  <c:v>2.483503378809687</c:v>
                </c:pt>
                <c:pt idx="86">
                  <c:v>2.5056572395073404</c:v>
                </c:pt>
                <c:pt idx="87">
                  <c:v>2.527821174543897</c:v>
                </c:pt>
                <c:pt idx="88">
                  <c:v>2.549995211805606</c:v>
                </c:pt>
                <c:pt idx="89">
                  <c:v>2.5721793792924936</c:v>
                </c:pt>
                <c:pt idx="90">
                  <c:v>2.5943737051189046</c:v>
                </c:pt>
                <c:pt idx="91">
                  <c:v>2.616578217514046</c:v>
                </c:pt>
                <c:pt idx="92">
                  <c:v>2.6387929448225345</c:v>
                </c:pt>
                <c:pt idx="93">
                  <c:v>2.6610179155049476</c:v>
                </c:pt>
                <c:pt idx="94">
                  <c:v>2.6832531581383745</c:v>
                </c:pt>
                <c:pt idx="95">
                  <c:v>2.7054987014169765</c:v>
                </c:pt>
                <c:pt idx="96">
                  <c:v>2.727754574152546</c:v>
                </c:pt>
                <c:pt idx="97">
                  <c:v>2.7500208052750699</c:v>
                </c:pt>
                <c:pt idx="98">
                  <c:v>2.7722974238332991</c:v>
                </c:pt>
                <c:pt idx="99">
                  <c:v>2.7945844589953146</c:v>
                </c:pt>
                <c:pt idx="100">
                  <c:v>2.8168819400491074</c:v>
                </c:pt>
              </c:numCache>
            </c:numRef>
          </c:val>
          <c:smooth val="0"/>
          <c:extLst>
            <c:ext xmlns:c16="http://schemas.microsoft.com/office/drawing/2014/chart" uri="{C3380CC4-5D6E-409C-BE32-E72D297353CC}">
              <c16:uniqueId val="{00000001-C1B6-475C-810B-3C43E5BC6454}"/>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'Efficiency Calculations'!$BA$9:$BA$109</c:f>
              <c:numCache>
                <c:formatCode>0.000</c:formatCode>
                <c:ptCount val="101"/>
                <c:pt idx="0">
                  <c:v>0.30007832719426097</c:v>
                </c:pt>
                <c:pt idx="1">
                  <c:v>0.30008179891170261</c:v>
                </c:pt>
                <c:pt idx="2">
                  <c:v>0.30009218272693877</c:v>
                </c:pt>
                <c:pt idx="3">
                  <c:v>0.30010947867361282</c:v>
                </c:pt>
                <c:pt idx="4">
                  <c:v>0.30013368680776392</c:v>
                </c:pt>
                <c:pt idx="5">
                  <c:v>0.30016480720782746</c:v>
                </c:pt>
                <c:pt idx="6">
                  <c:v>0.30020283997463554</c:v>
                </c:pt>
                <c:pt idx="7">
                  <c:v>0.30024778523141765</c:v>
                </c:pt>
                <c:pt idx="8">
                  <c:v>0.30029964312380231</c:v>
                </c:pt>
                <c:pt idx="9">
                  <c:v>0.30035841381981737</c:v>
                </c:pt>
                <c:pt idx="10">
                  <c:v>0.30042409750989202</c:v>
                </c:pt>
                <c:pt idx="11">
                  <c:v>0.30049669440685817</c:v>
                </c:pt>
                <c:pt idx="12">
                  <c:v>0.30057620474595198</c:v>
                </c:pt>
                <c:pt idx="13">
                  <c:v>0.30066262878481609</c:v>
                </c:pt>
                <c:pt idx="14">
                  <c:v>0.30075596680350131</c:v>
                </c:pt>
                <c:pt idx="15">
                  <c:v>0.30085621910446925</c:v>
                </c:pt>
                <c:pt idx="16">
                  <c:v>0.3009633860125947</c:v>
                </c:pt>
                <c:pt idx="17">
                  <c:v>0.30107746787516804</c:v>
                </c:pt>
                <c:pt idx="18">
                  <c:v>0.30119846506189818</c:v>
                </c:pt>
                <c:pt idx="19">
                  <c:v>0.30132637796491579</c:v>
                </c:pt>
                <c:pt idx="20">
                  <c:v>0.3014612069987761</c:v>
                </c:pt>
                <c:pt idx="21">
                  <c:v>0.30160295260046249</c:v>
                </c:pt>
                <c:pt idx="22">
                  <c:v>0.30175161522938987</c:v>
                </c:pt>
                <c:pt idx="23">
                  <c:v>0.30190719536740873</c:v>
                </c:pt>
                <c:pt idx="24">
                  <c:v>0.30206969351880847</c:v>
                </c:pt>
                <c:pt idx="25">
                  <c:v>0.30223911021032229</c:v>
                </c:pt>
                <c:pt idx="26">
                  <c:v>0.30241544599113052</c:v>
                </c:pt>
                <c:pt idx="27">
                  <c:v>0.30259870143286588</c:v>
                </c:pt>
                <c:pt idx="28">
                  <c:v>0.30278887712961772</c:v>
                </c:pt>
                <c:pt idx="29">
                  <c:v>0.30298597369793689</c:v>
                </c:pt>
                <c:pt idx="30">
                  <c:v>0.30318999177684064</c:v>
                </c:pt>
                <c:pt idx="31">
                  <c:v>0.30340093202781815</c:v>
                </c:pt>
                <c:pt idx="32">
                  <c:v>0.30361879513483542</c:v>
                </c:pt>
                <c:pt idx="33">
                  <c:v>0.30384358180434118</c:v>
                </c:pt>
                <c:pt idx="34">
                  <c:v>0.30407529276527251</c:v>
                </c:pt>
                <c:pt idx="35">
                  <c:v>0.30431392876906072</c:v>
                </c:pt>
                <c:pt idx="36">
                  <c:v>0.30455949058963738</c:v>
                </c:pt>
                <c:pt idx="37">
                  <c:v>0.30481197902344076</c:v>
                </c:pt>
                <c:pt idx="38">
                  <c:v>0.3050713948894222</c:v>
                </c:pt>
                <c:pt idx="39">
                  <c:v>0.3053377390290527</c:v>
                </c:pt>
                <c:pt idx="40">
                  <c:v>0.30561101230632992</c:v>
                </c:pt>
                <c:pt idx="41">
                  <c:v>0.30589121560778504</c:v>
                </c:pt>
                <c:pt idx="42">
                  <c:v>0.30617834984248987</c:v>
                </c:pt>
                <c:pt idx="43">
                  <c:v>0.30647241594206448</c:v>
                </c:pt>
                <c:pt idx="44">
                  <c:v>0.30677341486068471</c:v>
                </c:pt>
                <c:pt idx="45">
                  <c:v>0.30708134757508965</c:v>
                </c:pt>
                <c:pt idx="46">
                  <c:v>0.30739621508458975</c:v>
                </c:pt>
                <c:pt idx="47">
                  <c:v>0.30771801841107521</c:v>
                </c:pt>
                <c:pt idx="48">
                  <c:v>0.30804675859902375</c:v>
                </c:pt>
                <c:pt idx="49">
                  <c:v>0.30838243671550952</c:v>
                </c:pt>
                <c:pt idx="50">
                  <c:v>0.30872505385021132</c:v>
                </c:pt>
                <c:pt idx="51">
                  <c:v>0.309074611115422</c:v>
                </c:pt>
                <c:pt idx="52">
                  <c:v>0.30943110964605719</c:v>
                </c:pt>
                <c:pt idx="53">
                  <c:v>0.30979455059966449</c:v>
                </c:pt>
                <c:pt idx="54">
                  <c:v>0.3101649351564329</c:v>
                </c:pt>
                <c:pt idx="55">
                  <c:v>0.31054226451920253</c:v>
                </c:pt>
                <c:pt idx="56">
                  <c:v>0.31092653991347419</c:v>
                </c:pt>
                <c:pt idx="57">
                  <c:v>0.31131776258741967</c:v>
                </c:pt>
                <c:pt idx="58">
                  <c:v>0.31171593381189139</c:v>
                </c:pt>
                <c:pt idx="59">
                  <c:v>0.31212105488043318</c:v>
                </c:pt>
                <c:pt idx="60">
                  <c:v>0.31253312710929071</c:v>
                </c:pt>
                <c:pt idx="61">
                  <c:v>0.31295215183742192</c:v>
                </c:pt>
                <c:pt idx="62">
                  <c:v>0.31337813042650819</c:v>
                </c:pt>
                <c:pt idx="63">
                  <c:v>0.3138110642609655</c:v>
                </c:pt>
                <c:pt idx="64">
                  <c:v>0.31425095474795517</c:v>
                </c:pt>
                <c:pt idx="65">
                  <c:v>0.31469780331739594</c:v>
                </c:pt>
                <c:pt idx="66">
                  <c:v>0.31515161142197534</c:v>
                </c:pt>
                <c:pt idx="67">
                  <c:v>0.3156123805371614</c:v>
                </c:pt>
                <c:pt idx="68">
                  <c:v>0.31608011216121479</c:v>
                </c:pt>
                <c:pt idx="69">
                  <c:v>0.31655480781520107</c:v>
                </c:pt>
                <c:pt idx="70">
                  <c:v>0.31703646904300298</c:v>
                </c:pt>
                <c:pt idx="71">
                  <c:v>0.31752509741133295</c:v>
                </c:pt>
                <c:pt idx="72">
                  <c:v>0.31802069450974613</c:v>
                </c:pt>
                <c:pt idx="73">
                  <c:v>0.31852326195065295</c:v>
                </c:pt>
                <c:pt idx="74">
                  <c:v>0.3190328013693326</c:v>
                </c:pt>
                <c:pt idx="75">
                  <c:v>0.31954931442394635</c:v>
                </c:pt>
                <c:pt idx="76">
                  <c:v>0.32007280279555073</c:v>
                </c:pt>
                <c:pt idx="77">
                  <c:v>0.32060326818811147</c:v>
                </c:pt>
                <c:pt idx="78">
                  <c:v>0.32114071232851754</c:v>
                </c:pt>
                <c:pt idx="79">
                  <c:v>0.32168513696659506</c:v>
                </c:pt>
                <c:pt idx="80">
                  <c:v>0.32223654387512124</c:v>
                </c:pt>
                <c:pt idx="81">
                  <c:v>0.32279493484983968</c:v>
                </c:pt>
                <c:pt idx="82">
                  <c:v>0.32336031170947421</c:v>
                </c:pt>
                <c:pt idx="83">
                  <c:v>0.32393267629574418</c:v>
                </c:pt>
                <c:pt idx="84">
                  <c:v>0.32451203047337934</c:v>
                </c:pt>
                <c:pt idx="85">
                  <c:v>0.32509837613013504</c:v>
                </c:pt>
                <c:pt idx="86">
                  <c:v>0.32569171517680784</c:v>
                </c:pt>
                <c:pt idx="87">
                  <c:v>0.32629204954725077</c:v>
                </c:pt>
                <c:pt idx="88">
                  <c:v>0.32689938119838957</c:v>
                </c:pt>
                <c:pt idx="89">
                  <c:v>0.32751371211023828</c:v>
                </c:pt>
                <c:pt idx="90">
                  <c:v>0.32813504428591561</c:v>
                </c:pt>
                <c:pt idx="91">
                  <c:v>0.32876337975166148</c:v>
                </c:pt>
                <c:pt idx="92">
                  <c:v>0.32939872055685299</c:v>
                </c:pt>
                <c:pt idx="93">
                  <c:v>0.33004106877402206</c:v>
                </c:pt>
                <c:pt idx="94">
                  <c:v>0.3306904264988717</c:v>
                </c:pt>
                <c:pt idx="95">
                  <c:v>0.33134679585029325</c:v>
                </c:pt>
                <c:pt idx="96">
                  <c:v>0.33201017897038404</c:v>
                </c:pt>
                <c:pt idx="97">
                  <c:v>0.3326805780244646</c:v>
                </c:pt>
                <c:pt idx="98">
                  <c:v>0.33335799520109655</c:v>
                </c:pt>
                <c:pt idx="99">
                  <c:v>0.33404243271210055</c:v>
                </c:pt>
                <c:pt idx="100">
                  <c:v>0.33473389279257421</c:v>
                </c:pt>
              </c:numCache>
            </c:numRef>
          </c:val>
          <c:smooth val="0"/>
          <c:extLst>
            <c:ext xmlns:c16="http://schemas.microsoft.com/office/drawing/2014/chart" uri="{C3380CC4-5D6E-409C-BE32-E72D297353CC}">
              <c16:uniqueId val="{00000002-C1B6-475C-810B-3C43E5BC6454}"/>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'Efficiency Calculations'!$BD$9:$BD$109</c:f>
              <c:numCache>
                <c:formatCode>0.000</c:formatCode>
                <c:ptCount val="101"/>
                <c:pt idx="0">
                  <c:v>8.5929131608621524E-3</c:v>
                </c:pt>
                <c:pt idx="1">
                  <c:v>1.8359365207883969E-2</c:v>
                </c:pt>
                <c:pt idx="2">
                  <c:v>2.8135357004792666E-2</c:v>
                </c:pt>
                <c:pt idx="3">
                  <c:v>3.7920892047856369E-2</c:v>
                </c:pt>
                <c:pt idx="4">
                  <c:v>4.7715973915624453E-2</c:v>
                </c:pt>
                <c:pt idx="5">
                  <c:v>5.7520606268964915E-2</c:v>
                </c:pt>
                <c:pt idx="6">
                  <c:v>6.7334792851103581E-2</c:v>
                </c:pt>
                <c:pt idx="7">
                  <c:v>7.7158537487665046E-2</c:v>
                </c:pt>
                <c:pt idx="8">
                  <c:v>8.699184408671537E-2</c:v>
                </c:pt>
                <c:pt idx="9">
                  <c:v>9.7603288506861646E-2</c:v>
                </c:pt>
                <c:pt idx="10">
                  <c:v>0.10848398475381946</c:v>
                </c:pt>
                <c:pt idx="11">
                  <c:v>0.11937428762290309</c:v>
                </c:pt>
                <c:pt idx="12">
                  <c:v>0.13027420581432764</c:v>
                </c:pt>
                <c:pt idx="13">
                  <c:v>0.14118374811090817</c:v>
                </c:pt>
                <c:pt idx="14">
                  <c:v>0.15210292337817724</c:v>
                </c:pt>
                <c:pt idx="15">
                  <c:v>0.16303174056450495</c:v>
                </c:pt>
                <c:pt idx="16">
                  <c:v>0.17397020870122029</c:v>
                </c:pt>
                <c:pt idx="17">
                  <c:v>0.18491833690273418</c:v>
                </c:pt>
                <c:pt idx="18">
                  <c:v>0.19587613436666504</c:v>
                </c:pt>
                <c:pt idx="19">
                  <c:v>0.20684361037396515</c:v>
                </c:pt>
                <c:pt idx="20">
                  <c:v>0.2178207742890495</c:v>
                </c:pt>
                <c:pt idx="21">
                  <c:v>0.22880763555992623</c:v>
                </c:pt>
                <c:pt idx="22">
                  <c:v>0.23980420371832886</c:v>
                </c:pt>
                <c:pt idx="23">
                  <c:v>0.25081048837985026</c:v>
                </c:pt>
                <c:pt idx="24">
                  <c:v>0.2618264992440788</c:v>
                </c:pt>
                <c:pt idx="25">
                  <c:v>0.27285224609473563</c:v>
                </c:pt>
                <c:pt idx="26">
                  <c:v>0.28388773879981444</c:v>
                </c:pt>
                <c:pt idx="27">
                  <c:v>0.29493298731172257</c:v>
                </c:pt>
                <c:pt idx="28">
                  <c:v>0.30598800166742457</c:v>
                </c:pt>
                <c:pt idx="29">
                  <c:v>0.31705279198858682</c:v>
                </c:pt>
                <c:pt idx="30">
                  <c:v>0.32812736848172425</c:v>
                </c:pt>
                <c:pt idx="31">
                  <c:v>0.33921174143834965</c:v>
                </c:pt>
                <c:pt idx="32">
                  <c:v>0.35030592123512316</c:v>
                </c:pt>
                <c:pt idx="33">
                  <c:v>0.36140991833400549</c:v>
                </c:pt>
                <c:pt idx="34">
                  <c:v>0.37252374328241189</c:v>
                </c:pt>
                <c:pt idx="35">
                  <c:v>0.38364740671336817</c:v>
                </c:pt>
                <c:pt idx="36">
                  <c:v>0.39478091934566839</c:v>
                </c:pt>
                <c:pt idx="37">
                  <c:v>0.40592429198403518</c:v>
                </c:pt>
                <c:pt idx="38">
                  <c:v>0.41707753551928095</c:v>
                </c:pt>
                <c:pt idx="39">
                  <c:v>0.42824066092847163</c:v>
                </c:pt>
                <c:pt idx="40">
                  <c:v>0.43941367927509239</c:v>
                </c:pt>
                <c:pt idx="41">
                  <c:v>0.45059660170921434</c:v>
                </c:pt>
                <c:pt idx="42">
                  <c:v>0.46178943946766454</c:v>
                </c:pt>
                <c:pt idx="43">
                  <c:v>0.47299220387419627</c:v>
                </c:pt>
                <c:pt idx="44">
                  <c:v>0.4842049063396629</c:v>
                </c:pt>
                <c:pt idx="45">
                  <c:v>0.4954275583621921</c:v>
                </c:pt>
                <c:pt idx="46">
                  <c:v>0.50666017152736331</c:v>
                </c:pt>
                <c:pt idx="47">
                  <c:v>0.51790275750838655</c:v>
                </c:pt>
                <c:pt idx="48">
                  <c:v>0.52915532806628207</c:v>
                </c:pt>
                <c:pt idx="49">
                  <c:v>0.54041789505006443</c:v>
                </c:pt>
                <c:pt idx="50">
                  <c:v>0.5516904703969262</c:v>
                </c:pt>
                <c:pt idx="51">
                  <c:v>0.56297306613242482</c:v>
                </c:pt>
                <c:pt idx="52">
                  <c:v>0.57426569437067121</c:v>
                </c:pt>
                <c:pt idx="53">
                  <c:v>0.58556836731451933</c:v>
                </c:pt>
                <c:pt idx="54">
                  <c:v>0.59688109725576033</c:v>
                </c:pt>
                <c:pt idx="55">
                  <c:v>0.60820389657531493</c:v>
                </c:pt>
                <c:pt idx="56">
                  <c:v>0.61953677774343141</c:v>
                </c:pt>
                <c:pt idx="57">
                  <c:v>0.63087975331988311</c:v>
                </c:pt>
                <c:pt idx="58">
                  <c:v>0.64223283595416869</c:v>
                </c:pt>
                <c:pt idx="59">
                  <c:v>0.65359603838571512</c:v>
                </c:pt>
                <c:pt idx="60">
                  <c:v>0.66496937344408158</c:v>
                </c:pt>
                <c:pt idx="61">
                  <c:v>0.67635285404916556</c:v>
                </c:pt>
                <c:pt idx="62">
                  <c:v>0.6877464932114119</c:v>
                </c:pt>
                <c:pt idx="63">
                  <c:v>0.69915030403202238</c:v>
                </c:pt>
                <c:pt idx="64">
                  <c:v>0.71056429970316914</c:v>
                </c:pt>
                <c:pt idx="65">
                  <c:v>0.72198849350820804</c:v>
                </c:pt>
                <c:pt idx="66">
                  <c:v>0.73342289882189626</c:v>
                </c:pt>
                <c:pt idx="67">
                  <c:v>0.74486752911060994</c:v>
                </c:pt>
                <c:pt idx="68">
                  <c:v>0.75632239793256539</c:v>
                </c:pt>
                <c:pt idx="69">
                  <c:v>0.76778751893804176</c:v>
                </c:pt>
                <c:pt idx="70">
                  <c:v>0.77926290586960478</c:v>
                </c:pt>
                <c:pt idx="71">
                  <c:v>0.79074857256233577</c:v>
                </c:pt>
                <c:pt idx="72">
                  <c:v>0.8022445329440584</c:v>
                </c:pt>
                <c:pt idx="73">
                  <c:v>0.81375080103557118</c:v>
                </c:pt>
                <c:pt idx="74">
                  <c:v>0.82526739095087942</c:v>
                </c:pt>
                <c:pt idx="75">
                  <c:v>0.83679431689743189</c:v>
                </c:pt>
                <c:pt idx="76">
                  <c:v>0.84833159317635687</c:v>
                </c:pt>
                <c:pt idx="77">
                  <c:v>0.85987923418270307</c:v>
                </c:pt>
                <c:pt idx="78">
                  <c:v>0.87143725440567943</c:v>
                </c:pt>
                <c:pt idx="79">
                  <c:v>0.88300566842890127</c:v>
                </c:pt>
                <c:pt idx="80">
                  <c:v>0.89458449093063419</c:v>
                </c:pt>
                <c:pt idx="81">
                  <c:v>0.90617373668404344</c:v>
                </c:pt>
                <c:pt idx="82">
                  <c:v>0.91777342055744326</c:v>
                </c:pt>
                <c:pt idx="83">
                  <c:v>0.92938355751455137</c:v>
                </c:pt>
                <c:pt idx="84">
                  <c:v>0.9410041626147404</c:v>
                </c:pt>
                <c:pt idx="85">
                  <c:v>0.95263525101329782</c:v>
                </c:pt>
                <c:pt idx="86">
                  <c:v>0.96427683796168395</c:v>
                </c:pt>
                <c:pt idx="87">
                  <c:v>0.97592893880779275</c:v>
                </c:pt>
                <c:pt idx="88">
                  <c:v>0.98759156899621592</c:v>
                </c:pt>
                <c:pt idx="89">
                  <c:v>0.9992647440685084</c:v>
                </c:pt>
                <c:pt idx="90">
                  <c:v>1.0109484796634571</c:v>
                </c:pt>
                <c:pt idx="91">
                  <c:v>1.0226427915173506</c:v>
                </c:pt>
                <c:pt idx="92">
                  <c:v>1.0343476954642512</c:v>
                </c:pt>
                <c:pt idx="93">
                  <c:v>1.0460632074362715</c:v>
                </c:pt>
                <c:pt idx="94">
                  <c:v>1.0577893434638495</c:v>
                </c:pt>
                <c:pt idx="95">
                  <c:v>1.0695261196760286</c:v>
                </c:pt>
                <c:pt idx="96">
                  <c:v>1.0812735523007406</c:v>
                </c:pt>
                <c:pt idx="97">
                  <c:v>1.0930316576650885</c:v>
                </c:pt>
                <c:pt idx="98">
                  <c:v>1.1048004521956332</c:v>
                </c:pt>
                <c:pt idx="99">
                  <c:v>1.1165799524186812</c:v>
                </c:pt>
                <c:pt idx="100">
                  <c:v>1.1283701749605783</c:v>
                </c:pt>
              </c:numCache>
            </c:numRef>
          </c:val>
          <c:smooth val="0"/>
          <c:extLst>
            <c:ext xmlns:c16="http://schemas.microsoft.com/office/drawing/2014/chart" uri="{C3380CC4-5D6E-409C-BE32-E72D297353CC}">
              <c16:uniqueId val="{00000003-C1B6-475C-810B-3C43E5BC6454}"/>
            </c:ext>
          </c:extLst>
        </c:ser>
        <c:dLbls>
          <c:showLegendKey val="0"/>
          <c:showVal val="0"/>
          <c:showCatName val="0"/>
          <c:showSerName val="0"/>
          <c:showPercent val="0"/>
          <c:showBubbleSize val="0"/>
        </c:dLbls>
        <c:marker val="1"/>
        <c:smooth val="0"/>
        <c:axId val="202010624"/>
        <c:axId val="202008448"/>
      </c:lineChart>
      <c:catAx>
        <c:axId val="20199616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202006528"/>
        <c:crosses val="autoZero"/>
        <c:auto val="1"/>
        <c:lblAlgn val="ctr"/>
        <c:lblOffset val="100"/>
        <c:tickLblSkip val="20"/>
        <c:tickMarkSkip val="20"/>
        <c:noMultiLvlLbl val="1"/>
      </c:catAx>
      <c:valAx>
        <c:axId val="202006528"/>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201996160"/>
        <c:crosses val="autoZero"/>
        <c:crossBetween val="between"/>
        <c:majorUnit val="5"/>
        <c:minorUnit val="2.5"/>
      </c:valAx>
      <c:valAx>
        <c:axId val="20200844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202010624"/>
        <c:crosses val="max"/>
        <c:crossBetween val="between"/>
      </c:valAx>
      <c:catAx>
        <c:axId val="202010624"/>
        <c:scaling>
          <c:orientation val="minMax"/>
        </c:scaling>
        <c:delete val="1"/>
        <c:axPos val="b"/>
        <c:numFmt formatCode="0.000" sourceLinked="1"/>
        <c:majorTickMark val="out"/>
        <c:minorTickMark val="none"/>
        <c:tickLblPos val="nextTo"/>
        <c:crossAx val="202008448"/>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'Ch2 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'Ch2 Efficiency Calculations'!$AZ$9:$AZ$109</c:f>
              <c:numCache>
                <c:formatCode>0.00</c:formatCode>
                <c:ptCount val="101"/>
                <c:pt idx="0">
                  <c:v>0</c:v>
                </c:pt>
                <c:pt idx="1">
                  <c:v>43.114175077448877</c:v>
                </c:pt>
                <c:pt idx="2">
                  <c:v>59.68146237824088</c:v>
                </c:pt>
                <c:pt idx="3">
                  <c:v>68.405048973267995</c:v>
                </c:pt>
                <c:pt idx="4">
                  <c:v>73.794610936598332</c:v>
                </c:pt>
                <c:pt idx="5">
                  <c:v>77.455156608513931</c:v>
                </c:pt>
                <c:pt idx="6">
                  <c:v>80.103220263769273</c:v>
                </c:pt>
                <c:pt idx="7">
                  <c:v>82.10746490577182</c:v>
                </c:pt>
                <c:pt idx="8">
                  <c:v>83.676943161588625</c:v>
                </c:pt>
                <c:pt idx="9">
                  <c:v>84.939039083593258</c:v>
                </c:pt>
                <c:pt idx="10">
                  <c:v>85.975800579531466</c:v>
                </c:pt>
                <c:pt idx="11">
                  <c:v>86.842460480480383</c:v>
                </c:pt>
                <c:pt idx="12">
                  <c:v>87.577563788587625</c:v>
                </c:pt>
                <c:pt idx="13">
                  <c:v>88.208827548570241</c:v>
                </c:pt>
                <c:pt idx="14">
                  <c:v>88.756693543016368</c:v>
                </c:pt>
                <c:pt idx="15">
                  <c:v>89.236568340691036</c:v>
                </c:pt>
                <c:pt idx="16">
                  <c:v>89.660283703790952</c:v>
                </c:pt>
                <c:pt idx="17">
                  <c:v>90.037076573688211</c:v>
                </c:pt>
                <c:pt idx="18">
                  <c:v>90.374263433105838</c:v>
                </c:pt>
                <c:pt idx="19">
                  <c:v>90.677714749411763</c:v>
                </c:pt>
                <c:pt idx="20">
                  <c:v>90.952195388540332</c:v>
                </c:pt>
                <c:pt idx="21">
                  <c:v>91.201613186801893</c:v>
                </c:pt>
                <c:pt idx="22">
                  <c:v>91.429203344969096</c:v>
                </c:pt>
                <c:pt idx="23">
                  <c:v>91.637667178518939</c:v>
                </c:pt>
                <c:pt idx="24">
                  <c:v>91.829277883247414</c:v>
                </c:pt>
                <c:pt idx="25">
                  <c:v>92.005962115819713</c:v>
                </c:pt>
                <c:pt idx="26">
                  <c:v>92.169363604425328</c:v>
                </c:pt>
                <c:pt idx="27">
                  <c:v>92.320893243978091</c:v>
                </c:pt>
                <c:pt idx="28">
                  <c:v>92.461768911537717</c:v>
                </c:pt>
                <c:pt idx="29">
                  <c:v>92.593047381604038</c:v>
                </c:pt>
                <c:pt idx="30">
                  <c:v>92.715650111531289</c:v>
                </c:pt>
                <c:pt idx="31">
                  <c:v>92.830384228030198</c:v>
                </c:pt>
                <c:pt idx="32">
                  <c:v>92.937959725387017</c:v>
                </c:pt>
                <c:pt idx="33">
                  <c:v>93.039003649894141</c:v>
                </c:pt>
                <c:pt idx="34">
                  <c:v>93.13407186916119</c:v>
                </c:pt>
                <c:pt idx="35">
                  <c:v>93.223658892814214</c:v>
                </c:pt>
                <c:pt idx="36">
                  <c:v>93.308206110873527</c:v>
                </c:pt>
                <c:pt idx="37">
                  <c:v>93.388108739467256</c:v>
                </c:pt>
                <c:pt idx="38">
                  <c:v>93.463721704484058</c:v>
                </c:pt>
                <c:pt idx="39">
                  <c:v>93.535364647921313</c:v>
                </c:pt>
                <c:pt idx="40">
                  <c:v>93.603326205844155</c:v>
                </c:pt>
                <c:pt idx="41">
                  <c:v>93.667867678666454</c:v>
                </c:pt>
                <c:pt idx="42">
                  <c:v>93.729226192130909</c:v>
                </c:pt>
                <c:pt idx="43">
                  <c:v>93.787617429575789</c:v>
                </c:pt>
                <c:pt idx="44">
                  <c:v>93.843238001824574</c:v>
                </c:pt>
                <c:pt idx="45">
                  <c:v>93.896267509557561</c:v>
                </c:pt>
                <c:pt idx="46">
                  <c:v>93.946870343734417</c:v>
                </c:pt>
                <c:pt idx="47">
                  <c:v>93.995197262079017</c:v>
                </c:pt>
                <c:pt idx="48">
                  <c:v>94.041386773462591</c:v>
                </c:pt>
                <c:pt idx="49">
                  <c:v>94.085566356951276</c:v>
                </c:pt>
                <c:pt idx="50">
                  <c:v>94.12785353810537</c:v>
                </c:pt>
                <c:pt idx="51">
                  <c:v>94.168356841658294</c:v>
                </c:pt>
                <c:pt idx="52">
                  <c:v>94.207176636829573</c:v>
                </c:pt>
                <c:pt idx="53">
                  <c:v>94.244405889127762</c:v>
                </c:pt>
                <c:pt idx="54">
                  <c:v>94.280130830493462</c:v>
                </c:pt>
                <c:pt idx="55">
                  <c:v>94.314431557946421</c:v>
                </c:pt>
                <c:pt idx="56">
                  <c:v>94.347382569480203</c:v>
                </c:pt>
                <c:pt idx="57">
                  <c:v>94.379053244746942</c:v>
                </c:pt>
                <c:pt idx="58">
                  <c:v>94.409508277056048</c:v>
                </c:pt>
                <c:pt idx="59">
                  <c:v>94.438808062344421</c:v>
                </c:pt>
                <c:pt idx="60">
                  <c:v>94.467009050036495</c:v>
                </c:pt>
                <c:pt idx="61">
                  <c:v>94.494164060080408</c:v>
                </c:pt>
                <c:pt idx="62">
                  <c:v>94.520322569904351</c:v>
                </c:pt>
                <c:pt idx="63">
                  <c:v>94.545530974570696</c:v>
                </c:pt>
                <c:pt idx="64">
                  <c:v>94.569832823003836</c:v>
                </c:pt>
                <c:pt idx="65">
                  <c:v>94.593269032820004</c:v>
                </c:pt>
                <c:pt idx="66">
                  <c:v>94.615878085987234</c:v>
                </c:pt>
                <c:pt idx="67">
                  <c:v>94.63769620728128</c:v>
                </c:pt>
                <c:pt idx="68">
                  <c:v>94.658757527277189</c:v>
                </c:pt>
                <c:pt idx="69">
                  <c:v>94.67909423141765</c:v>
                </c:pt>
                <c:pt idx="70">
                  <c:v>94.698736696526183</c:v>
                </c:pt>
                <c:pt idx="71">
                  <c:v>94.717713615981751</c:v>
                </c:pt>
                <c:pt idx="72">
                  <c:v>94.736052114638525</c:v>
                </c:pt>
                <c:pt idx="73">
                  <c:v>94.753777854457695</c:v>
                </c:pt>
                <c:pt idx="74">
                  <c:v>94.770915131715569</c:v>
                </c:pt>
                <c:pt idx="75">
                  <c:v>94.787486966561289</c:v>
                </c:pt>
                <c:pt idx="76">
                  <c:v>94.803515185617414</c:v>
                </c:pt>
                <c:pt idx="77">
                  <c:v>94.81902049824609</c:v>
                </c:pt>
                <c:pt idx="78">
                  <c:v>94.834022567040066</c:v>
                </c:pt>
                <c:pt idx="79">
                  <c:v>94.848540073042642</c:v>
                </c:pt>
                <c:pt idx="80">
                  <c:v>94.86259077615064</c:v>
                </c:pt>
                <c:pt idx="81">
                  <c:v>94.876191571110226</c:v>
                </c:pt>
                <c:pt idx="82">
                  <c:v>94.889358539476575</c:v>
                </c:pt>
                <c:pt idx="83">
                  <c:v>94.902106997872423</c:v>
                </c:pt>
                <c:pt idx="84">
                  <c:v>94.914451542849648</c:v>
                </c:pt>
                <c:pt idx="85">
                  <c:v>94.926406092629492</c:v>
                </c:pt>
                <c:pt idx="86">
                  <c:v>94.93798392597202</c:v>
                </c:pt>
                <c:pt idx="87">
                  <c:v>94.949197718402388</c:v>
                </c:pt>
                <c:pt idx="88">
                  <c:v>94.960059576001385</c:v>
                </c:pt>
                <c:pt idx="89">
                  <c:v>94.970581066949094</c:v>
                </c:pt>
                <c:pt idx="90">
                  <c:v>94.980773250994105</c:v>
                </c:pt>
                <c:pt idx="91">
                  <c:v>94.990646707005766</c:v>
                </c:pt>
                <c:pt idx="92">
                  <c:v>95.000211558753264</c:v>
                </c:pt>
                <c:pt idx="93">
                  <c:v>95.0094774990433</c:v>
                </c:pt>
                <c:pt idx="94">
                  <c:v>95.018453812337071</c:v>
                </c:pt>
                <c:pt idx="95">
                  <c:v>95.027149395956997</c:v>
                </c:pt>
                <c:pt idx="96">
                  <c:v>95.035572779984918</c:v>
                </c:pt>
                <c:pt idx="97">
                  <c:v>95.043732145944844</c:v>
                </c:pt>
                <c:pt idx="98">
                  <c:v>95.051635344356072</c:v>
                </c:pt>
                <c:pt idx="99">
                  <c:v>95.059289911235524</c:v>
                </c:pt>
                <c:pt idx="100">
                  <c:v>95.066703083621803</c:v>
                </c:pt>
              </c:numCache>
            </c:numRef>
          </c:val>
          <c:smooth val="0"/>
          <c:extLst>
            <c:ext xmlns:c16="http://schemas.microsoft.com/office/drawing/2014/chart" uri="{C3380CC4-5D6E-409C-BE32-E72D297353CC}">
              <c16:uniqueId val="{00000000-BBE1-43E5-BAF3-C6A1FB34B6E7}"/>
            </c:ext>
          </c:extLst>
        </c:ser>
        <c:dLbls>
          <c:showLegendKey val="0"/>
          <c:showVal val="0"/>
          <c:showCatName val="0"/>
          <c:showSerName val="0"/>
          <c:showPercent val="0"/>
          <c:showBubbleSize val="0"/>
        </c:dLbls>
        <c:marker val="1"/>
        <c:smooth val="0"/>
        <c:axId val="220216704"/>
        <c:axId val="220227072"/>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'Ch2 Efficiency Calculations'!$BC$9:$BC$109</c:f>
              <c:numCache>
                <c:formatCode>0.000</c:formatCode>
                <c:ptCount val="101"/>
                <c:pt idx="0">
                  <c:v>0.6375516446268128</c:v>
                </c:pt>
                <c:pt idx="1">
                  <c:v>0.65790710487594239</c:v>
                </c:pt>
                <c:pt idx="2">
                  <c:v>0.6774394118919721</c:v>
                </c:pt>
                <c:pt idx="3">
                  <c:v>0.69876131003413344</c:v>
                </c:pt>
                <c:pt idx="4">
                  <c:v>0.72025570665524419</c:v>
                </c:pt>
                <c:pt idx="5">
                  <c:v>0.74178164837282823</c:v>
                </c:pt>
                <c:pt idx="6">
                  <c:v>0.76333919178477005</c:v>
                </c:pt>
                <c:pt idx="7">
                  <c:v>0.78492839432160455</c:v>
                </c:pt>
                <c:pt idx="8">
                  <c:v>0.80654931424919019</c:v>
                </c:pt>
                <c:pt idx="9">
                  <c:v>0.8282020106714385</c:v>
                </c:pt>
                <c:pt idx="10">
                  <c:v>0.84988654353309678</c:v>
                </c:pt>
                <c:pt idx="11">
                  <c:v>0.87160297362258787</c:v>
                </c:pt>
                <c:pt idx="12">
                  <c:v>0.89335136257490655</c:v>
                </c:pt>
                <c:pt idx="13">
                  <c:v>0.91513177287457059</c:v>
                </c:pt>
                <c:pt idx="14">
                  <c:v>0.93694426785862828</c:v>
                </c:pt>
                <c:pt idx="15">
                  <c:v>0.95878891171972591</c:v>
                </c:pt>
                <c:pt idx="16">
                  <c:v>0.98066576950922812</c:v>
                </c:pt>
                <c:pt idx="17">
                  <c:v>1.0025749071403975</c:v>
                </c:pt>
                <c:pt idx="18">
                  <c:v>1.0245163913916344</c:v>
                </c:pt>
                <c:pt idx="19">
                  <c:v>1.0464902899097703</c:v>
                </c:pt>
                <c:pt idx="20">
                  <c:v>1.0684966712134234</c:v>
                </c:pt>
                <c:pt idx="21">
                  <c:v>1.090535604696411</c:v>
                </c:pt>
                <c:pt idx="22">
                  <c:v>1.112607160631222</c:v>
                </c:pt>
                <c:pt idx="23">
                  <c:v>1.1347114101725482</c:v>
                </c:pt>
                <c:pt idx="24">
                  <c:v>1.1568484253608771</c:v>
                </c:pt>
                <c:pt idx="25">
                  <c:v>1.1790182791261417</c:v>
                </c:pt>
                <c:pt idx="26">
                  <c:v>1.2012210452914351</c:v>
                </c:pt>
                <c:pt idx="27">
                  <c:v>1.2234567985767824</c:v>
                </c:pt>
                <c:pt idx="28">
                  <c:v>1.2457256146029767</c:v>
                </c:pt>
                <c:pt idx="29">
                  <c:v>1.2680275698954762</c:v>
                </c:pt>
                <c:pt idx="30">
                  <c:v>1.2903627418883616</c:v>
                </c:pt>
                <c:pt idx="31">
                  <c:v>1.3127312089283607</c:v>
                </c:pt>
                <c:pt idx="32">
                  <c:v>1.3351330502789298</c:v>
                </c:pt>
                <c:pt idx="33">
                  <c:v>1.3575683461244052</c:v>
                </c:pt>
                <c:pt idx="34">
                  <c:v>1.380037177574214</c:v>
                </c:pt>
                <c:pt idx="35">
                  <c:v>1.4025396266671524</c:v>
                </c:pt>
                <c:pt idx="36">
                  <c:v>1.4250757763757249</c:v>
                </c:pt>
                <c:pt idx="37">
                  <c:v>1.4476457106105545</c:v>
                </c:pt>
                <c:pt idx="38">
                  <c:v>1.4702495142248539</c:v>
                </c:pt>
                <c:pt idx="39">
                  <c:v>1.4928872730189662</c:v>
                </c:pt>
                <c:pt idx="40">
                  <c:v>1.5155590737449698</c:v>
                </c:pt>
                <c:pt idx="41">
                  <c:v>1.538265004111353</c:v>
                </c:pt>
                <c:pt idx="42">
                  <c:v>1.561005152787756</c:v>
                </c:pt>
                <c:pt idx="43">
                  <c:v>1.5837796094097794</c:v>
                </c:pt>
                <c:pt idx="44">
                  <c:v>1.6065884645838651</c:v>
                </c:pt>
                <c:pt idx="45">
                  <c:v>1.629431809892242</c:v>
                </c:pt>
                <c:pt idx="46">
                  <c:v>1.652309737897947</c:v>
                </c:pt>
                <c:pt idx="47">
                  <c:v>1.6752223421499144</c:v>
                </c:pt>
                <c:pt idx="48">
                  <c:v>1.698169717188132</c:v>
                </c:pt>
                <c:pt idx="49">
                  <c:v>1.7211519585488784</c:v>
                </c:pt>
                <c:pt idx="50">
                  <c:v>1.7441691627700231</c:v>
                </c:pt>
                <c:pt idx="51">
                  <c:v>1.7672214273964073</c:v>
                </c:pt>
                <c:pt idx="52">
                  <c:v>1.7903088509852911</c:v>
                </c:pt>
                <c:pt idx="53">
                  <c:v>1.8134315331118815</c:v>
                </c:pt>
                <c:pt idx="54">
                  <c:v>1.8365895743749316</c:v>
                </c:pt>
                <c:pt idx="55">
                  <c:v>1.8597830764024144</c:v>
                </c:pt>
                <c:pt idx="56">
                  <c:v>1.8830121418572761</c:v>
                </c:pt>
                <c:pt idx="57">
                  <c:v>1.9062768744432632</c:v>
                </c:pt>
                <c:pt idx="58">
                  <c:v>1.929577378910829</c:v>
                </c:pt>
                <c:pt idx="59">
                  <c:v>1.9529137610631162</c:v>
                </c:pt>
                <c:pt idx="60">
                  <c:v>1.9762861277620207</c:v>
                </c:pt>
                <c:pt idx="61">
                  <c:v>1.9996945869343337</c:v>
                </c:pt>
                <c:pt idx="62">
                  <c:v>2.023139247577963</c:v>
                </c:pt>
                <c:pt idx="63">
                  <c:v>2.0466202197682368</c:v>
                </c:pt>
                <c:pt idx="64">
                  <c:v>2.0701376146642909</c:v>
                </c:pt>
                <c:pt idx="65">
                  <c:v>2.0936915445155329</c:v>
                </c:pt>
                <c:pt idx="66">
                  <c:v>2.1172821226681959</c:v>
                </c:pt>
                <c:pt idx="67">
                  <c:v>2.1409094635719725</c:v>
                </c:pt>
                <c:pt idx="68">
                  <c:v>2.1645736827867332</c:v>
                </c:pt>
                <c:pt idx="69">
                  <c:v>2.1882748969893355</c:v>
                </c:pt>
                <c:pt idx="70">
                  <c:v>2.2120132239805095</c:v>
                </c:pt>
                <c:pt idx="71">
                  <c:v>2.2357887826918441</c:v>
                </c:pt>
                <c:pt idx="72">
                  <c:v>2.2596016931928493</c:v>
                </c:pt>
                <c:pt idx="73">
                  <c:v>2.2834520766981137</c:v>
                </c:pt>
                <c:pt idx="74">
                  <c:v>2.3073400555745507</c:v>
                </c:pt>
                <c:pt idx="75">
                  <c:v>2.3312657533487355</c:v>
                </c:pt>
                <c:pt idx="76">
                  <c:v>2.3552292947143307</c:v>
                </c:pt>
                <c:pt idx="77">
                  <c:v>2.3792308055396134</c:v>
                </c:pt>
                <c:pt idx="78">
                  <c:v>2.4032704128750804</c:v>
                </c:pt>
                <c:pt idx="79">
                  <c:v>2.4273482449611654</c:v>
                </c:pt>
                <c:pt idx="80">
                  <c:v>2.4514644312360359</c:v>
                </c:pt>
                <c:pt idx="81">
                  <c:v>2.4756191023434999</c:v>
                </c:pt>
                <c:pt idx="82">
                  <c:v>2.4998123901409954</c:v>
                </c:pt>
                <c:pt idx="83">
                  <c:v>2.5240444277076945</c:v>
                </c:pt>
                <c:pt idx="84">
                  <c:v>2.5483153493526913</c:v>
                </c:pt>
                <c:pt idx="85">
                  <c:v>2.5726252906233027</c:v>
                </c:pt>
                <c:pt idx="86">
                  <c:v>2.5969743883134591</c:v>
                </c:pt>
                <c:pt idx="87">
                  <c:v>2.6213627804722086</c:v>
                </c:pt>
                <c:pt idx="88">
                  <c:v>2.6457906064123167</c:v>
                </c:pt>
                <c:pt idx="89">
                  <c:v>2.6702580067189716</c:v>
                </c:pt>
                <c:pt idx="90">
                  <c:v>2.6947651232586005</c:v>
                </c:pt>
                <c:pt idx="91">
                  <c:v>2.7193120991877873</c:v>
                </c:pt>
                <c:pt idx="92">
                  <c:v>2.7438990789622961</c:v>
                </c:pt>
                <c:pt idx="93">
                  <c:v>2.7685262083462159</c:v>
                </c:pt>
                <c:pt idx="94">
                  <c:v>2.7931936344211956</c:v>
                </c:pt>
                <c:pt idx="95">
                  <c:v>2.8179015055958114</c:v>
                </c:pt>
                <c:pt idx="96">
                  <c:v>2.8426499716150326</c:v>
                </c:pt>
                <c:pt idx="97">
                  <c:v>2.8674391835698083</c:v>
                </c:pt>
                <c:pt idx="98">
                  <c:v>2.8922692939067645</c:v>
                </c:pt>
                <c:pt idx="99">
                  <c:v>2.9171404564380183</c:v>
                </c:pt>
                <c:pt idx="100">
                  <c:v>2.9420528263511176</c:v>
                </c:pt>
              </c:numCache>
            </c:numRef>
          </c:val>
          <c:smooth val="0"/>
          <c:extLst>
            <c:ext xmlns:c16="http://schemas.microsoft.com/office/drawing/2014/chart" uri="{C3380CC4-5D6E-409C-BE32-E72D297353CC}">
              <c16:uniqueId val="{00000001-BBE1-43E5-BAF3-C6A1FB34B6E7}"/>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'Ch2 Efficiency Calculations'!$BA$9:$BA$109</c:f>
              <c:numCache>
                <c:formatCode>0.000</c:formatCode>
                <c:ptCount val="101"/>
                <c:pt idx="0">
                  <c:v>0.30000489542155695</c:v>
                </c:pt>
                <c:pt idx="1">
                  <c:v>0.30000834801500087</c:v>
                </c:pt>
                <c:pt idx="2">
                  <c:v>0.30001871262782925</c:v>
                </c:pt>
                <c:pt idx="3">
                  <c:v>0.30003598929362357</c:v>
                </c:pt>
                <c:pt idx="4">
                  <c:v>0.30006017806836072</c:v>
                </c:pt>
                <c:pt idx="5">
                  <c:v>0.30009127903041349</c:v>
                </c:pt>
                <c:pt idx="6">
                  <c:v>0.30012929228055096</c:v>
                </c:pt>
                <c:pt idx="7">
                  <c:v>0.30017421794193933</c:v>
                </c:pt>
                <c:pt idx="8">
                  <c:v>0.30022605616014308</c:v>
                </c:pt>
                <c:pt idx="9">
                  <c:v>0.30028480710312616</c:v>
                </c:pt>
                <c:pt idx="10">
                  <c:v>0.30035047096125317</c:v>
                </c:pt>
                <c:pt idx="11">
                  <c:v>0.30042304794729091</c:v>
                </c:pt>
                <c:pt idx="12">
                  <c:v>0.30050253829641049</c:v>
                </c:pt>
                <c:pt idx="13">
                  <c:v>0.30058894226618865</c:v>
                </c:pt>
                <c:pt idx="14">
                  <c:v>0.30068226013661015</c:v>
                </c:pt>
                <c:pt idx="15">
                  <c:v>0.30078249221007025</c:v>
                </c:pt>
                <c:pt idx="16">
                  <c:v>0.3008896388113767</c:v>
                </c:pt>
                <c:pt idx="17">
                  <c:v>0.3010037002877527</c:v>
                </c:pt>
                <c:pt idx="18">
                  <c:v>0.30112467700883971</c:v>
                </c:pt>
                <c:pt idx="19">
                  <c:v>0.30125256936670014</c:v>
                </c:pt>
                <c:pt idx="20">
                  <c:v>0.30138737777582092</c:v>
                </c:pt>
                <c:pt idx="21">
                  <c:v>0.30152910267311656</c:v>
                </c:pt>
                <c:pt idx="22">
                  <c:v>0.301677744517933</c:v>
                </c:pt>
                <c:pt idx="23">
                  <c:v>0.30183330379205081</c:v>
                </c:pt>
                <c:pt idx="24">
                  <c:v>0.30199578099968971</c:v>
                </c:pt>
                <c:pt idx="25">
                  <c:v>0.30216517666751236</c:v>
                </c:pt>
                <c:pt idx="26">
                  <c:v>0.30234149134462845</c:v>
                </c:pt>
                <c:pt idx="27">
                  <c:v>0.30252472560259952</c:v>
                </c:pt>
                <c:pt idx="28">
                  <c:v>0.30271488003544333</c:v>
                </c:pt>
                <c:pt idx="29">
                  <c:v>0.30291195525963882</c:v>
                </c:pt>
                <c:pt idx="30">
                  <c:v>0.30311595191413099</c:v>
                </c:pt>
                <c:pt idx="31">
                  <c:v>0.30332687066033609</c:v>
                </c:pt>
                <c:pt idx="32">
                  <c:v>0.30354471218214729</c:v>
                </c:pt>
                <c:pt idx="33">
                  <c:v>0.30376947718593961</c:v>
                </c:pt>
                <c:pt idx="34">
                  <c:v>0.30400116640057623</c:v>
                </c:pt>
                <c:pt idx="35">
                  <c:v>0.30423978057741419</c:v>
                </c:pt>
                <c:pt idx="36">
                  <c:v>0.30448532049031035</c:v>
                </c:pt>
                <c:pt idx="37">
                  <c:v>0.30473778693562781</c:v>
                </c:pt>
                <c:pt idx="38">
                  <c:v>0.30499718073224241</c:v>
                </c:pt>
                <c:pt idx="39">
                  <c:v>0.3052635027215494</c:v>
                </c:pt>
                <c:pt idx="40">
                  <c:v>0.30553675376746992</c:v>
                </c:pt>
                <c:pt idx="41">
                  <c:v>0.30581693475645844</c:v>
                </c:pt>
                <c:pt idx="42">
                  <c:v>0.30610404659750989</c:v>
                </c:pt>
                <c:pt idx="43">
                  <c:v>0.30639809022216657</c:v>
                </c:pt>
                <c:pt idx="44">
                  <c:v>0.30669906658452645</c:v>
                </c:pt>
                <c:pt idx="45">
                  <c:v>0.30700697666125032</c:v>
                </c:pt>
                <c:pt idx="46">
                  <c:v>0.30732182145157005</c:v>
                </c:pt>
                <c:pt idx="47">
                  <c:v>0.30764360197729645</c:v>
                </c:pt>
                <c:pt idx="48">
                  <c:v>0.30797231928282787</c:v>
                </c:pt>
                <c:pt idx="49">
                  <c:v>0.30830797443515828</c:v>
                </c:pt>
                <c:pt idx="50">
                  <c:v>0.30865056852388645</c:v>
                </c:pt>
                <c:pt idx="51">
                  <c:v>0.30900010266122424</c:v>
                </c:pt>
                <c:pt idx="52">
                  <c:v>0.30935657798200622</c:v>
                </c:pt>
                <c:pt idx="53">
                  <c:v>0.30971999564369823</c:v>
                </c:pt>
                <c:pt idx="54">
                  <c:v>0.3100903568264074</c:v>
                </c:pt>
                <c:pt idx="55">
                  <c:v>0.31046766273289145</c:v>
                </c:pt>
                <c:pt idx="56">
                  <c:v>0.31085191458856837</c:v>
                </c:pt>
                <c:pt idx="57">
                  <c:v>0.31124311364152657</c:v>
                </c:pt>
                <c:pt idx="58">
                  <c:v>0.31164126116253493</c:v>
                </c:pt>
                <c:pt idx="59">
                  <c:v>0.31204635844505335</c:v>
                </c:pt>
                <c:pt idx="60">
                  <c:v>0.31245840680524267</c:v>
                </c:pt>
                <c:pt idx="61">
                  <c:v>0.3128774075819763</c:v>
                </c:pt>
                <c:pt idx="62">
                  <c:v>0.31330336213685012</c:v>
                </c:pt>
                <c:pt idx="63">
                  <c:v>0.31373627185419428</c:v>
                </c:pt>
                <c:pt idx="64">
                  <c:v>0.31417613814108419</c:v>
                </c:pt>
                <c:pt idx="65">
                  <c:v>0.31462296242735199</c:v>
                </c:pt>
                <c:pt idx="66">
                  <c:v>0.31507674616559805</c:v>
                </c:pt>
                <c:pt idx="67">
                  <c:v>0.31553749083120314</c:v>
                </c:pt>
                <c:pt idx="68">
                  <c:v>0.31600519792234011</c:v>
                </c:pt>
                <c:pt idx="69">
                  <c:v>0.31647986895998614</c:v>
                </c:pt>
                <c:pt idx="70">
                  <c:v>0.31696150548793539</c:v>
                </c:pt>
                <c:pt idx="71">
                  <c:v>0.31745010907281124</c:v>
                </c:pt>
                <c:pt idx="72">
                  <c:v>0.31794568130407924</c:v>
                </c:pt>
                <c:pt idx="73">
                  <c:v>0.31844822379405985</c:v>
                </c:pt>
                <c:pt idx="74">
                  <c:v>0.31895773817794204</c:v>
                </c:pt>
                <c:pt idx="75">
                  <c:v>0.31947422611379606</c:v>
                </c:pt>
                <c:pt idx="76">
                  <c:v>0.31999768928258737</c:v>
                </c:pt>
                <c:pt idx="77">
                  <c:v>0.32052812938819003</c:v>
                </c:pt>
                <c:pt idx="78">
                  <c:v>0.3210655481574009</c:v>
                </c:pt>
                <c:pt idx="79">
                  <c:v>0.32160994733995346</c:v>
                </c:pt>
                <c:pt idx="80">
                  <c:v>0.32216132870853231</c:v>
                </c:pt>
                <c:pt idx="81">
                  <c:v>0.32271969405878742</c:v>
                </c:pt>
                <c:pt idx="82">
                  <c:v>0.32328504520934875</c:v>
                </c:pt>
                <c:pt idx="83">
                  <c:v>0.32385738400184161</c:v>
                </c:pt>
                <c:pt idx="84">
                  <c:v>0.32443671230090088</c:v>
                </c:pt>
                <c:pt idx="85">
                  <c:v>0.32502303199418692</c:v>
                </c:pt>
                <c:pt idx="86">
                  <c:v>0.32561634499240066</c:v>
                </c:pt>
                <c:pt idx="87">
                  <c:v>0.32621665322929927</c:v>
                </c:pt>
                <c:pt idx="88">
                  <c:v>0.32682395866171193</c:v>
                </c:pt>
                <c:pt idx="89">
                  <c:v>0.32743826326955588</c:v>
                </c:pt>
                <c:pt idx="90">
                  <c:v>0.32805956905585254</c:v>
                </c:pt>
                <c:pt idx="91">
                  <c:v>0.32868787804674393</c:v>
                </c:pt>
                <c:pt idx="92">
                  <c:v>0.3293231922915093</c:v>
                </c:pt>
                <c:pt idx="93">
                  <c:v>0.32996551386258161</c:v>
                </c:pt>
                <c:pt idx="94">
                  <c:v>0.33061484485556492</c:v>
                </c:pt>
                <c:pt idx="95">
                  <c:v>0.3312711873892511</c:v>
                </c:pt>
                <c:pt idx="96">
                  <c:v>0.33193454360563746</c:v>
                </c:pt>
                <c:pt idx="97">
                  <c:v>0.33260491566994416</c:v>
                </c:pt>
                <c:pt idx="98">
                  <c:v>0.333282305770632</c:v>
                </c:pt>
                <c:pt idx="99">
                  <c:v>0.33396671611942019</c:v>
                </c:pt>
                <c:pt idx="100">
                  <c:v>0.33465814895130469</c:v>
                </c:pt>
              </c:numCache>
            </c:numRef>
          </c:val>
          <c:smooth val="0"/>
          <c:extLst>
            <c:ext xmlns:c16="http://schemas.microsoft.com/office/drawing/2014/chart" uri="{C3380CC4-5D6E-409C-BE32-E72D297353CC}">
              <c16:uniqueId val="{00000002-BBE1-43E5-BAF3-C6A1FB34B6E7}"/>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'Ch2 Efficiency Calculations'!$BD$9:$BD$109</c:f>
              <c:numCache>
                <c:formatCode>0.000</c:formatCode>
                <c:ptCount val="101"/>
                <c:pt idx="0">
                  <c:v>2.1216338771078685E-3</c:v>
                </c:pt>
                <c:pt idx="1">
                  <c:v>1.1881992258721372E-2</c:v>
                </c:pt>
                <c:pt idx="2">
                  <c:v>2.1642945783082072E-2</c:v>
                </c:pt>
                <c:pt idx="3">
                  <c:v>3.2372499531527807E-2</c:v>
                </c:pt>
                <c:pt idx="4">
                  <c:v>4.3164382893771128E-2</c:v>
                </c:pt>
                <c:pt idx="5">
                  <c:v>5.3956861693281163E-2</c:v>
                </c:pt>
                <c:pt idx="6">
                  <c:v>6.4749935978201972E-2</c:v>
                </c:pt>
                <c:pt idx="7">
                  <c:v>7.5543605796015809E-2</c:v>
                </c:pt>
                <c:pt idx="8">
                  <c:v>8.6337871193542415E-2</c:v>
                </c:pt>
                <c:pt idx="9">
                  <c:v>9.7132732216938356E-2</c:v>
                </c:pt>
                <c:pt idx="10">
                  <c:v>0.10792818891169642</c:v>
                </c:pt>
                <c:pt idx="11">
                  <c:v>0.11872424132264486</c:v>
                </c:pt>
                <c:pt idx="12">
                  <c:v>0.12952088949394663</c:v>
                </c:pt>
                <c:pt idx="13">
                  <c:v>0.14031813346909899</c:v>
                </c:pt>
                <c:pt idx="14">
                  <c:v>0.1511159732909324</c:v>
                </c:pt>
                <c:pt idx="15">
                  <c:v>0.1619144090016103</c:v>
                </c:pt>
                <c:pt idx="16">
                  <c:v>0.17271344064262806</c:v>
                </c:pt>
                <c:pt idx="17">
                  <c:v>0.18351306825481234</c:v>
                </c:pt>
                <c:pt idx="18">
                  <c:v>0.19431329187832075</c:v>
                </c:pt>
                <c:pt idx="19">
                  <c:v>0.20511411155264064</c:v>
                </c:pt>
                <c:pt idx="20">
                  <c:v>0.21591552731658881</c:v>
                </c:pt>
                <c:pt idx="21">
                  <c:v>0.22671753920831061</c:v>
                </c:pt>
                <c:pt idx="22">
                  <c:v>0.23752014726527934</c:v>
                </c:pt>
                <c:pt idx="23">
                  <c:v>0.24832335152429541</c:v>
                </c:pt>
                <c:pt idx="24">
                  <c:v>0.25912715202148606</c:v>
                </c:pt>
                <c:pt idx="25">
                  <c:v>0.26993154879230402</c:v>
                </c:pt>
                <c:pt idx="26">
                  <c:v>0.28073654187152741</c:v>
                </c:pt>
                <c:pt idx="27">
                  <c:v>0.29154213129325846</c:v>
                </c:pt>
                <c:pt idx="28">
                  <c:v>0.30234831709092347</c:v>
                </c:pt>
                <c:pt idx="29">
                  <c:v>0.31315509929727164</c:v>
                </c:pt>
                <c:pt idx="30">
                  <c:v>0.32396247794437449</c:v>
                </c:pt>
                <c:pt idx="31">
                  <c:v>0.3347704530636253</c:v>
                </c:pt>
                <c:pt idx="32">
                  <c:v>0.34557902468573792</c:v>
                </c:pt>
                <c:pt idx="33">
                  <c:v>0.35638819284074669</c:v>
                </c:pt>
                <c:pt idx="34">
                  <c:v>0.36719795755800544</c:v>
                </c:pt>
                <c:pt idx="35">
                  <c:v>0.3780083188661868</c:v>
                </c:pt>
                <c:pt idx="36">
                  <c:v>0.38881927679328132</c:v>
                </c:pt>
                <c:pt idx="37">
                  <c:v>0.39963083136659716</c:v>
                </c:pt>
                <c:pt idx="38">
                  <c:v>0.41044298261275886</c:v>
                </c:pt>
                <c:pt idx="39">
                  <c:v>0.42125573055770715</c:v>
                </c:pt>
                <c:pt idx="40">
                  <c:v>0.43206907522669785</c:v>
                </c:pt>
                <c:pt idx="41">
                  <c:v>0.44288301664430135</c:v>
                </c:pt>
                <c:pt idx="42">
                  <c:v>0.45369755483440194</c:v>
                </c:pt>
                <c:pt idx="43">
                  <c:v>0.46451268982019661</c:v>
                </c:pt>
                <c:pt idx="44">
                  <c:v>0.47532842162419531</c:v>
                </c:pt>
                <c:pt idx="45">
                  <c:v>0.48614475026821891</c:v>
                </c:pt>
                <c:pt idx="46">
                  <c:v>0.49696167577339972</c:v>
                </c:pt>
                <c:pt idx="47">
                  <c:v>0.50777919816018036</c:v>
                </c:pt>
                <c:pt idx="48">
                  <c:v>0.51859731744831217</c:v>
                </c:pt>
                <c:pt idx="49">
                  <c:v>0.52941603365685608</c:v>
                </c:pt>
                <c:pt idx="50">
                  <c:v>0.54023534680418039</c:v>
                </c:pt>
                <c:pt idx="51">
                  <c:v>0.55105525690796109</c:v>
                </c:pt>
                <c:pt idx="52">
                  <c:v>0.56187576398518069</c:v>
                </c:pt>
                <c:pt idx="53">
                  <c:v>0.57269686805212694</c:v>
                </c:pt>
                <c:pt idx="54">
                  <c:v>0.58351856912439382</c:v>
                </c:pt>
                <c:pt idx="55">
                  <c:v>0.59434086721687851</c:v>
                </c:pt>
                <c:pt idx="56">
                  <c:v>0.60516376234378255</c:v>
                </c:pt>
                <c:pt idx="57">
                  <c:v>0.61598725451861003</c:v>
                </c:pt>
                <c:pt idx="58">
                  <c:v>0.62681134375416736</c:v>
                </c:pt>
                <c:pt idx="59">
                  <c:v>0.63763603006256231</c:v>
                </c:pt>
                <c:pt idx="60">
                  <c:v>0.64846131345520319</c:v>
                </c:pt>
                <c:pt idx="61">
                  <c:v>0.65928719394279867</c:v>
                </c:pt>
                <c:pt idx="62">
                  <c:v>0.67011367153535617</c:v>
                </c:pt>
                <c:pt idx="63">
                  <c:v>0.68094074624218148</c:v>
                </c:pt>
                <c:pt idx="64">
                  <c:v>0.69176841807187883</c:v>
                </c:pt>
                <c:pt idx="65">
                  <c:v>0.70259668703234834</c:v>
                </c:pt>
                <c:pt idx="66">
                  <c:v>0.71342555313078737</c:v>
                </c:pt>
                <c:pt idx="67">
                  <c:v>0.72425501637368828</c:v>
                </c:pt>
                <c:pt idx="68">
                  <c:v>0.7350850767668381</c:v>
                </c:pt>
                <c:pt idx="69">
                  <c:v>0.74591573431531821</c:v>
                </c:pt>
                <c:pt idx="70">
                  <c:v>0.75674698902350235</c:v>
                </c:pt>
                <c:pt idx="71">
                  <c:v>0.76757884089505768</c:v>
                </c:pt>
                <c:pt idx="72">
                  <c:v>0.77841128993294306</c:v>
                </c:pt>
                <c:pt idx="73">
                  <c:v>0.78924433613940759</c:v>
                </c:pt>
                <c:pt idx="74">
                  <c:v>0.80007797951599102</c:v>
                </c:pt>
                <c:pt idx="75">
                  <c:v>0.8109122200635227</c:v>
                </c:pt>
                <c:pt idx="76">
                  <c:v>0.8217470577821202</c:v>
                </c:pt>
                <c:pt idx="77">
                  <c:v>0.83258249267118978</c:v>
                </c:pt>
                <c:pt idx="78">
                  <c:v>0.84341852472942391</c:v>
                </c:pt>
                <c:pt idx="79">
                  <c:v>0.85425515395480256</c:v>
                </c:pt>
                <c:pt idx="80">
                  <c:v>0.86509238034459046</c:v>
                </c:pt>
                <c:pt idx="81">
                  <c:v>0.87593020389533804</c:v>
                </c:pt>
                <c:pt idx="82">
                  <c:v>0.88676862460287853</c:v>
                </c:pt>
                <c:pt idx="83">
                  <c:v>0.89760764246233049</c:v>
                </c:pt>
                <c:pt idx="84">
                  <c:v>0.90844725746809341</c:v>
                </c:pt>
                <c:pt idx="85">
                  <c:v>0.91928746961384922</c:v>
                </c:pt>
                <c:pt idx="86">
                  <c:v>0.93012827889256111</c:v>
                </c:pt>
                <c:pt idx="87">
                  <c:v>0.9409696852964724</c:v>
                </c:pt>
                <c:pt idx="88">
                  <c:v>0.95181168881710598</c:v>
                </c:pt>
                <c:pt idx="89">
                  <c:v>0.9626542894452631</c:v>
                </c:pt>
                <c:pt idx="90">
                  <c:v>0.97349748717102358</c:v>
                </c:pt>
                <c:pt idx="91">
                  <c:v>0.98434128198374427</c:v>
                </c:pt>
                <c:pt idx="92">
                  <c:v>0.99518567387205814</c:v>
                </c:pt>
                <c:pt idx="93">
                  <c:v>1.0060306628238744</c:v>
                </c:pt>
                <c:pt idx="94">
                  <c:v>1.0168762488263769</c:v>
                </c:pt>
                <c:pt idx="95">
                  <c:v>1.0277224318660227</c:v>
                </c:pt>
                <c:pt idx="96">
                  <c:v>1.0385692119285439</c:v>
                </c:pt>
                <c:pt idx="97">
                  <c:v>1.0494165889989437</c:v>
                </c:pt>
                <c:pt idx="98">
                  <c:v>1.060264563061498</c:v>
                </c:pt>
                <c:pt idx="99">
                  <c:v>1.0711131340997528</c:v>
                </c:pt>
                <c:pt idx="100">
                  <c:v>1.081962302096525</c:v>
                </c:pt>
              </c:numCache>
            </c:numRef>
          </c:val>
          <c:smooth val="0"/>
          <c:extLst>
            <c:ext xmlns:c16="http://schemas.microsoft.com/office/drawing/2014/chart" uri="{C3380CC4-5D6E-409C-BE32-E72D297353CC}">
              <c16:uniqueId val="{00000003-BBE1-43E5-BAF3-C6A1FB34B6E7}"/>
            </c:ext>
          </c:extLst>
        </c:ser>
        <c:dLbls>
          <c:showLegendKey val="0"/>
          <c:showVal val="0"/>
          <c:showCatName val="0"/>
          <c:showSerName val="0"/>
          <c:showPercent val="0"/>
          <c:showBubbleSize val="0"/>
        </c:dLbls>
        <c:marker val="1"/>
        <c:smooth val="0"/>
        <c:axId val="220239360"/>
        <c:axId val="220228992"/>
      </c:lineChart>
      <c:catAx>
        <c:axId val="220216704"/>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220227072"/>
        <c:crosses val="autoZero"/>
        <c:auto val="1"/>
        <c:lblAlgn val="ctr"/>
        <c:lblOffset val="100"/>
        <c:tickLblSkip val="20"/>
        <c:tickMarkSkip val="20"/>
        <c:noMultiLvlLbl val="1"/>
      </c:catAx>
      <c:valAx>
        <c:axId val="220227072"/>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220216704"/>
        <c:crosses val="autoZero"/>
        <c:crossBetween val="between"/>
        <c:majorUnit val="5"/>
        <c:minorUnit val="2.5"/>
      </c:valAx>
      <c:valAx>
        <c:axId val="220228992"/>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220239360"/>
        <c:crosses val="max"/>
        <c:crossBetween val="between"/>
      </c:valAx>
      <c:catAx>
        <c:axId val="220239360"/>
        <c:scaling>
          <c:orientation val="minMax"/>
        </c:scaling>
        <c:delete val="1"/>
        <c:axPos val="b"/>
        <c:numFmt formatCode="0.000" sourceLinked="1"/>
        <c:majorTickMark val="out"/>
        <c:minorTickMark val="none"/>
        <c:tickLblPos val="nextTo"/>
        <c:crossAx val="220228992"/>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trlProps/ctrlProp1.xml><?xml version="1.0" encoding="utf-8"?>
<formControlPr xmlns="http://schemas.microsoft.com/office/spreadsheetml/2009/9/main" objectType="Drop" dropStyle="combo" dx="22" fmlaRange="$1:$1048576"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3" max="100" min="5" page="10" val="60"/>
</file>

<file path=xl/ctrlProps/ctrlProp5.xml><?xml version="1.0" encoding="utf-8"?>
<formControlPr xmlns="http://schemas.microsoft.com/office/spreadsheetml/2009/9/main" objectType="Spin" dx="16" fmlaLink="$E$8" max="58" page="10" val="21"/>
</file>

<file path=xl/ctrlProps/ctrlProp6.xml><?xml version="1.0" encoding="utf-8"?>
<formControlPr xmlns="http://schemas.microsoft.com/office/spreadsheetml/2009/9/main" objectType="Drop" dropLines="2" dropStyle="combo" dx="16" fmlaLink="'Variable Management'!$L$10" fmlaRange="'Variable Management'!$K$8:$K$9" noThreeD="1" sel="1" val="0"/>
</file>

<file path=xl/ctrlProps/ctrlProp7.xml><?xml version="1.0" encoding="utf-8"?>
<formControlPr xmlns="http://schemas.microsoft.com/office/spreadsheetml/2009/9/main" objectType="Drop" dropLines="2" dropStyle="combo" dx="16" fmlaLink="'Variable Management'!$O$10" fmlaRange="'Variable Management'!$N$8:$N$9" noThreeD="1" sel="2" val="0"/>
</file>

<file path=xl/ctrlProps/ctrlProp8.xml><?xml version="1.0" encoding="utf-8"?>
<formControlPr xmlns="http://schemas.microsoft.com/office/spreadsheetml/2009/9/main" objectType="Drop" dropLines="5" dropStyle="combo" dx="16" fmlaLink="'Variable Management'!$U$12" fmlaRange="'Variable Management'!$T$8:$T$11" noThreeD="1" sel="1" val="0"/>
</file>

<file path=xl/ctrlProps/ctrlProp9.xml><?xml version="1.0" encoding="utf-8"?>
<formControlPr xmlns="http://schemas.microsoft.com/office/spreadsheetml/2009/9/main" objectType="Drop" dropLines="2" dropStyle="combo" dx="16" fmlaLink="'Variable Management'!$X$10" fmlaRange="'Variable Management'!$W$8:$W$9" noThreeD="1" sel="2" val="0"/>
</file>

<file path=xl/ctrlProps/ctrlProp10.xml><?xml version="1.0" encoding="utf-8"?>
<formControlPr xmlns="http://schemas.microsoft.com/office/spreadsheetml/2009/9/main" objectType="Spin" dx="16" fmlaLink="$J$63" max="100" min="5" page="10" val="60"/>
</file>

<file path=xl/ctrlProps/ctrlProp11.xml><?xml version="1.0" encoding="utf-8"?>
<formControlPr xmlns="http://schemas.microsoft.com/office/spreadsheetml/2009/9/main" objectType="Drop" dropLines="2" dropStyle="combo" dx="16" fmlaLink="'Variable Management'!$AA$10" fmlaRange="'Variable Management'!$Z$8:$Z$9" noThreeD="1" sel="1" val="0"/>
</file>

<file path=xl/ctrlProps/ctrlProp12.xml><?xml version="1.0" encoding="utf-8"?>
<formControlPr xmlns="http://schemas.microsoft.com/office/spreadsheetml/2009/9/main" objectType="Drop" dropLines="2" dropStyle="combo" dx="16" fmlaLink="'Variable Management'!$X$15" fmlaRange="'Variable Management'!$W$13:$W$14" noThreeD="1" sel="1" val="0"/>
</file>

<file path=xl/ctrlProps/ctrlProp13.xml><?xml version="1.0" encoding="utf-8"?>
<formControlPr xmlns="http://schemas.microsoft.com/office/spreadsheetml/2009/9/main" objectType="Drop" dropLines="5" dropStyle="combo" dx="16" fmlaLink="'Variable Management'!$Y$25" fmlaRange="'Variable Management'!$X$20:$X$24" noThreeD="1" sel="2" val="0"/>
</file>

<file path=xl/ctrlProps/ctrlProp14.xml><?xml version="1.0" encoding="utf-8"?>
<formControlPr xmlns="http://schemas.microsoft.com/office/spreadsheetml/2009/9/main" objectType="Drop" dropLines="2" dropStyle="combo" dx="16" fmlaLink="'Variable Management'!$AA$17" fmlaRange="'Variable Management'!$Z$15:$Z$16"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6.jpg"/><Relationship Id="rId3" Type="http://schemas.openxmlformats.org/officeDocument/2006/relationships/image" Target="../media/image3.emf"/><Relationship Id="rId7" Type="http://schemas.openxmlformats.org/officeDocument/2006/relationships/image" Target="../media/image5.jpg"/><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hyperlink" Target="http://www.ti.com/automotive" TargetMode="External"/><Relationship Id="rId5" Type="http://schemas.openxmlformats.org/officeDocument/2006/relationships/image" Target="../media/image4.png"/><Relationship Id="rId4" Type="http://schemas.openxmlformats.org/officeDocument/2006/relationships/hyperlink" Target="http://www.ti.com/widevin"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11.emf"/></Relationships>
</file>

<file path=xl/drawings/_rels/drawing3.xml.rels><?xml version="1.0" encoding="UTF-8" standalone="yes"?>
<Relationships xmlns="http://schemas.openxmlformats.org/package/2006/relationships"><Relationship Id="rId2" Type="http://schemas.openxmlformats.org/officeDocument/2006/relationships/image" Target="../media/image14.jpg"/><Relationship Id="rId1" Type="http://schemas.openxmlformats.org/officeDocument/2006/relationships/image" Target="../media/image13.jpg"/></Relationships>
</file>

<file path=xl/drawings/_rels/drawing4.xml.rels><?xml version="1.0" encoding="UTF-8" standalone="yes"?>
<Relationships xmlns="http://schemas.openxmlformats.org/package/2006/relationships"><Relationship Id="rId2" Type="http://schemas.openxmlformats.org/officeDocument/2006/relationships/image" Target="../media/image16.jpg"/><Relationship Id="rId1" Type="http://schemas.openxmlformats.org/officeDocument/2006/relationships/image" Target="../media/image15.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314325</xdr:colOff>
          <xdr:row>69</xdr:row>
          <xdr:rowOff>76200</xdr:rowOff>
        </xdr:from>
        <xdr:to>
          <xdr:col>2</xdr:col>
          <xdr:colOff>895350</xdr:colOff>
          <xdr:row>71</xdr:row>
          <xdr:rowOff>133350</xdr:rowOff>
        </xdr:to>
        <xdr:sp macro="" textlink="">
          <xdr:nvSpPr>
            <xdr:cNvPr id="673260" name="Button 492" hidden="1">
              <a:extLst>
                <a:ext uri="{63B3BB69-23CF-44E3-9099-C40C66FF867C}">
                  <a14:compatExt spid="_x0000_s673260"/>
                </a:ext>
                <a:ext uri="{FF2B5EF4-FFF2-40B4-BE49-F238E27FC236}">
                  <a16:creationId xmlns:a16="http://schemas.microsoft.com/office/drawing/2014/main" id="{00000000-0008-0000-0000-0000EC45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314325</xdr:colOff>
          <xdr:row>69</xdr:row>
          <xdr:rowOff>76200</xdr:rowOff>
        </xdr:from>
        <xdr:to>
          <xdr:col>2</xdr:col>
          <xdr:colOff>895350</xdr:colOff>
          <xdr:row>71</xdr:row>
          <xdr:rowOff>133350</xdr:rowOff>
        </xdr:to>
        <xdr:sp macro="" textlink="">
          <xdr:nvSpPr>
            <xdr:cNvPr id="673288" name="Button 520" hidden="1">
              <a:extLst>
                <a:ext uri="{63B3BB69-23CF-44E3-9099-C40C66FF867C}">
                  <a14:compatExt spid="_x0000_s673288"/>
                </a:ext>
                <a:ext uri="{FF2B5EF4-FFF2-40B4-BE49-F238E27FC236}">
                  <a16:creationId xmlns:a16="http://schemas.microsoft.com/office/drawing/2014/main" id="{00000000-0008-0000-0000-00000846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FIX</a:t>
              </a:r>
            </a:p>
            <a:p>
              <a:pPr algn="ctr" rtl="0">
                <a:defRPr sz="1000"/>
              </a:pPr>
              <a:r>
                <a:rPr 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4819650</xdr:colOff>
          <xdr:row>0</xdr:row>
          <xdr:rowOff>476250</xdr:rowOff>
        </xdr:from>
        <xdr:to>
          <xdr:col>16</xdr:col>
          <xdr:colOff>5200650</xdr:colOff>
          <xdr:row>1</xdr:row>
          <xdr:rowOff>133350</xdr:rowOff>
        </xdr:to>
        <xdr:sp macro="" textlink="">
          <xdr:nvSpPr>
            <xdr:cNvPr id="700372" name="Drop Down 3028" hidden="1">
              <a:extLst>
                <a:ext uri="{63B3BB69-23CF-44E3-9099-C40C66FF867C}">
                  <a14:compatExt spid="_x0000_s700372"/>
                </a:ext>
                <a:ext uri="{FF2B5EF4-FFF2-40B4-BE49-F238E27FC236}">
                  <a16:creationId xmlns:a16="http://schemas.microsoft.com/office/drawing/2014/main" id="{00000000-0008-0000-0000-0000D4AF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72390</xdr:colOff>
          <xdr:row>42</xdr:row>
          <xdr:rowOff>118899</xdr:rowOff>
        </xdr:from>
        <xdr:to>
          <xdr:col>16</xdr:col>
          <xdr:colOff>5490210</xdr:colOff>
          <xdr:row>71</xdr:row>
          <xdr:rowOff>148987</xdr:rowOff>
        </xdr:to>
        <xdr:pic>
          <xdr:nvPicPr>
            <xdr:cNvPr id="22" name="Picture 1174">
              <a:extLst>
                <a:ext uri="{FF2B5EF4-FFF2-40B4-BE49-F238E27FC236}">
                  <a16:creationId xmlns:a16="http://schemas.microsoft.com/office/drawing/2014/main" id="{00000000-0008-0000-0000-000016000000}"/>
                </a:ext>
              </a:extLst>
            </xdr:cNvPr>
            <xdr:cNvPicPr>
              <a:picLocks noChangeAspect="1" noChangeArrowheads="1"/>
              <a:extLst>
                <a:ext uri="{84589F7E-364E-4C9E-8A38-B11213B215E9}">
                  <a14:cameraTool cellRange="PICTURE3" spid="_x0000_s714337"/>
                </a:ext>
              </a:extLst>
            </xdr:cNvPicPr>
          </xdr:nvPicPr>
          <xdr:blipFill>
            <a:blip xmlns:r="http://schemas.openxmlformats.org/officeDocument/2006/relationships" r:embed="rId1"/>
            <a:srcRect/>
            <a:stretch>
              <a:fillRect/>
            </a:stretch>
          </xdr:blipFill>
          <xdr:spPr bwMode="auto">
            <a:xfrm>
              <a:off x="6781800" y="8472324"/>
              <a:ext cx="8772525" cy="54593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232410</xdr:colOff>
          <xdr:row>78</xdr:row>
          <xdr:rowOff>111279</xdr:rowOff>
        </xdr:from>
        <xdr:to>
          <xdr:col>16</xdr:col>
          <xdr:colOff>5177790</xdr:colOff>
          <xdr:row>107</xdr:row>
          <xdr:rowOff>40988</xdr:rowOff>
        </xdr:to>
        <xdr:pic>
          <xdr:nvPicPr>
            <xdr:cNvPr id="685206" name="Picture 1174">
              <a:extLst>
                <a:ext uri="{FF2B5EF4-FFF2-40B4-BE49-F238E27FC236}">
                  <a16:creationId xmlns:a16="http://schemas.microsoft.com/office/drawing/2014/main" id="{00000000-0008-0000-0000-000096740A00}"/>
                </a:ext>
              </a:extLst>
            </xdr:cNvPr>
            <xdr:cNvPicPr>
              <a:picLocks noChangeAspect="1" noChangeArrowheads="1"/>
              <a:extLst>
                <a:ext uri="{84589F7E-364E-4C9E-8A38-B11213B215E9}">
                  <a14:cameraTool cellRange="PICTURE" spid="_x0000_s714338"/>
                </a:ext>
              </a:extLst>
            </xdr:cNvPicPr>
          </xdr:nvPicPr>
          <xdr:blipFill>
            <a:blip xmlns:r="http://schemas.openxmlformats.org/officeDocument/2006/relationships" r:embed="rId2"/>
            <a:srcRect/>
            <a:stretch>
              <a:fillRect/>
            </a:stretch>
          </xdr:blipFill>
          <xdr:spPr bwMode="auto">
            <a:xfrm>
              <a:off x="6457950" y="15301749"/>
              <a:ext cx="8772525" cy="54593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xdr:from>
      <xdr:col>12</xdr:col>
      <xdr:colOff>108883</xdr:colOff>
      <xdr:row>63</xdr:row>
      <xdr:rowOff>2861</xdr:rowOff>
    </xdr:from>
    <xdr:to>
      <xdr:col>15</xdr:col>
      <xdr:colOff>590549</xdr:colOff>
      <xdr:row>64</xdr:row>
      <xdr:rowOff>7620</xdr:rowOff>
    </xdr:to>
    <xdr:sp macro="" textlink="'Variable Management'!A365">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7888903" y="12141521"/>
          <a:ext cx="2356186" cy="195259"/>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100" b="1" i="0" u="none" strike="noStrike" baseline="0">
              <a:solidFill>
                <a:srgbClr val="FF0000"/>
              </a:solidFill>
              <a:latin typeface="Arial"/>
              <a:cs typeface="Arial"/>
            </a:rPr>
            <a:pPr algn="l" rtl="0">
              <a:defRPr sz="1000"/>
            </a:pPr>
            <a:t>Crossover Frequency = 44.9 kHz</a:t>
          </a:fld>
          <a:endParaRPr lang="en-US" sz="1100" b="1" i="0" u="none" strike="noStrike" baseline="0">
            <a:solidFill>
              <a:srgbClr val="FF0000"/>
            </a:solidFill>
            <a:latin typeface="Arial"/>
            <a:cs typeface="Arial"/>
          </a:endParaRPr>
        </a:p>
      </xdr:txBody>
    </xdr:sp>
    <xdr:clientData/>
  </xdr:twoCellAnchor>
  <xdr:twoCellAnchor>
    <xdr:from>
      <xdr:col>12</xdr:col>
      <xdr:colOff>138934</xdr:colOff>
      <xdr:row>64</xdr:row>
      <xdr:rowOff>150685</xdr:rowOff>
    </xdr:from>
    <xdr:to>
      <xdr:col>14</xdr:col>
      <xdr:colOff>354329</xdr:colOff>
      <xdr:row>65</xdr:row>
      <xdr:rowOff>165123</xdr:rowOff>
    </xdr:to>
    <xdr:sp macro="" textlink="'Variable Management'!A366">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7918954" y="12479845"/>
          <a:ext cx="1465075" cy="204938"/>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100" b="1" i="0" u="none" strike="noStrike" baseline="0">
              <a:solidFill>
                <a:srgbClr val="002060"/>
              </a:solidFill>
              <a:latin typeface="Arial"/>
              <a:cs typeface="Arial"/>
            </a:rPr>
            <a:pPr algn="l" rtl="0">
              <a:defRPr sz="1000"/>
            </a:pPr>
            <a:t>Phase Margin = 115°</a:t>
          </a:fld>
          <a:endParaRPr lang="en-US" sz="1100" b="1" i="0" u="none" strike="noStrike" baseline="0">
            <a:solidFill>
              <a:srgbClr val="00206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5</xdr:col>
          <xdr:colOff>9525</xdr:colOff>
          <xdr:row>62</xdr:row>
          <xdr:rowOff>0</xdr:rowOff>
        </xdr:from>
        <xdr:to>
          <xdr:col>5</xdr:col>
          <xdr:colOff>180975</xdr:colOff>
          <xdr:row>62</xdr:row>
          <xdr:rowOff>180975</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123825</xdr:colOff>
          <xdr:row>7</xdr:row>
          <xdr:rowOff>9525</xdr:rowOff>
        </xdr:from>
        <xdr:to>
          <xdr:col>5</xdr:col>
          <xdr:colOff>304800</xdr:colOff>
          <xdr:row>8</xdr:row>
          <xdr:rowOff>19050</xdr:rowOff>
        </xdr:to>
        <xdr:sp macro="" textlink="">
          <xdr:nvSpPr>
            <xdr:cNvPr id="672895" name="Spinner 127" hidden="1">
              <a:extLst>
                <a:ext uri="{63B3BB69-23CF-44E3-9099-C40C66FF867C}">
                  <a14:compatExt spid="_x0000_s672895"/>
                </a:ext>
                <a:ext uri="{FF2B5EF4-FFF2-40B4-BE49-F238E27FC236}">
                  <a16:creationId xmlns:a16="http://schemas.microsoft.com/office/drawing/2014/main" id="{00000000-0008-0000-0000-00007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371475</xdr:colOff>
          <xdr:row>77</xdr:row>
          <xdr:rowOff>28575</xdr:rowOff>
        </xdr:from>
        <xdr:to>
          <xdr:col>13</xdr:col>
          <xdr:colOff>428625</xdr:colOff>
          <xdr:row>78</xdr:row>
          <xdr:rowOff>104775</xdr:rowOff>
        </xdr:to>
        <xdr:sp macro="" textlink="">
          <xdr:nvSpPr>
            <xdr:cNvPr id="672924" name="Drop Down 156" hidden="1">
              <a:extLst>
                <a:ext uri="{63B3BB69-23CF-44E3-9099-C40C66FF867C}">
                  <a14:compatExt spid="_x0000_s672924"/>
                </a:ext>
                <a:ext uri="{FF2B5EF4-FFF2-40B4-BE49-F238E27FC236}">
                  <a16:creationId xmlns:a16="http://schemas.microsoft.com/office/drawing/2014/main" id="{00000000-0008-0000-0000-00009C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1</xdr:col>
          <xdr:colOff>476250</xdr:colOff>
          <xdr:row>55</xdr:row>
          <xdr:rowOff>0</xdr:rowOff>
        </xdr:to>
        <xdr:sp macro="" textlink="">
          <xdr:nvSpPr>
            <xdr:cNvPr id="673029" name="Drop Down 261" hidden="1">
              <a:extLst>
                <a:ext uri="{63B3BB69-23CF-44E3-9099-C40C66FF867C}">
                  <a14:compatExt spid="_x0000_s673029"/>
                </a:ext>
                <a:ext uri="{FF2B5EF4-FFF2-40B4-BE49-F238E27FC236}">
                  <a16:creationId xmlns:a16="http://schemas.microsoft.com/office/drawing/2014/main" id="{00000000-0008-0000-0000-0000054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72391</xdr:colOff>
          <xdr:row>4</xdr:row>
          <xdr:rowOff>114300</xdr:rowOff>
        </xdr:from>
        <xdr:to>
          <xdr:col>16</xdr:col>
          <xdr:colOff>5907543</xdr:colOff>
          <xdr:row>32</xdr:row>
          <xdr:rowOff>148590</xdr:rowOff>
        </xdr:to>
        <xdr:pic>
          <xdr:nvPicPr>
            <xdr:cNvPr id="685207" name="Picture 1175">
              <a:extLst>
                <a:ext uri="{FF2B5EF4-FFF2-40B4-BE49-F238E27FC236}">
                  <a16:creationId xmlns:a16="http://schemas.microsoft.com/office/drawing/2014/main" id="{00000000-0008-0000-0000-000097740A00}"/>
                </a:ext>
              </a:extLst>
            </xdr:cNvPr>
            <xdr:cNvPicPr>
              <a:picLocks noChangeAspect="1" noChangeArrowheads="1"/>
              <a:extLst>
                <a:ext uri="{84589F7E-364E-4C9E-8A38-B11213B215E9}">
                  <a14:cameraTool cellRange="PICTURE2" spid="_x0000_s714339"/>
                </a:ext>
              </a:extLst>
            </xdr:cNvPicPr>
          </xdr:nvPicPr>
          <xdr:blipFill>
            <a:blip xmlns:r="http://schemas.openxmlformats.org/officeDocument/2006/relationships" r:embed="rId3"/>
            <a:srcRect/>
            <a:stretch>
              <a:fillRect/>
            </a:stretch>
          </xdr:blipFill>
          <xdr:spPr bwMode="auto">
            <a:xfrm>
              <a:off x="6781801" y="1257300"/>
              <a:ext cx="9184142" cy="54006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editAs="oneCell">
    <xdr:from>
      <xdr:col>16</xdr:col>
      <xdr:colOff>3638551</xdr:colOff>
      <xdr:row>35</xdr:row>
      <xdr:rowOff>114300</xdr:rowOff>
    </xdr:from>
    <xdr:to>
      <xdr:col>16</xdr:col>
      <xdr:colOff>5900871</xdr:colOff>
      <xdr:row>43</xdr:row>
      <xdr:rowOff>111023</xdr:rowOff>
    </xdr:to>
    <xdr:pic>
      <xdr:nvPicPr>
        <xdr:cNvPr id="3" name="Picture 2">
          <a:hlinkClick xmlns:r="http://schemas.openxmlformats.org/officeDocument/2006/relationships" r:id="rId4"/>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696951" y="7086600"/>
          <a:ext cx="2258510" cy="1427378"/>
        </a:xfrm>
        <a:prstGeom prst="rect">
          <a:avLst/>
        </a:prstGeom>
      </xdr:spPr>
    </xdr:pic>
    <xdr:clientData/>
  </xdr:twoCellAnchor>
  <xdr:twoCellAnchor editAs="oneCell">
    <xdr:from>
      <xdr:col>16</xdr:col>
      <xdr:colOff>4082415</xdr:colOff>
      <xdr:row>0</xdr:row>
      <xdr:rowOff>0</xdr:rowOff>
    </xdr:from>
    <xdr:to>
      <xdr:col>17</xdr:col>
      <xdr:colOff>3810</xdr:colOff>
      <xdr:row>4</xdr:row>
      <xdr:rowOff>34290</xdr:rowOff>
    </xdr:to>
    <xdr:pic>
      <xdr:nvPicPr>
        <xdr:cNvPr id="4" name="Picture 3">
          <a:hlinkClick xmlns:r="http://schemas.openxmlformats.org/officeDocument/2006/relationships" r:id="rId6"/>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4140815" y="0"/>
          <a:ext cx="1859280" cy="1162050"/>
        </a:xfrm>
        <a:prstGeom prst="rect">
          <a:avLst/>
        </a:prstGeom>
      </xdr:spPr>
    </xdr:pic>
    <xdr:clientData/>
  </xdr:twoCellAnchor>
  <xdr:twoCellAnchor editAs="oneCell">
    <xdr:from>
      <xdr:col>0</xdr:col>
      <xdr:colOff>9525</xdr:colOff>
      <xdr:row>0</xdr:row>
      <xdr:rowOff>9525</xdr:rowOff>
    </xdr:from>
    <xdr:to>
      <xdr:col>3</xdr:col>
      <xdr:colOff>148590</xdr:colOff>
      <xdr:row>1</xdr:row>
      <xdr:rowOff>1558</xdr:rowOff>
    </xdr:to>
    <xdr:pic>
      <xdr:nvPicPr>
        <xdr:cNvPr id="6" name="Picture 5">
          <a:hlinkClick xmlns:r="http://schemas.openxmlformats.org/officeDocument/2006/relationships" r:id="rId4"/>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525" y="9525"/>
          <a:ext cx="2143125" cy="5844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514350</xdr:colOff>
          <xdr:row>5</xdr:row>
          <xdr:rowOff>9525</xdr:rowOff>
        </xdr:from>
        <xdr:to>
          <xdr:col>5</xdr:col>
          <xdr:colOff>95250</xdr:colOff>
          <xdr:row>6</xdr:row>
          <xdr:rowOff>9525</xdr:rowOff>
        </xdr:to>
        <xdr:sp macro="" textlink="">
          <xdr:nvSpPr>
            <xdr:cNvPr id="685346" name="Drop Down 1314" hidden="1">
              <a:extLst>
                <a:ext uri="{63B3BB69-23CF-44E3-9099-C40C66FF867C}">
                  <a14:compatExt spid="_x0000_s685346"/>
                </a:ext>
                <a:ext uri="{FF2B5EF4-FFF2-40B4-BE49-F238E27FC236}">
                  <a16:creationId xmlns:a16="http://schemas.microsoft.com/office/drawing/2014/main" id="{00000000-0008-0000-0000-0000227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56</xdr:row>
          <xdr:rowOff>0</xdr:rowOff>
        </xdr:from>
        <xdr:to>
          <xdr:col>1</xdr:col>
          <xdr:colOff>76200</xdr:colOff>
          <xdr:row>56</xdr:row>
          <xdr:rowOff>180975</xdr:rowOff>
        </xdr:to>
        <xdr:sp macro="" textlink="">
          <xdr:nvSpPr>
            <xdr:cNvPr id="685442" name="Drop Down 1410" hidden="1">
              <a:extLst>
                <a:ext uri="{63B3BB69-23CF-44E3-9099-C40C66FF867C}">
                  <a14:compatExt spid="_x0000_s685442"/>
                </a:ext>
                <a:ext uri="{FF2B5EF4-FFF2-40B4-BE49-F238E27FC236}">
                  <a16:creationId xmlns:a16="http://schemas.microsoft.com/office/drawing/2014/main" id="{00000000-0008-0000-0000-0000827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xdr:colOff>
          <xdr:row>62</xdr:row>
          <xdr:rowOff>0</xdr:rowOff>
        </xdr:from>
        <xdr:to>
          <xdr:col>10</xdr:col>
          <xdr:colOff>180975</xdr:colOff>
          <xdr:row>62</xdr:row>
          <xdr:rowOff>180975</xdr:rowOff>
        </xdr:to>
        <xdr:sp macro="" textlink="">
          <xdr:nvSpPr>
            <xdr:cNvPr id="685525" name="Spinner 1493" hidden="1">
              <a:extLst>
                <a:ext uri="{63B3BB69-23CF-44E3-9099-C40C66FF867C}">
                  <a14:compatExt spid="_x0000_s685525"/>
                </a:ext>
                <a:ext uri="{FF2B5EF4-FFF2-40B4-BE49-F238E27FC236}">
                  <a16:creationId xmlns:a16="http://schemas.microsoft.com/office/drawing/2014/main" id="{00000000-0008-0000-0000-0000D575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66675</xdr:colOff>
          <xdr:row>41</xdr:row>
          <xdr:rowOff>76200</xdr:rowOff>
        </xdr:from>
        <xdr:to>
          <xdr:col>12</xdr:col>
          <xdr:colOff>333375</xdr:colOff>
          <xdr:row>43</xdr:row>
          <xdr:rowOff>0</xdr:rowOff>
        </xdr:to>
        <xdr:sp macro="" textlink="">
          <xdr:nvSpPr>
            <xdr:cNvPr id="685729" name="Drop Down 1697" hidden="1">
              <a:extLst>
                <a:ext uri="{63B3BB69-23CF-44E3-9099-C40C66FF867C}">
                  <a14:compatExt spid="_x0000_s685729"/>
                </a:ext>
                <a:ext uri="{FF2B5EF4-FFF2-40B4-BE49-F238E27FC236}">
                  <a16:creationId xmlns:a16="http://schemas.microsoft.com/office/drawing/2014/main" id="{00000000-0008-0000-0000-0000A1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3310890</xdr:colOff>
      <xdr:row>82</xdr:row>
      <xdr:rowOff>31269</xdr:rowOff>
    </xdr:from>
    <xdr:to>
      <xdr:col>16</xdr:col>
      <xdr:colOff>3732833</xdr:colOff>
      <xdr:row>83</xdr:row>
      <xdr:rowOff>78894</xdr:rowOff>
    </xdr:to>
    <xdr:sp macro="" textlink="'Variable Management'!$B$368">
      <xdr:nvSpPr>
        <xdr:cNvPr id="23" name="Text Box 24">
          <a:extLst>
            <a:ext uri="{FF2B5EF4-FFF2-40B4-BE49-F238E27FC236}">
              <a16:creationId xmlns:a16="http://schemas.microsoft.com/office/drawing/2014/main" id="{00000000-0008-0000-0000-000017000000}"/>
            </a:ext>
          </a:extLst>
        </xdr:cNvPr>
        <xdr:cNvSpPr txBox="1">
          <a:spLocks noChangeArrowheads="1" noTextEdit="1"/>
        </xdr:cNvSpPr>
      </xdr:nvSpPr>
      <xdr:spPr bwMode="auto">
        <a:xfrm>
          <a:off x="13658850" y="15903729"/>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83%</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16</xdr:col>
      <xdr:colOff>428625</xdr:colOff>
      <xdr:row>82</xdr:row>
      <xdr:rowOff>14124</xdr:rowOff>
    </xdr:from>
    <xdr:to>
      <xdr:col>16</xdr:col>
      <xdr:colOff>850568</xdr:colOff>
      <xdr:row>83</xdr:row>
      <xdr:rowOff>61749</xdr:rowOff>
    </xdr:to>
    <xdr:sp macro="" textlink="'Variable Management'!$B$369">
      <xdr:nvSpPr>
        <xdr:cNvPr id="24" name="Text Box 24">
          <a:extLst>
            <a:ext uri="{FF2B5EF4-FFF2-40B4-BE49-F238E27FC236}">
              <a16:creationId xmlns:a16="http://schemas.microsoft.com/office/drawing/2014/main" id="{00000000-0008-0000-0000-000018000000}"/>
            </a:ext>
          </a:extLst>
        </xdr:cNvPr>
        <xdr:cNvSpPr txBox="1">
          <a:spLocks noChangeArrowheads="1" noTextEdit="1"/>
        </xdr:cNvSpPr>
      </xdr:nvSpPr>
      <xdr:spPr bwMode="auto">
        <a:xfrm>
          <a:off x="10487025" y="15997074"/>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80.1%</a:t>
          </a:fld>
          <a:endParaRPr lang="en-US" sz="900" b="1"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19050</xdr:colOff>
          <xdr:row>102</xdr:row>
          <xdr:rowOff>0</xdr:rowOff>
        </xdr:from>
        <xdr:to>
          <xdr:col>2</xdr:col>
          <xdr:colOff>9525</xdr:colOff>
          <xdr:row>103</xdr:row>
          <xdr:rowOff>0</xdr:rowOff>
        </xdr:to>
        <xdr:sp macro="" textlink="">
          <xdr:nvSpPr>
            <xdr:cNvPr id="685906" name="Drop Down 1874" hidden="1">
              <a:extLst>
                <a:ext uri="{63B3BB69-23CF-44E3-9099-C40C66FF867C}">
                  <a14:compatExt spid="_x0000_s685906"/>
                </a:ext>
                <a:ext uri="{FF2B5EF4-FFF2-40B4-BE49-F238E27FC236}">
                  <a16:creationId xmlns:a16="http://schemas.microsoft.com/office/drawing/2014/main" id="{00000000-0008-0000-0000-00005277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42832</xdr:colOff>
      <xdr:row>13</xdr:row>
      <xdr:rowOff>187081</xdr:rowOff>
    </xdr:from>
    <xdr:to>
      <xdr:col>12</xdr:col>
      <xdr:colOff>422364</xdr:colOff>
      <xdr:row>14</xdr:row>
      <xdr:rowOff>185951</xdr:rowOff>
    </xdr:to>
    <xdr:sp macro="" textlink="">
      <xdr:nvSpPr>
        <xdr:cNvPr id="25" name="Text Box 228">
          <a:extLst>
            <a:ext uri="{FF2B5EF4-FFF2-40B4-BE49-F238E27FC236}">
              <a16:creationId xmlns:a16="http://schemas.microsoft.com/office/drawing/2014/main" id="{00000000-0008-0000-0000-000019000000}"/>
            </a:ext>
          </a:extLst>
        </xdr:cNvPr>
        <xdr:cNvSpPr txBox="1">
          <a:spLocks noChangeArrowheads="1"/>
        </xdr:cNvSpPr>
      </xdr:nvSpPr>
      <xdr:spPr bwMode="auto">
        <a:xfrm>
          <a:off x="7603301" y="3009577"/>
          <a:ext cx="385247" cy="23366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16</xdr:col>
      <xdr:colOff>1752817</xdr:colOff>
      <xdr:row>30</xdr:row>
      <xdr:rowOff>73084</xdr:rowOff>
    </xdr:from>
    <xdr:to>
      <xdr:col>16</xdr:col>
      <xdr:colOff>2134593</xdr:colOff>
      <xdr:row>31</xdr:row>
      <xdr:rowOff>149137</xdr:rowOff>
    </xdr:to>
    <xdr:sp macro="" textlink="">
      <xdr:nvSpPr>
        <xdr:cNvPr id="26" name="Text Box 233">
          <a:extLst>
            <a:ext uri="{FF2B5EF4-FFF2-40B4-BE49-F238E27FC236}">
              <a16:creationId xmlns:a16="http://schemas.microsoft.com/office/drawing/2014/main" id="{00000000-0008-0000-0000-00001A000000}"/>
            </a:ext>
          </a:extLst>
        </xdr:cNvPr>
        <xdr:cNvSpPr txBox="1">
          <a:spLocks noChangeArrowheads="1"/>
        </xdr:cNvSpPr>
      </xdr:nvSpPr>
      <xdr:spPr bwMode="auto">
        <a:xfrm>
          <a:off x="11806022" y="6193329"/>
          <a:ext cx="381776" cy="253045"/>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VDDA</a:t>
          </a:r>
        </a:p>
      </xdr:txBody>
    </xdr:sp>
    <xdr:clientData/>
  </xdr:twoCellAnchor>
  <xdr:twoCellAnchor editAs="absolute">
    <xdr:from>
      <xdr:col>12</xdr:col>
      <xdr:colOff>262686</xdr:colOff>
      <xdr:row>10</xdr:row>
      <xdr:rowOff>72746</xdr:rowOff>
    </xdr:from>
    <xdr:to>
      <xdr:col>12</xdr:col>
      <xdr:colOff>497022</xdr:colOff>
      <xdr:row>11</xdr:row>
      <xdr:rowOff>80682</xdr:rowOff>
    </xdr:to>
    <xdr:sp macro="" textlink="">
      <xdr:nvSpPr>
        <xdr:cNvPr id="27" name="Text Box 234">
          <a:extLst>
            <a:ext uri="{FF2B5EF4-FFF2-40B4-BE49-F238E27FC236}">
              <a16:creationId xmlns:a16="http://schemas.microsoft.com/office/drawing/2014/main" id="{00000000-0008-0000-0000-00001B000000}"/>
            </a:ext>
          </a:extLst>
        </xdr:cNvPr>
        <xdr:cNvSpPr txBox="1">
          <a:spLocks noChangeArrowheads="1"/>
        </xdr:cNvSpPr>
      </xdr:nvSpPr>
      <xdr:spPr bwMode="auto">
        <a:xfrm>
          <a:off x="7792565" y="2319913"/>
          <a:ext cx="243861" cy="219098"/>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S1</a:t>
          </a:r>
        </a:p>
      </xdr:txBody>
    </xdr:sp>
    <xdr:clientData/>
  </xdr:twoCellAnchor>
  <xdr:twoCellAnchor editAs="absolute">
    <xdr:from>
      <xdr:col>13</xdr:col>
      <xdr:colOff>117883</xdr:colOff>
      <xdr:row>11</xdr:row>
      <xdr:rowOff>34093</xdr:rowOff>
    </xdr:from>
    <xdr:to>
      <xdr:col>13</xdr:col>
      <xdr:colOff>458914</xdr:colOff>
      <xdr:row>12</xdr:row>
      <xdr:rowOff>117195</xdr:rowOff>
    </xdr:to>
    <xdr:sp macro="" textlink="">
      <xdr:nvSpPr>
        <xdr:cNvPr id="28" name="Text Box 235">
          <a:extLst>
            <a:ext uri="{FF2B5EF4-FFF2-40B4-BE49-F238E27FC236}">
              <a16:creationId xmlns:a16="http://schemas.microsoft.com/office/drawing/2014/main" id="{00000000-0008-0000-0000-00001C000000}"/>
            </a:ext>
          </a:extLst>
        </xdr:cNvPr>
        <xdr:cNvSpPr txBox="1">
          <a:spLocks noChangeArrowheads="1"/>
        </xdr:cNvSpPr>
      </xdr:nvSpPr>
      <xdr:spPr bwMode="auto">
        <a:xfrm>
          <a:off x="8269231" y="2471467"/>
          <a:ext cx="337221" cy="2725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13</xdr:col>
      <xdr:colOff>35233</xdr:colOff>
      <xdr:row>6</xdr:row>
      <xdr:rowOff>72153</xdr:rowOff>
    </xdr:from>
    <xdr:to>
      <xdr:col>13</xdr:col>
      <xdr:colOff>346839</xdr:colOff>
      <xdr:row>7</xdr:row>
      <xdr:rowOff>109804</xdr:rowOff>
    </xdr:to>
    <xdr:sp macro="" textlink="">
      <xdr:nvSpPr>
        <xdr:cNvPr id="29" name="Text Box 244">
          <a:extLst>
            <a:ext uri="{FF2B5EF4-FFF2-40B4-BE49-F238E27FC236}">
              <a16:creationId xmlns:a16="http://schemas.microsoft.com/office/drawing/2014/main" id="{00000000-0008-0000-0000-00001D000000}"/>
            </a:ext>
          </a:extLst>
        </xdr:cNvPr>
        <xdr:cNvSpPr txBox="1">
          <a:spLocks noChangeArrowheads="1"/>
        </xdr:cNvSpPr>
      </xdr:nvSpPr>
      <xdr:spPr bwMode="auto">
        <a:xfrm>
          <a:off x="8186728" y="1645683"/>
          <a:ext cx="328751" cy="226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editAs="absolute">
    <xdr:from>
      <xdr:col>16</xdr:col>
      <xdr:colOff>2442684</xdr:colOff>
      <xdr:row>6</xdr:row>
      <xdr:rowOff>80340</xdr:rowOff>
    </xdr:from>
    <xdr:to>
      <xdr:col>16</xdr:col>
      <xdr:colOff>2856651</xdr:colOff>
      <xdr:row>7</xdr:row>
      <xdr:rowOff>156249</xdr:rowOff>
    </xdr:to>
    <xdr:sp macro="" textlink="">
      <xdr:nvSpPr>
        <xdr:cNvPr id="30" name="Text Box 248">
          <a:extLst>
            <a:ext uri="{FF2B5EF4-FFF2-40B4-BE49-F238E27FC236}">
              <a16:creationId xmlns:a16="http://schemas.microsoft.com/office/drawing/2014/main" id="{00000000-0008-0000-0000-00001E000000}"/>
            </a:ext>
          </a:extLst>
        </xdr:cNvPr>
        <xdr:cNvSpPr txBox="1">
          <a:spLocks noChangeArrowheads="1"/>
        </xdr:cNvSpPr>
      </xdr:nvSpPr>
      <xdr:spPr bwMode="auto">
        <a:xfrm>
          <a:off x="12484379" y="1668670"/>
          <a:ext cx="410157" cy="23871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16</xdr:col>
      <xdr:colOff>3350540</xdr:colOff>
      <xdr:row>6</xdr:row>
      <xdr:rowOff>111235</xdr:rowOff>
    </xdr:from>
    <xdr:to>
      <xdr:col>16</xdr:col>
      <xdr:colOff>3730359</xdr:colOff>
      <xdr:row>8</xdr:row>
      <xdr:rowOff>2487</xdr:rowOff>
    </xdr:to>
    <xdr:sp macro="" textlink="">
      <xdr:nvSpPr>
        <xdr:cNvPr id="31" name="Text Box 249">
          <a:extLst>
            <a:ext uri="{FF2B5EF4-FFF2-40B4-BE49-F238E27FC236}">
              <a16:creationId xmlns:a16="http://schemas.microsoft.com/office/drawing/2014/main" id="{00000000-0008-0000-0000-00001F000000}"/>
            </a:ext>
          </a:extLst>
        </xdr:cNvPr>
        <xdr:cNvSpPr txBox="1">
          <a:spLocks noChangeArrowheads="1"/>
        </xdr:cNvSpPr>
      </xdr:nvSpPr>
      <xdr:spPr bwMode="auto">
        <a:xfrm>
          <a:off x="13388425" y="1674800"/>
          <a:ext cx="376009" cy="24734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VCC2</a:t>
          </a:r>
        </a:p>
      </xdr:txBody>
    </xdr:sp>
    <xdr:clientData/>
  </xdr:twoCellAnchor>
  <xdr:twoCellAnchor editAs="absolute">
    <xdr:from>
      <xdr:col>14</xdr:col>
      <xdr:colOff>453474</xdr:colOff>
      <xdr:row>28</xdr:row>
      <xdr:rowOff>42228</xdr:rowOff>
    </xdr:from>
    <xdr:to>
      <xdr:col>15</xdr:col>
      <xdr:colOff>73984</xdr:colOff>
      <xdr:row>29</xdr:row>
      <xdr:rowOff>110260</xdr:rowOff>
    </xdr:to>
    <xdr:sp macro="" textlink="">
      <xdr:nvSpPr>
        <xdr:cNvPr id="33" name="Text Box 256">
          <a:extLst>
            <a:ext uri="{FF2B5EF4-FFF2-40B4-BE49-F238E27FC236}">
              <a16:creationId xmlns:a16="http://schemas.microsoft.com/office/drawing/2014/main" id="{00000000-0008-0000-0000-000021000000}"/>
            </a:ext>
          </a:extLst>
        </xdr:cNvPr>
        <xdr:cNvSpPr txBox="1">
          <a:spLocks noChangeArrowheads="1"/>
        </xdr:cNvSpPr>
      </xdr:nvSpPr>
      <xdr:spPr bwMode="auto">
        <a:xfrm>
          <a:off x="9213140" y="5806282"/>
          <a:ext cx="242969" cy="21971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editAs="absolute">
    <xdr:from>
      <xdr:col>14</xdr:col>
      <xdr:colOff>148265</xdr:colOff>
      <xdr:row>24</xdr:row>
      <xdr:rowOff>36809</xdr:rowOff>
    </xdr:from>
    <xdr:to>
      <xdr:col>14</xdr:col>
      <xdr:colOff>453242</xdr:colOff>
      <xdr:row>25</xdr:row>
      <xdr:rowOff>73202</xdr:rowOff>
    </xdr:to>
    <xdr:sp macro="" textlink="">
      <xdr:nvSpPr>
        <xdr:cNvPr id="34" name="Text Box 257">
          <a:extLst>
            <a:ext uri="{FF2B5EF4-FFF2-40B4-BE49-F238E27FC236}">
              <a16:creationId xmlns:a16="http://schemas.microsoft.com/office/drawing/2014/main" id="{00000000-0008-0000-0000-000022000000}"/>
            </a:ext>
          </a:extLst>
        </xdr:cNvPr>
        <xdr:cNvSpPr txBox="1">
          <a:spLocks noChangeArrowheads="1"/>
        </xdr:cNvSpPr>
      </xdr:nvSpPr>
      <xdr:spPr bwMode="auto">
        <a:xfrm>
          <a:off x="8913646" y="4982665"/>
          <a:ext cx="314502" cy="245229"/>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900" b="0" i="0" strike="noStrike">
              <a:solidFill>
                <a:srgbClr val="000000"/>
              </a:solidFill>
              <a:latin typeface="Arial" pitchFamily="34" charset="0"/>
              <a:cs typeface="Arial" pitchFamily="34" charset="0"/>
            </a:rPr>
            <a:t>C</a:t>
          </a:r>
          <a:r>
            <a:rPr lang="en-US" sz="900" b="0" i="0" strike="noStrike" baseline="-25000">
              <a:solidFill>
                <a:srgbClr val="000000"/>
              </a:solidFill>
              <a:latin typeface="Arial" pitchFamily="34" charset="0"/>
              <a:cs typeface="Arial" pitchFamily="34" charset="0"/>
            </a:rPr>
            <a:t>C1</a:t>
          </a:r>
        </a:p>
      </xdr:txBody>
    </xdr:sp>
    <xdr:clientData/>
  </xdr:twoCellAnchor>
  <xdr:twoCellAnchor editAs="absolute">
    <xdr:from>
      <xdr:col>14</xdr:col>
      <xdr:colOff>568221</xdr:colOff>
      <xdr:row>24</xdr:row>
      <xdr:rowOff>79452</xdr:rowOff>
    </xdr:from>
    <xdr:to>
      <xdr:col>15</xdr:col>
      <xdr:colOff>263075</xdr:colOff>
      <xdr:row>25</xdr:row>
      <xdr:rowOff>79559</xdr:rowOff>
    </xdr:to>
    <xdr:sp macro="" textlink="">
      <xdr:nvSpPr>
        <xdr:cNvPr id="35" name="Text Box 258">
          <a:extLst>
            <a:ext uri="{FF2B5EF4-FFF2-40B4-BE49-F238E27FC236}">
              <a16:creationId xmlns:a16="http://schemas.microsoft.com/office/drawing/2014/main" id="{00000000-0008-0000-0000-000023000000}"/>
            </a:ext>
          </a:extLst>
        </xdr:cNvPr>
        <xdr:cNvSpPr txBox="1">
          <a:spLocks noChangeArrowheads="1"/>
        </xdr:cNvSpPr>
      </xdr:nvSpPr>
      <xdr:spPr bwMode="auto">
        <a:xfrm>
          <a:off x="9329792" y="5032928"/>
          <a:ext cx="307788" cy="220373"/>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editAs="absolute">
    <xdr:from>
      <xdr:col>14</xdr:col>
      <xdr:colOff>231806</xdr:colOff>
      <xdr:row>29</xdr:row>
      <xdr:rowOff>34272</xdr:rowOff>
    </xdr:from>
    <xdr:to>
      <xdr:col>15</xdr:col>
      <xdr:colOff>71463</xdr:colOff>
      <xdr:row>30</xdr:row>
      <xdr:rowOff>41627</xdr:rowOff>
    </xdr:to>
    <xdr:sp macro="" textlink="'Variable Management'!B355">
      <xdr:nvSpPr>
        <xdr:cNvPr id="36" name="Text Box 262">
          <a:extLst>
            <a:ext uri="{FF2B5EF4-FFF2-40B4-BE49-F238E27FC236}">
              <a16:creationId xmlns:a16="http://schemas.microsoft.com/office/drawing/2014/main" id="{00000000-0008-0000-0000-000024000000}"/>
            </a:ext>
          </a:extLst>
        </xdr:cNvPr>
        <xdr:cNvSpPr txBox="1">
          <a:spLocks noChangeArrowheads="1" noTextEdit="1"/>
        </xdr:cNvSpPr>
      </xdr:nvSpPr>
      <xdr:spPr bwMode="auto">
        <a:xfrm>
          <a:off x="9016237" y="5967156"/>
          <a:ext cx="420206" cy="223811"/>
        </a:xfrm>
        <a:prstGeom prst="rect">
          <a:avLst/>
        </a:prstGeom>
        <a:noFill/>
        <a:ln w="9525">
          <a:noFill/>
          <a:miter lim="800000"/>
          <a:headEnd/>
          <a:tailEnd/>
        </a:ln>
      </xdr:spPr>
      <xdr:txBody>
        <a:bodyPr vertOverflow="clip" wrap="square" lIns="27432" tIns="22860" rIns="0" bIns="0" anchor="ctr"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100pF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14</xdr:col>
      <xdr:colOff>530283</xdr:colOff>
      <xdr:row>25</xdr:row>
      <xdr:rowOff>72930</xdr:rowOff>
    </xdr:from>
    <xdr:to>
      <xdr:col>15</xdr:col>
      <xdr:colOff>377634</xdr:colOff>
      <xdr:row>26</xdr:row>
      <xdr:rowOff>37183</xdr:rowOff>
    </xdr:to>
    <xdr:sp macro="" textlink="'Variable Management'!B353">
      <xdr:nvSpPr>
        <xdr:cNvPr id="37" name="Text Box 263">
          <a:extLst>
            <a:ext uri="{FF2B5EF4-FFF2-40B4-BE49-F238E27FC236}">
              <a16:creationId xmlns:a16="http://schemas.microsoft.com/office/drawing/2014/main" id="{00000000-0008-0000-0000-000025000000}"/>
            </a:ext>
          </a:extLst>
        </xdr:cNvPr>
        <xdr:cNvSpPr txBox="1">
          <a:spLocks noChangeArrowheads="1" noTextEdit="1"/>
        </xdr:cNvSpPr>
      </xdr:nvSpPr>
      <xdr:spPr bwMode="auto">
        <a:xfrm>
          <a:off x="9293759" y="5227622"/>
          <a:ext cx="458380" cy="224524"/>
        </a:xfrm>
        <a:prstGeom prst="rect">
          <a:avLst/>
        </a:prstGeom>
        <a:noFill/>
        <a:ln w="9525">
          <a:noFill/>
          <a:miter lim="800000"/>
          <a:headEnd/>
          <a:tailEnd/>
        </a:ln>
      </xdr:spPr>
      <xdr:txBody>
        <a:bodyPr vertOverflow="clip" wrap="square" lIns="27432" tIns="22860" rIns="0" bIns="0" anchor="t" upright="1"/>
        <a:lstStyle/>
        <a:p>
          <a:pPr algn="l" rtl="0">
            <a:defRPr sz="1000"/>
          </a:pPr>
          <a:fld id="{EDB14F34-7391-4353-9626-FAE030CE211F}" type="TxLink">
            <a:rPr lang="en-US" sz="900" b="0" i="0" u="none" strike="noStrike" baseline="0">
              <a:solidFill>
                <a:srgbClr val="000000"/>
              </a:solidFill>
              <a:latin typeface="Arial" pitchFamily="34" charset="0"/>
              <a:cs typeface="Arial" pitchFamily="34" charset="0"/>
            </a:rPr>
            <a:pPr algn="l" rtl="0">
              <a:defRPr sz="1000"/>
            </a:pPr>
            <a:t>1.47kΩ</a:t>
          </a:fld>
          <a:endParaRPr lang="el-GR" sz="900" b="0" i="0" u="none" strike="noStrike" baseline="0">
            <a:solidFill>
              <a:srgbClr val="000000"/>
            </a:solidFill>
            <a:latin typeface="Arial" pitchFamily="34" charset="0"/>
            <a:cs typeface="Arial" pitchFamily="34" charset="0"/>
          </a:endParaRPr>
        </a:p>
      </xdr:txBody>
    </xdr:sp>
    <xdr:clientData/>
  </xdr:twoCellAnchor>
  <xdr:twoCellAnchor editAs="absolute">
    <xdr:from>
      <xdr:col>14</xdr:col>
      <xdr:colOff>228660</xdr:colOff>
      <xdr:row>20</xdr:row>
      <xdr:rowOff>34262</xdr:rowOff>
    </xdr:from>
    <xdr:to>
      <xdr:col>15</xdr:col>
      <xdr:colOff>301040</xdr:colOff>
      <xdr:row>21</xdr:row>
      <xdr:rowOff>118094</xdr:rowOff>
    </xdr:to>
    <xdr:sp macro="" textlink="'Variable Management'!B380">
      <xdr:nvSpPr>
        <xdr:cNvPr id="38" name="Text Box 265">
          <a:extLst>
            <a:ext uri="{FF2B5EF4-FFF2-40B4-BE49-F238E27FC236}">
              <a16:creationId xmlns:a16="http://schemas.microsoft.com/office/drawing/2014/main" id="{00000000-0008-0000-0000-000026000000}"/>
            </a:ext>
          </a:extLst>
        </xdr:cNvPr>
        <xdr:cNvSpPr txBox="1">
          <a:spLocks noChangeArrowheads="1" noTextEdit="1"/>
        </xdr:cNvSpPr>
      </xdr:nvSpPr>
      <xdr:spPr bwMode="auto">
        <a:xfrm>
          <a:off x="9003566" y="4290746"/>
          <a:ext cx="679599" cy="264093"/>
        </a:xfrm>
        <a:prstGeom prst="rect">
          <a:avLst/>
        </a:prstGeom>
        <a:noFill/>
        <a:ln w="9525">
          <a:noFill/>
          <a:miter lim="800000"/>
          <a:headEnd/>
          <a:tailEnd/>
        </a:ln>
      </xdr:spPr>
      <xdr:txBody>
        <a:bodyPr vertOverflow="clip" wrap="square" lIns="27432" tIns="22860" rIns="0" bIns="0" anchor="t" upright="1"/>
        <a:lstStyle/>
        <a:p>
          <a:pPr algn="r" rtl="0">
            <a:defRPr sz="1000"/>
          </a:pPr>
          <a:fld id="{30247B59-D142-4194-9028-13C083D6194C}" type="TxLink">
            <a:rPr lang="en-US" sz="1000" b="0" i="0" u="none" strike="noStrike" baseline="0">
              <a:solidFill>
                <a:srgbClr val="000000"/>
              </a:solidFill>
              <a:latin typeface="Arialri"/>
              <a:cs typeface="Arial" pitchFamily="34" charset="0"/>
            </a:rPr>
            <a:pPr algn="r" rtl="0">
              <a:defRPr sz="1000"/>
            </a:pPr>
            <a:t>10.5kΩ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11</xdr:col>
      <xdr:colOff>644401</xdr:colOff>
      <xdr:row>14</xdr:row>
      <xdr:rowOff>185995</xdr:rowOff>
    </xdr:from>
    <xdr:to>
      <xdr:col>12</xdr:col>
      <xdr:colOff>308730</xdr:colOff>
      <xdr:row>15</xdr:row>
      <xdr:rowOff>156899</xdr:rowOff>
    </xdr:to>
    <xdr:sp macro="" textlink="'Variable Management'!B345">
      <xdr:nvSpPr>
        <xdr:cNvPr id="39" name="Text Box 267">
          <a:extLst>
            <a:ext uri="{FF2B5EF4-FFF2-40B4-BE49-F238E27FC236}">
              <a16:creationId xmlns:a16="http://schemas.microsoft.com/office/drawing/2014/main" id="{00000000-0008-0000-0000-000027000000}"/>
            </a:ext>
          </a:extLst>
        </xdr:cNvPr>
        <xdr:cNvSpPr txBox="1">
          <a:spLocks noChangeArrowheads="1" noTextEdit="1"/>
        </xdr:cNvSpPr>
      </xdr:nvSpPr>
      <xdr:spPr bwMode="auto">
        <a:xfrm>
          <a:off x="7365241" y="3213040"/>
          <a:ext cx="500624" cy="207124"/>
        </a:xfrm>
        <a:prstGeom prst="rect">
          <a:avLst/>
        </a:prstGeom>
        <a:noFill/>
        <a:ln w="9525">
          <a:noFill/>
          <a:miter lim="800000"/>
          <a:headEnd/>
          <a:tailEnd/>
        </a:ln>
      </xdr:spPr>
      <xdr:txBody>
        <a:bodyPr vertOverflow="clip" wrap="square" lIns="27432" tIns="22860" rIns="0" bIns="0" anchor="ctr" upright="1"/>
        <a:lstStyle/>
        <a:p>
          <a:pPr algn="r" rtl="0">
            <a:defRPr sz="1000"/>
          </a:pPr>
          <a:fld id="{DEF62FD0-959B-4627-B7E8-61CA1688D174}" type="TxLink">
            <a:rPr lang="en-US" sz="1000" b="0" i="0" u="none" strike="noStrike" baseline="0">
              <a:solidFill>
                <a:srgbClr val="000000"/>
              </a:solidFill>
              <a:latin typeface="Arial" pitchFamily="34" charset="0"/>
              <a:cs typeface="Arial" pitchFamily="34" charset="0"/>
            </a:rPr>
            <a:pPr algn="r" rtl="0">
              <a:defRPr sz="1000"/>
            </a:pPr>
            <a:t>5µF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13</xdr:col>
      <xdr:colOff>42238</xdr:colOff>
      <xdr:row>13</xdr:row>
      <xdr:rowOff>72038</xdr:rowOff>
    </xdr:from>
    <xdr:to>
      <xdr:col>13</xdr:col>
      <xdr:colOff>496636</xdr:colOff>
      <xdr:row>14</xdr:row>
      <xdr:rowOff>71581</xdr:rowOff>
    </xdr:to>
    <xdr:sp macro="" textlink="'Variable Management'!B339">
      <xdr:nvSpPr>
        <xdr:cNvPr id="40" name="Text Box 275">
          <a:extLst>
            <a:ext uri="{FF2B5EF4-FFF2-40B4-BE49-F238E27FC236}">
              <a16:creationId xmlns:a16="http://schemas.microsoft.com/office/drawing/2014/main" id="{00000000-0008-0000-0000-000028000000}"/>
            </a:ext>
          </a:extLst>
        </xdr:cNvPr>
        <xdr:cNvSpPr txBox="1">
          <a:spLocks noChangeArrowheads="1" noTextEdit="1"/>
        </xdr:cNvSpPr>
      </xdr:nvSpPr>
      <xdr:spPr bwMode="auto">
        <a:xfrm>
          <a:off x="8197396" y="2854071"/>
          <a:ext cx="446778" cy="209825"/>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2.2µH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12</xdr:col>
      <xdr:colOff>605900</xdr:colOff>
      <xdr:row>7</xdr:row>
      <xdr:rowOff>76080</xdr:rowOff>
    </xdr:from>
    <xdr:to>
      <xdr:col>13</xdr:col>
      <xdr:colOff>458625</xdr:colOff>
      <xdr:row>8</xdr:row>
      <xdr:rowOff>118821</xdr:rowOff>
    </xdr:to>
    <xdr:sp macro="" textlink="'Variable Management'!B349">
      <xdr:nvSpPr>
        <xdr:cNvPr id="41" name="Text Box 276">
          <a:extLst>
            <a:ext uri="{FF2B5EF4-FFF2-40B4-BE49-F238E27FC236}">
              <a16:creationId xmlns:a16="http://schemas.microsoft.com/office/drawing/2014/main" id="{00000000-0008-0000-0000-000029000000}"/>
            </a:ext>
          </a:extLst>
        </xdr:cNvPr>
        <xdr:cNvSpPr txBox="1">
          <a:spLocks noChangeArrowheads="1" noTextEdit="1"/>
        </xdr:cNvSpPr>
      </xdr:nvSpPr>
      <xdr:spPr bwMode="auto">
        <a:xfrm>
          <a:off x="8145890" y="1838205"/>
          <a:ext cx="475660" cy="223716"/>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000" b="0" i="0" u="none" strike="noStrike" baseline="0">
              <a:solidFill>
                <a:srgbClr val="000000"/>
              </a:solidFill>
              <a:latin typeface="Arial" pitchFamily="34" charset="0"/>
              <a:cs typeface="Arial" pitchFamily="34" charset="0"/>
            </a:rPr>
            <a:pPr algn="l" rtl="0">
              <a:defRPr sz="1000"/>
            </a:pPr>
            <a:t>50µF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500001</xdr:colOff>
      <xdr:row>31</xdr:row>
      <xdr:rowOff>80936</xdr:rowOff>
    </xdr:from>
    <xdr:to>
      <xdr:col>16</xdr:col>
      <xdr:colOff>949074</xdr:colOff>
      <xdr:row>32</xdr:row>
      <xdr:rowOff>73213</xdr:rowOff>
    </xdr:to>
    <xdr:sp macro="" textlink="'Variable Management'!B381">
      <xdr:nvSpPr>
        <xdr:cNvPr id="42" name="Text Box 281">
          <a:extLst>
            <a:ext uri="{FF2B5EF4-FFF2-40B4-BE49-F238E27FC236}">
              <a16:creationId xmlns:a16="http://schemas.microsoft.com/office/drawing/2014/main" id="{00000000-0008-0000-0000-00002A000000}"/>
            </a:ext>
          </a:extLst>
        </xdr:cNvPr>
        <xdr:cNvSpPr txBox="1">
          <a:spLocks noChangeArrowheads="1" noTextEdit="1"/>
        </xdr:cNvSpPr>
      </xdr:nvSpPr>
      <xdr:spPr bwMode="auto">
        <a:xfrm>
          <a:off x="10562731" y="6399128"/>
          <a:ext cx="437643" cy="237676"/>
        </a:xfrm>
        <a:prstGeom prst="rect">
          <a:avLst/>
        </a:prstGeom>
        <a:noFill/>
        <a:ln w="9525">
          <a:noFill/>
          <a:miter lim="800000"/>
          <a:headEnd/>
          <a:tailEnd/>
        </a:ln>
      </xdr:spPr>
      <xdr:txBody>
        <a:bodyPr vertOverflow="clip" wrap="square" lIns="27432" tIns="22860" rIns="0" bIns="0" anchor="t" upright="1"/>
        <a:lstStyle/>
        <a:p>
          <a:pPr algn="ctr" rtl="0">
            <a:defRPr sz="1000"/>
          </a:pPr>
          <a:fld id="{77460045-3ADA-4E36-A50B-8C5C548E137C}" type="TxLink">
            <a:rPr lang="en-US" sz="1000" b="0" i="0" u="none" strike="noStrike">
              <a:solidFill>
                <a:srgbClr val="000000"/>
              </a:solidFill>
              <a:latin typeface="Arial" pitchFamily="34" charset="0"/>
              <a:cs typeface="Arial" pitchFamily="34" charset="0"/>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10</xdr:col>
      <xdr:colOff>414850</xdr:colOff>
      <xdr:row>12</xdr:row>
      <xdr:rowOff>79996</xdr:rowOff>
    </xdr:from>
    <xdr:to>
      <xdr:col>11</xdr:col>
      <xdr:colOff>385209</xdr:colOff>
      <xdr:row>13</xdr:row>
      <xdr:rowOff>156968</xdr:rowOff>
    </xdr:to>
    <xdr:sp macro="" textlink="'Variable Management'!B343">
      <xdr:nvSpPr>
        <xdr:cNvPr id="43" name="Text Box 285">
          <a:extLst>
            <a:ext uri="{FF2B5EF4-FFF2-40B4-BE49-F238E27FC236}">
              <a16:creationId xmlns:a16="http://schemas.microsoft.com/office/drawing/2014/main" id="{00000000-0008-0000-0000-00002B000000}"/>
            </a:ext>
          </a:extLst>
        </xdr:cNvPr>
        <xdr:cNvSpPr txBox="1">
          <a:spLocks noChangeArrowheads="1" noTextEdit="1"/>
        </xdr:cNvSpPr>
      </xdr:nvSpPr>
      <xdr:spPr bwMode="auto">
        <a:xfrm>
          <a:off x="6616944" y="2708749"/>
          <a:ext cx="483537" cy="241682"/>
        </a:xfrm>
        <a:prstGeom prst="rect">
          <a:avLst/>
        </a:prstGeom>
        <a:noFill/>
        <a:ln w="9525">
          <a:noFill/>
          <a:miter lim="800000"/>
          <a:headEnd/>
          <a:tailEnd/>
        </a:ln>
      </xdr:spPr>
      <xdr:txBody>
        <a:bodyPr vertOverflow="clip" wrap="square" lIns="27432" tIns="22860" rIns="0" bIns="0" anchor="ctr" upright="1"/>
        <a:lstStyle/>
        <a:p>
          <a:pPr algn="r" rtl="0">
            <a:defRPr sz="1000"/>
          </a:pPr>
          <a:fld id="{702C2B8A-7C4B-4FDB-B229-3170089D9686}" type="TxLink">
            <a:rPr lang="en-US" sz="1000" b="1" i="0" u="none" strike="noStrike" baseline="0">
              <a:solidFill>
                <a:srgbClr val="FF0000"/>
              </a:solidFill>
              <a:latin typeface="Arial" pitchFamily="34" charset="0"/>
              <a:cs typeface="Arial" pitchFamily="34" charset="0"/>
            </a:rPr>
            <a:pPr algn="r" rtl="0">
              <a:defRPr sz="1000"/>
            </a:pPr>
            <a:t>5V</a:t>
          </a:fld>
          <a:endParaRPr lang="en-US" sz="1000" b="1" i="0" u="none" strike="noStrike" baseline="0">
            <a:solidFill>
              <a:srgbClr val="FF0000"/>
            </a:solidFill>
            <a:latin typeface="Arial" pitchFamily="34" charset="0"/>
            <a:cs typeface="Arial" pitchFamily="34" charset="0"/>
          </a:endParaRPr>
        </a:p>
      </xdr:txBody>
    </xdr:sp>
    <xdr:clientData/>
  </xdr:twoCellAnchor>
  <xdr:twoCellAnchor editAs="absolute">
    <xdr:from>
      <xdr:col>10</xdr:col>
      <xdr:colOff>421835</xdr:colOff>
      <xdr:row>13</xdr:row>
      <xdr:rowOff>117471</xdr:rowOff>
    </xdr:from>
    <xdr:to>
      <xdr:col>11</xdr:col>
      <xdr:colOff>377998</xdr:colOff>
      <xdr:row>14</xdr:row>
      <xdr:rowOff>148570</xdr:rowOff>
    </xdr:to>
    <xdr:sp macro="" textlink="'Variable Management'!B386">
      <xdr:nvSpPr>
        <xdr:cNvPr id="44" name="Text Box 286">
          <a:extLst>
            <a:ext uri="{FF2B5EF4-FFF2-40B4-BE49-F238E27FC236}">
              <a16:creationId xmlns:a16="http://schemas.microsoft.com/office/drawing/2014/main" id="{00000000-0008-0000-0000-00002C000000}"/>
            </a:ext>
          </a:extLst>
        </xdr:cNvPr>
        <xdr:cNvSpPr txBox="1">
          <a:spLocks noChangeArrowheads="1" noTextEdit="1"/>
        </xdr:cNvSpPr>
      </xdr:nvSpPr>
      <xdr:spPr bwMode="auto">
        <a:xfrm>
          <a:off x="6627739" y="2912839"/>
          <a:ext cx="457911" cy="243286"/>
        </a:xfrm>
        <a:prstGeom prst="rect">
          <a:avLst/>
        </a:prstGeom>
        <a:noFill/>
        <a:ln w="9525">
          <a:noFill/>
          <a:miter lim="800000"/>
          <a:headEnd/>
          <a:tailEnd/>
        </a:ln>
      </xdr:spPr>
      <xdr:txBody>
        <a:bodyPr vertOverflow="clip" wrap="square" lIns="27432" tIns="22860" rIns="0" bIns="0" anchor="t" upright="1"/>
        <a:lstStyle/>
        <a:p>
          <a:pPr algn="r" rtl="0">
            <a:defRPr sz="1000"/>
          </a:pPr>
          <a:fld id="{E0FB88FA-F39E-4ACF-AB5E-DCB628763AAE}" type="TxLink">
            <a:rPr lang="en-US" sz="1000" b="1" i="0" u="none" strike="noStrike">
              <a:solidFill>
                <a:srgbClr val="FF0000"/>
              </a:solidFill>
              <a:latin typeface="Arial" pitchFamily="34" charset="0"/>
              <a:cs typeface="Arial" pitchFamily="34" charset="0"/>
            </a:rPr>
            <a:pPr algn="r" rtl="0">
              <a:defRPr sz="1000"/>
            </a:pPr>
            <a:t>5A</a:t>
          </a:fld>
          <a:endParaRPr lang="en-US" sz="1000" b="1" i="0" strike="noStrike">
            <a:solidFill>
              <a:srgbClr val="FF0000"/>
            </a:solidFill>
            <a:latin typeface="Arial" pitchFamily="34" charset="0"/>
            <a:cs typeface="Arial" pitchFamily="34" charset="0"/>
          </a:endParaRPr>
        </a:p>
      </xdr:txBody>
    </xdr:sp>
    <xdr:clientData/>
  </xdr:twoCellAnchor>
  <xdr:twoCellAnchor editAs="absolute">
    <xdr:from>
      <xdr:col>14</xdr:col>
      <xdr:colOff>499564</xdr:colOff>
      <xdr:row>18</xdr:row>
      <xdr:rowOff>71593</xdr:rowOff>
    </xdr:from>
    <xdr:to>
      <xdr:col>15</xdr:col>
      <xdr:colOff>155886</xdr:colOff>
      <xdr:row>19</xdr:row>
      <xdr:rowOff>74813</xdr:rowOff>
    </xdr:to>
    <xdr:sp macro="" textlink="">
      <xdr:nvSpPr>
        <xdr:cNvPr id="45" name="Text Box 251">
          <a:extLst>
            <a:ext uri="{FF2B5EF4-FFF2-40B4-BE49-F238E27FC236}">
              <a16:creationId xmlns:a16="http://schemas.microsoft.com/office/drawing/2014/main" id="{00000000-0008-0000-0000-00002D000000}"/>
            </a:ext>
          </a:extLst>
        </xdr:cNvPr>
        <xdr:cNvSpPr txBox="1">
          <a:spLocks noChangeArrowheads="1"/>
        </xdr:cNvSpPr>
      </xdr:nvSpPr>
      <xdr:spPr bwMode="auto">
        <a:xfrm>
          <a:off x="9282090" y="3968032"/>
          <a:ext cx="263541" cy="19300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T</a:t>
          </a:r>
        </a:p>
      </xdr:txBody>
    </xdr:sp>
    <xdr:clientData/>
  </xdr:twoCellAnchor>
  <xdr:twoCellAnchor editAs="absolute">
    <xdr:from>
      <xdr:col>16</xdr:col>
      <xdr:colOff>3043321</xdr:colOff>
      <xdr:row>10</xdr:row>
      <xdr:rowOff>3704</xdr:rowOff>
    </xdr:from>
    <xdr:to>
      <xdr:col>16</xdr:col>
      <xdr:colOff>3502303</xdr:colOff>
      <xdr:row>11</xdr:row>
      <xdr:rowOff>34574</xdr:rowOff>
    </xdr:to>
    <xdr:sp macro="" textlink="">
      <xdr:nvSpPr>
        <xdr:cNvPr id="46" name="Text Box 247">
          <a:extLst>
            <a:ext uri="{FF2B5EF4-FFF2-40B4-BE49-F238E27FC236}">
              <a16:creationId xmlns:a16="http://schemas.microsoft.com/office/drawing/2014/main" id="{00000000-0008-0000-0000-00002E000000}"/>
            </a:ext>
          </a:extLst>
        </xdr:cNvPr>
        <xdr:cNvSpPr txBox="1">
          <a:spLocks noChangeArrowheads="1"/>
        </xdr:cNvSpPr>
      </xdr:nvSpPr>
      <xdr:spPr bwMode="auto">
        <a:xfrm>
          <a:off x="13086957" y="2295657"/>
          <a:ext cx="462792" cy="22565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13</xdr:col>
      <xdr:colOff>305354</xdr:colOff>
      <xdr:row>14</xdr:row>
      <xdr:rowOff>117699</xdr:rowOff>
    </xdr:from>
    <xdr:to>
      <xdr:col>14</xdr:col>
      <xdr:colOff>33379</xdr:colOff>
      <xdr:row>15</xdr:row>
      <xdr:rowOff>147684</xdr:rowOff>
    </xdr:to>
    <xdr:sp macro="" textlink="">
      <xdr:nvSpPr>
        <xdr:cNvPr id="47" name="Text Box 244">
          <a:extLst>
            <a:ext uri="{FF2B5EF4-FFF2-40B4-BE49-F238E27FC236}">
              <a16:creationId xmlns:a16="http://schemas.microsoft.com/office/drawing/2014/main" id="{00000000-0008-0000-0000-00002F000000}"/>
            </a:ext>
          </a:extLst>
        </xdr:cNvPr>
        <xdr:cNvSpPr txBox="1">
          <a:spLocks noChangeArrowheads="1"/>
        </xdr:cNvSpPr>
      </xdr:nvSpPr>
      <xdr:spPr bwMode="auto">
        <a:xfrm>
          <a:off x="8452892" y="3129064"/>
          <a:ext cx="320920" cy="242320"/>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editAs="absolute">
    <xdr:from>
      <xdr:col>13</xdr:col>
      <xdr:colOff>461218</xdr:colOff>
      <xdr:row>10</xdr:row>
      <xdr:rowOff>187181</xdr:rowOff>
    </xdr:from>
    <xdr:to>
      <xdr:col>14</xdr:col>
      <xdr:colOff>186464</xdr:colOff>
      <xdr:row>12</xdr:row>
      <xdr:rowOff>77208</xdr:rowOff>
    </xdr:to>
    <xdr:sp macro="" textlink="">
      <xdr:nvSpPr>
        <xdr:cNvPr id="48" name="Text Box 244">
          <a:extLst>
            <a:ext uri="{FF2B5EF4-FFF2-40B4-BE49-F238E27FC236}">
              <a16:creationId xmlns:a16="http://schemas.microsoft.com/office/drawing/2014/main" id="{00000000-0008-0000-0000-000030000000}"/>
            </a:ext>
          </a:extLst>
        </xdr:cNvPr>
        <xdr:cNvSpPr txBox="1">
          <a:spLocks noChangeArrowheads="1"/>
        </xdr:cNvSpPr>
      </xdr:nvSpPr>
      <xdr:spPr bwMode="auto">
        <a:xfrm>
          <a:off x="8616376" y="2436253"/>
          <a:ext cx="318141" cy="26399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editAs="absolute">
    <xdr:from>
      <xdr:col>12</xdr:col>
      <xdr:colOff>148033</xdr:colOff>
      <xdr:row>11</xdr:row>
      <xdr:rowOff>41597</xdr:rowOff>
    </xdr:from>
    <xdr:to>
      <xdr:col>13</xdr:col>
      <xdr:colOff>34618</xdr:colOff>
      <xdr:row>12</xdr:row>
      <xdr:rowOff>148829</xdr:rowOff>
    </xdr:to>
    <xdr:sp macro="" textlink="'Variable Management'!B341">
      <xdr:nvSpPr>
        <xdr:cNvPr id="49" name="Text Box 275">
          <a:extLst>
            <a:ext uri="{FF2B5EF4-FFF2-40B4-BE49-F238E27FC236}">
              <a16:creationId xmlns:a16="http://schemas.microsoft.com/office/drawing/2014/main" id="{00000000-0008-0000-0000-000031000000}"/>
            </a:ext>
          </a:extLst>
        </xdr:cNvPr>
        <xdr:cNvSpPr txBox="1">
          <a:spLocks noChangeArrowheads="1" noTextEdit="1"/>
        </xdr:cNvSpPr>
      </xdr:nvSpPr>
      <xdr:spPr bwMode="auto">
        <a:xfrm>
          <a:off x="7683627" y="2501831"/>
          <a:ext cx="479479" cy="268131"/>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10mΩ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3386703</xdr:colOff>
      <xdr:row>7</xdr:row>
      <xdr:rowOff>149468</xdr:rowOff>
    </xdr:from>
    <xdr:to>
      <xdr:col>16</xdr:col>
      <xdr:colOff>3814436</xdr:colOff>
      <xdr:row>9</xdr:row>
      <xdr:rowOff>37570</xdr:rowOff>
    </xdr:to>
    <xdr:sp macro="" textlink="">
      <xdr:nvSpPr>
        <xdr:cNvPr id="50" name="Text Box 279">
          <a:extLst>
            <a:ext uri="{FF2B5EF4-FFF2-40B4-BE49-F238E27FC236}">
              <a16:creationId xmlns:a16="http://schemas.microsoft.com/office/drawing/2014/main" id="{00000000-0008-0000-0000-000032000000}"/>
            </a:ext>
          </a:extLst>
        </xdr:cNvPr>
        <xdr:cNvSpPr txBox="1">
          <a:spLocks noChangeArrowheads="1"/>
        </xdr:cNvSpPr>
      </xdr:nvSpPr>
      <xdr:spPr bwMode="auto">
        <a:xfrm>
          <a:off x="13430339" y="1921594"/>
          <a:ext cx="450593" cy="23528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3805960</xdr:colOff>
      <xdr:row>14</xdr:row>
      <xdr:rowOff>80110</xdr:rowOff>
    </xdr:from>
    <xdr:to>
      <xdr:col>16</xdr:col>
      <xdr:colOff>4072217</xdr:colOff>
      <xdr:row>15</xdr:row>
      <xdr:rowOff>155947</xdr:rowOff>
    </xdr:to>
    <xdr:sp macro="" textlink="">
      <xdr:nvSpPr>
        <xdr:cNvPr id="51" name="Text Box 244">
          <a:extLst>
            <a:ext uri="{FF2B5EF4-FFF2-40B4-BE49-F238E27FC236}">
              <a16:creationId xmlns:a16="http://schemas.microsoft.com/office/drawing/2014/main" id="{00000000-0008-0000-0000-000033000000}"/>
            </a:ext>
          </a:extLst>
        </xdr:cNvPr>
        <xdr:cNvSpPr txBox="1">
          <a:spLocks noChangeArrowheads="1"/>
        </xdr:cNvSpPr>
      </xdr:nvSpPr>
      <xdr:spPr bwMode="auto">
        <a:xfrm>
          <a:off x="13830510" y="3095285"/>
          <a:ext cx="275782" cy="28817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editAs="absolute">
    <xdr:from>
      <xdr:col>16</xdr:col>
      <xdr:colOff>3806350</xdr:colOff>
      <xdr:row>10</xdr:row>
      <xdr:rowOff>186009</xdr:rowOff>
    </xdr:from>
    <xdr:to>
      <xdr:col>16</xdr:col>
      <xdr:colOff>4075733</xdr:colOff>
      <xdr:row>12</xdr:row>
      <xdr:rowOff>71857</xdr:rowOff>
    </xdr:to>
    <xdr:sp macro="" textlink="">
      <xdr:nvSpPr>
        <xdr:cNvPr id="52" name="Text Box 244">
          <a:extLst>
            <a:ext uri="{FF2B5EF4-FFF2-40B4-BE49-F238E27FC236}">
              <a16:creationId xmlns:a16="http://schemas.microsoft.com/office/drawing/2014/main" id="{00000000-0008-0000-0000-000034000000}"/>
            </a:ext>
          </a:extLst>
        </xdr:cNvPr>
        <xdr:cNvSpPr txBox="1">
          <a:spLocks noChangeArrowheads="1"/>
        </xdr:cNvSpPr>
      </xdr:nvSpPr>
      <xdr:spPr bwMode="auto">
        <a:xfrm>
          <a:off x="13836615" y="2427461"/>
          <a:ext cx="277003" cy="26171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editAs="absolute">
    <xdr:from>
      <xdr:col>14</xdr:col>
      <xdr:colOff>72303</xdr:colOff>
      <xdr:row>25</xdr:row>
      <xdr:rowOff>1677</xdr:rowOff>
    </xdr:from>
    <xdr:to>
      <xdr:col>14</xdr:col>
      <xdr:colOff>568294</xdr:colOff>
      <xdr:row>26</xdr:row>
      <xdr:rowOff>1239</xdr:rowOff>
    </xdr:to>
    <xdr:sp macro="" textlink="'Variable Management'!B354">
      <xdr:nvSpPr>
        <xdr:cNvPr id="53" name="Text Box 261">
          <a:extLst>
            <a:ext uri="{FF2B5EF4-FFF2-40B4-BE49-F238E27FC236}">
              <a16:creationId xmlns:a16="http://schemas.microsoft.com/office/drawing/2014/main" id="{00000000-0008-0000-0000-000035000000}"/>
            </a:ext>
          </a:extLst>
        </xdr:cNvPr>
        <xdr:cNvSpPr txBox="1">
          <a:spLocks noChangeArrowheads="1" noTextEdit="1"/>
        </xdr:cNvSpPr>
      </xdr:nvSpPr>
      <xdr:spPr bwMode="auto">
        <a:xfrm>
          <a:off x="8825778" y="5135652"/>
          <a:ext cx="505516" cy="243402"/>
        </a:xfrm>
        <a:prstGeom prst="rect">
          <a:avLst/>
        </a:prstGeom>
        <a:noFill/>
        <a:ln w="9525">
          <a:noFill/>
          <a:miter lim="800000"/>
          <a:headEnd/>
          <a:tailEnd/>
        </a:ln>
      </xdr:spPr>
      <xdr:txBody>
        <a:bodyPr vertOverflow="clip" wrap="square" lIns="27432" tIns="22860" rIns="0" bIns="0" anchor="t" upright="1"/>
        <a:lstStyle/>
        <a:p>
          <a:pPr algn="ctr" rtl="0">
            <a:defRPr sz="1000"/>
          </a:pPr>
          <a:fld id="{B9060F6D-CAA3-48E6-BAE7-37C16D6980D0}" type="TxLink">
            <a:rPr lang="en-US" sz="900" b="0" i="0" u="none" strike="noStrike" baseline="0">
              <a:solidFill>
                <a:srgbClr val="000000"/>
              </a:solidFill>
              <a:latin typeface="Arialri"/>
              <a:cs typeface="Arial" pitchFamily="34" charset="0"/>
            </a:rPr>
            <a:pPr algn="ctr" rtl="0">
              <a:defRPr sz="1000"/>
            </a:pPr>
            <a:t>18nF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12</xdr:col>
      <xdr:colOff>110504</xdr:colOff>
      <xdr:row>5</xdr:row>
      <xdr:rowOff>117524</xdr:rowOff>
    </xdr:from>
    <xdr:to>
      <xdr:col>13</xdr:col>
      <xdr:colOff>492417</xdr:colOff>
      <xdr:row>7</xdr:row>
      <xdr:rowOff>3513</xdr:rowOff>
    </xdr:to>
    <xdr:sp macro="" textlink="'Variable Management'!B388">
      <xdr:nvSpPr>
        <xdr:cNvPr id="54" name="Text Box 283">
          <a:extLst>
            <a:ext uri="{FF2B5EF4-FFF2-40B4-BE49-F238E27FC236}">
              <a16:creationId xmlns:a16="http://schemas.microsoft.com/office/drawing/2014/main" id="{00000000-0008-0000-0000-000036000000}"/>
            </a:ext>
          </a:extLst>
        </xdr:cNvPr>
        <xdr:cNvSpPr txBox="1">
          <a:spLocks noChangeArrowheads="1" noTextEdit="1"/>
        </xdr:cNvSpPr>
      </xdr:nvSpPr>
      <xdr:spPr bwMode="auto">
        <a:xfrm>
          <a:off x="7644193" y="1504217"/>
          <a:ext cx="995762" cy="258051"/>
        </a:xfrm>
        <a:prstGeom prst="rect">
          <a:avLst/>
        </a:prstGeom>
        <a:noFill/>
        <a:ln w="9525">
          <a:noFill/>
          <a:miter lim="800000"/>
          <a:headEnd/>
          <a:tailEnd/>
        </a:ln>
      </xdr:spPr>
      <xdr:txBody>
        <a:bodyPr vertOverflow="clip" wrap="square" lIns="27432" tIns="22860" rIns="0" bIns="0" anchor="t" upright="1"/>
        <a:lstStyle/>
        <a:p>
          <a:pPr algn="l" rtl="0">
            <a:defRPr sz="1000"/>
          </a:pPr>
          <a:fld id="{B114F7CE-60BB-40BD-BD7F-B22E7592FFCF}" type="TxLink">
            <a:rPr lang="en-US" sz="1050" b="1" i="0" u="none" strike="noStrike">
              <a:solidFill>
                <a:srgbClr val="FF0000"/>
              </a:solidFill>
              <a:latin typeface="Arial"/>
              <a:cs typeface="Arial"/>
            </a:rPr>
            <a:pPr algn="l" rtl="0">
              <a:defRPr sz="1000"/>
            </a:pPr>
            <a:t>20V...26V</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15</xdr:col>
      <xdr:colOff>415865</xdr:colOff>
      <xdr:row>6</xdr:row>
      <xdr:rowOff>72249</xdr:rowOff>
    </xdr:from>
    <xdr:to>
      <xdr:col>16</xdr:col>
      <xdr:colOff>147842</xdr:colOff>
      <xdr:row>7</xdr:row>
      <xdr:rowOff>148158</xdr:rowOff>
    </xdr:to>
    <xdr:sp macro="" textlink="">
      <xdr:nvSpPr>
        <xdr:cNvPr id="55" name="Text Box 248">
          <a:extLst>
            <a:ext uri="{FF2B5EF4-FFF2-40B4-BE49-F238E27FC236}">
              <a16:creationId xmlns:a16="http://schemas.microsoft.com/office/drawing/2014/main" id="{00000000-0008-0000-0000-000037000000}"/>
            </a:ext>
          </a:extLst>
        </xdr:cNvPr>
        <xdr:cNvSpPr txBox="1">
          <a:spLocks noChangeArrowheads="1"/>
        </xdr:cNvSpPr>
      </xdr:nvSpPr>
      <xdr:spPr bwMode="auto">
        <a:xfrm>
          <a:off x="9762528" y="1647244"/>
          <a:ext cx="407959" cy="23871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16</xdr:col>
      <xdr:colOff>1786051</xdr:colOff>
      <xdr:row>31</xdr:row>
      <xdr:rowOff>41823</xdr:rowOff>
    </xdr:from>
    <xdr:to>
      <xdr:col>16</xdr:col>
      <xdr:colOff>2206048</xdr:colOff>
      <xdr:row>32</xdr:row>
      <xdr:rowOff>39813</xdr:rowOff>
    </xdr:to>
    <xdr:sp macro="" textlink="">
      <xdr:nvSpPr>
        <xdr:cNvPr id="56" name="Text Box 279">
          <a:extLst>
            <a:ext uri="{FF2B5EF4-FFF2-40B4-BE49-F238E27FC236}">
              <a16:creationId xmlns:a16="http://schemas.microsoft.com/office/drawing/2014/main" id="{00000000-0008-0000-0000-000038000000}"/>
            </a:ext>
          </a:extLst>
        </xdr:cNvPr>
        <xdr:cNvSpPr txBox="1">
          <a:spLocks noChangeArrowheads="1"/>
        </xdr:cNvSpPr>
      </xdr:nvSpPr>
      <xdr:spPr bwMode="auto">
        <a:xfrm>
          <a:off x="11827306" y="6328323"/>
          <a:ext cx="427617" cy="2361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470nF</a:t>
          </a:r>
          <a:endParaRPr lang="en-US" sz="1000">
            <a:latin typeface="Arial" pitchFamily="34" charset="0"/>
            <a:cs typeface="Arial" pitchFamily="34" charset="0"/>
          </a:endParaRPr>
        </a:p>
      </xdr:txBody>
    </xdr:sp>
    <xdr:clientData/>
  </xdr:twoCellAnchor>
  <xdr:twoCellAnchor editAs="absolute">
    <xdr:from>
      <xdr:col>14</xdr:col>
      <xdr:colOff>415616</xdr:colOff>
      <xdr:row>10</xdr:row>
      <xdr:rowOff>1830</xdr:rowOff>
    </xdr:from>
    <xdr:to>
      <xdr:col>15</xdr:col>
      <xdr:colOff>263093</xdr:colOff>
      <xdr:row>11</xdr:row>
      <xdr:rowOff>34605</xdr:rowOff>
    </xdr:to>
    <xdr:sp macro="" textlink="">
      <xdr:nvSpPr>
        <xdr:cNvPr id="57" name="Text Box 247">
          <a:extLst>
            <a:ext uri="{FF2B5EF4-FFF2-40B4-BE49-F238E27FC236}">
              <a16:creationId xmlns:a16="http://schemas.microsoft.com/office/drawing/2014/main" id="{00000000-0008-0000-0000-000039000000}"/>
            </a:ext>
          </a:extLst>
        </xdr:cNvPr>
        <xdr:cNvSpPr txBox="1">
          <a:spLocks noChangeArrowheads="1"/>
        </xdr:cNvSpPr>
      </xdr:nvSpPr>
      <xdr:spPr bwMode="auto">
        <a:xfrm>
          <a:off x="9175282" y="2293783"/>
          <a:ext cx="460411" cy="22565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14</xdr:col>
      <xdr:colOff>186554</xdr:colOff>
      <xdr:row>6</xdr:row>
      <xdr:rowOff>109822</xdr:rowOff>
    </xdr:from>
    <xdr:to>
      <xdr:col>14</xdr:col>
      <xdr:colOff>568278</xdr:colOff>
      <xdr:row>8</xdr:row>
      <xdr:rowOff>2979</xdr:rowOff>
    </xdr:to>
    <xdr:sp macro="" textlink="">
      <xdr:nvSpPr>
        <xdr:cNvPr id="58" name="Text Box 249">
          <a:extLst>
            <a:ext uri="{FF2B5EF4-FFF2-40B4-BE49-F238E27FC236}">
              <a16:creationId xmlns:a16="http://schemas.microsoft.com/office/drawing/2014/main" id="{00000000-0008-0000-0000-00003A000000}"/>
            </a:ext>
          </a:extLst>
        </xdr:cNvPr>
        <xdr:cNvSpPr txBox="1">
          <a:spLocks noChangeArrowheads="1"/>
        </xdr:cNvSpPr>
      </xdr:nvSpPr>
      <xdr:spPr bwMode="auto">
        <a:xfrm>
          <a:off x="8957174" y="1683352"/>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VCC1</a:t>
          </a:r>
        </a:p>
      </xdr:txBody>
    </xdr:sp>
    <xdr:clientData/>
  </xdr:twoCellAnchor>
  <xdr:twoCellAnchor editAs="absolute">
    <xdr:from>
      <xdr:col>14</xdr:col>
      <xdr:colOff>224343</xdr:colOff>
      <xdr:row>8</xdr:row>
      <xdr:rowOff>694</xdr:rowOff>
    </xdr:from>
    <xdr:to>
      <xdr:col>15</xdr:col>
      <xdr:colOff>42036</xdr:colOff>
      <xdr:row>9</xdr:row>
      <xdr:rowOff>72867</xdr:rowOff>
    </xdr:to>
    <xdr:sp macro="" textlink="">
      <xdr:nvSpPr>
        <xdr:cNvPr id="59" name="Text Box 279">
          <a:extLst>
            <a:ext uri="{FF2B5EF4-FFF2-40B4-BE49-F238E27FC236}">
              <a16:creationId xmlns:a16="http://schemas.microsoft.com/office/drawing/2014/main" id="{00000000-0008-0000-0000-00003B000000}"/>
            </a:ext>
          </a:extLst>
        </xdr:cNvPr>
        <xdr:cNvSpPr txBox="1">
          <a:spLocks noChangeArrowheads="1"/>
        </xdr:cNvSpPr>
      </xdr:nvSpPr>
      <xdr:spPr bwMode="auto">
        <a:xfrm>
          <a:off x="8979723" y="1930459"/>
          <a:ext cx="452058" cy="234098"/>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4042037</xdr:colOff>
      <xdr:row>11</xdr:row>
      <xdr:rowOff>40979</xdr:rowOff>
    </xdr:from>
    <xdr:to>
      <xdr:col>16</xdr:col>
      <xdr:colOff>4384973</xdr:colOff>
      <xdr:row>12</xdr:row>
      <xdr:rowOff>148846</xdr:rowOff>
    </xdr:to>
    <xdr:sp macro="" textlink="">
      <xdr:nvSpPr>
        <xdr:cNvPr id="60" name="Text Box 235">
          <a:extLst>
            <a:ext uri="{FF2B5EF4-FFF2-40B4-BE49-F238E27FC236}">
              <a16:creationId xmlns:a16="http://schemas.microsoft.com/office/drawing/2014/main" id="{00000000-0008-0000-0000-00003C000000}"/>
            </a:ext>
          </a:extLst>
        </xdr:cNvPr>
        <xdr:cNvSpPr txBox="1">
          <a:spLocks noChangeArrowheads="1"/>
        </xdr:cNvSpPr>
      </xdr:nvSpPr>
      <xdr:spPr bwMode="auto">
        <a:xfrm>
          <a:off x="14087542" y="2499308"/>
          <a:ext cx="337221" cy="2725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16</xdr:col>
      <xdr:colOff>3999803</xdr:colOff>
      <xdr:row>13</xdr:row>
      <xdr:rowOff>80829</xdr:rowOff>
    </xdr:from>
    <xdr:to>
      <xdr:col>16</xdr:col>
      <xdr:colOff>4454201</xdr:colOff>
      <xdr:row>14</xdr:row>
      <xdr:rowOff>79640</xdr:rowOff>
    </xdr:to>
    <xdr:sp macro="" textlink="'Variable Management'!D339">
      <xdr:nvSpPr>
        <xdr:cNvPr id="61" name="Text Box 275">
          <a:extLst>
            <a:ext uri="{FF2B5EF4-FFF2-40B4-BE49-F238E27FC236}">
              <a16:creationId xmlns:a16="http://schemas.microsoft.com/office/drawing/2014/main" id="{00000000-0008-0000-0000-00003D000000}"/>
            </a:ext>
          </a:extLst>
        </xdr:cNvPr>
        <xdr:cNvSpPr txBox="1">
          <a:spLocks noChangeArrowheads="1" noTextEdit="1"/>
        </xdr:cNvSpPr>
      </xdr:nvSpPr>
      <xdr:spPr bwMode="auto">
        <a:xfrm>
          <a:off x="14037688" y="2881912"/>
          <a:ext cx="446778" cy="209093"/>
        </a:xfrm>
        <a:prstGeom prst="rect">
          <a:avLst/>
        </a:prstGeom>
        <a:noFill/>
        <a:ln w="9525">
          <a:noFill/>
          <a:miter lim="800000"/>
          <a:headEnd/>
          <a:tailEnd/>
        </a:ln>
      </xdr:spPr>
      <xdr:txBody>
        <a:bodyPr vertOverflow="clip" wrap="square" lIns="27432" tIns="22860" rIns="0" bIns="0" anchor="ctr" upright="1"/>
        <a:lstStyle/>
        <a:p>
          <a:pPr algn="ctr" rtl="0">
            <a:defRPr sz="1000"/>
          </a:pPr>
          <a:fld id="{2F63E7DC-2453-4724-968B-35D106402735}" type="TxLink">
            <a:rPr lang="en-US" sz="1000" b="0" i="0" u="none" strike="noStrike" baseline="0">
              <a:solidFill>
                <a:srgbClr val="000000"/>
              </a:solidFill>
              <a:latin typeface="Arial"/>
              <a:cs typeface="Arial"/>
            </a:rPr>
            <a:pPr algn="ctr" rtl="0">
              <a:defRPr sz="1000"/>
            </a:pPr>
            <a:t>2.2µH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4606820</xdr:colOff>
      <xdr:row>10</xdr:row>
      <xdr:rowOff>110991</xdr:rowOff>
    </xdr:from>
    <xdr:to>
      <xdr:col>16</xdr:col>
      <xdr:colOff>4841156</xdr:colOff>
      <xdr:row>11</xdr:row>
      <xdr:rowOff>118927</xdr:rowOff>
    </xdr:to>
    <xdr:sp macro="" textlink="">
      <xdr:nvSpPr>
        <xdr:cNvPr id="62" name="Text Box 234">
          <a:extLst>
            <a:ext uri="{FF2B5EF4-FFF2-40B4-BE49-F238E27FC236}">
              <a16:creationId xmlns:a16="http://schemas.microsoft.com/office/drawing/2014/main" id="{00000000-0008-0000-0000-00003E000000}"/>
            </a:ext>
          </a:extLst>
        </xdr:cNvPr>
        <xdr:cNvSpPr txBox="1">
          <a:spLocks noChangeArrowheads="1"/>
        </xdr:cNvSpPr>
      </xdr:nvSpPr>
      <xdr:spPr bwMode="auto">
        <a:xfrm>
          <a:off x="14635180" y="2354348"/>
          <a:ext cx="243861" cy="219098"/>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S2</a:t>
          </a:r>
        </a:p>
      </xdr:txBody>
    </xdr:sp>
    <xdr:clientData/>
  </xdr:twoCellAnchor>
  <xdr:twoCellAnchor editAs="absolute">
    <xdr:from>
      <xdr:col>16</xdr:col>
      <xdr:colOff>4492167</xdr:colOff>
      <xdr:row>11</xdr:row>
      <xdr:rowOff>79842</xdr:rowOff>
    </xdr:from>
    <xdr:to>
      <xdr:col>16</xdr:col>
      <xdr:colOff>4986447</xdr:colOff>
      <xdr:row>13</xdr:row>
      <xdr:rowOff>3314</xdr:rowOff>
    </xdr:to>
    <xdr:sp macro="" textlink="'Variable Management'!D341">
      <xdr:nvSpPr>
        <xdr:cNvPr id="63" name="Text Box 275">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14526242" y="2536266"/>
          <a:ext cx="480945" cy="268131"/>
        </a:xfrm>
        <a:prstGeom prst="rect">
          <a:avLst/>
        </a:prstGeom>
        <a:noFill/>
        <a:ln w="9525">
          <a:noFill/>
          <a:miter lim="800000"/>
          <a:headEnd/>
          <a:tailEnd/>
        </a:ln>
      </xdr:spPr>
      <xdr:txBody>
        <a:bodyPr vertOverflow="clip" wrap="square" lIns="27432" tIns="22860" rIns="0" bIns="0" anchor="ctr" upright="1"/>
        <a:lstStyle/>
        <a:p>
          <a:pPr algn="ctr" rtl="0">
            <a:defRPr sz="1000"/>
          </a:pPr>
          <a:fld id="{60FAD3C8-B2D7-499A-BD55-279D7DCA2E93}" type="TxLink">
            <a:rPr lang="en-US" sz="1000" b="0" i="0" u="none" strike="noStrike" baseline="0">
              <a:solidFill>
                <a:srgbClr val="000000"/>
              </a:solidFill>
              <a:latin typeface="Arial"/>
              <a:cs typeface="Arial"/>
            </a:rPr>
            <a:pPr algn="ctr" rtl="0">
              <a:defRPr sz="1000"/>
            </a:pPr>
            <a:t>10mΩ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4873288</xdr:colOff>
      <xdr:row>13</xdr:row>
      <xdr:rowOff>185775</xdr:rowOff>
    </xdr:from>
    <xdr:to>
      <xdr:col>16</xdr:col>
      <xdr:colOff>5254725</xdr:colOff>
      <xdr:row>14</xdr:row>
      <xdr:rowOff>188455</xdr:rowOff>
    </xdr:to>
    <xdr:sp macro="" textlink="">
      <xdr:nvSpPr>
        <xdr:cNvPr id="64" name="Text Box 228">
          <a:extLst>
            <a:ext uri="{FF2B5EF4-FFF2-40B4-BE49-F238E27FC236}">
              <a16:creationId xmlns:a16="http://schemas.microsoft.com/office/drawing/2014/main" id="{00000000-0008-0000-0000-000040000000}"/>
            </a:ext>
          </a:extLst>
        </xdr:cNvPr>
        <xdr:cNvSpPr txBox="1">
          <a:spLocks noChangeArrowheads="1"/>
        </xdr:cNvSpPr>
      </xdr:nvSpPr>
      <xdr:spPr bwMode="auto">
        <a:xfrm>
          <a:off x="14915019" y="3015891"/>
          <a:ext cx="385247" cy="23366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16</xdr:col>
      <xdr:colOff>4835366</xdr:colOff>
      <xdr:row>14</xdr:row>
      <xdr:rowOff>156519</xdr:rowOff>
    </xdr:from>
    <xdr:to>
      <xdr:col>16</xdr:col>
      <xdr:colOff>5261979</xdr:colOff>
      <xdr:row>15</xdr:row>
      <xdr:rowOff>151986</xdr:rowOff>
    </xdr:to>
    <xdr:sp macro="" textlink="'Variable Management'!D345">
      <xdr:nvSpPr>
        <xdr:cNvPr id="65" name="Text Box 267">
          <a:extLst>
            <a:ext uri="{FF2B5EF4-FFF2-40B4-BE49-F238E27FC236}">
              <a16:creationId xmlns:a16="http://schemas.microsoft.com/office/drawing/2014/main" id="{00000000-0008-0000-0000-000041000000}"/>
            </a:ext>
          </a:extLst>
        </xdr:cNvPr>
        <xdr:cNvSpPr txBox="1">
          <a:spLocks noChangeArrowheads="1" noTextEdit="1"/>
        </xdr:cNvSpPr>
      </xdr:nvSpPr>
      <xdr:spPr bwMode="auto">
        <a:xfrm>
          <a:off x="14888527" y="3225950"/>
          <a:ext cx="439948" cy="206208"/>
        </a:xfrm>
        <a:prstGeom prst="rect">
          <a:avLst/>
        </a:prstGeom>
        <a:noFill/>
        <a:ln w="9525">
          <a:noFill/>
          <a:miter lim="800000"/>
          <a:headEnd/>
          <a:tailEnd/>
        </a:ln>
      </xdr:spPr>
      <xdr:txBody>
        <a:bodyPr vertOverflow="clip" wrap="square" lIns="27432" tIns="22860" rIns="0" bIns="0" anchor="ctr" upright="1"/>
        <a:lstStyle/>
        <a:p>
          <a:pPr algn="l" rtl="0">
            <a:defRPr sz="1000"/>
          </a:pPr>
          <a:fld id="{B2AFD63C-308B-40D8-9608-99758D799EB5}" type="TxLink">
            <a:rPr lang="en-US" sz="1000" b="0" i="0" u="none" strike="noStrike" baseline="0">
              <a:solidFill>
                <a:srgbClr val="000000"/>
              </a:solidFill>
              <a:latin typeface="Arial"/>
              <a:cs typeface="Arial"/>
            </a:rPr>
            <a:pPr algn="l" rtl="0">
              <a:defRPr sz="1000"/>
            </a:pPr>
            <a:t>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948697</xdr:colOff>
      <xdr:row>31</xdr:row>
      <xdr:rowOff>80937</xdr:rowOff>
    </xdr:from>
    <xdr:to>
      <xdr:col>16</xdr:col>
      <xdr:colOff>1374910</xdr:colOff>
      <xdr:row>32</xdr:row>
      <xdr:rowOff>75119</xdr:rowOff>
    </xdr:to>
    <xdr:sp macro="" textlink="'Variable Management'!B382">
      <xdr:nvSpPr>
        <xdr:cNvPr id="67" name="Text Box 281">
          <a:extLst>
            <a:ext uri="{FF2B5EF4-FFF2-40B4-BE49-F238E27FC236}">
              <a16:creationId xmlns:a16="http://schemas.microsoft.com/office/drawing/2014/main" id="{00000000-0008-0000-0000-000043000000}"/>
            </a:ext>
          </a:extLst>
        </xdr:cNvPr>
        <xdr:cNvSpPr txBox="1">
          <a:spLocks noChangeArrowheads="1" noTextEdit="1"/>
        </xdr:cNvSpPr>
      </xdr:nvSpPr>
      <xdr:spPr bwMode="auto">
        <a:xfrm>
          <a:off x="11003287" y="6365532"/>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322769A2-A935-402D-A6FA-E206A769B9F2}" type="TxLink">
            <a:rPr lang="en-US" sz="1000" b="0" i="0" u="none" strike="noStrike">
              <a:solidFill>
                <a:srgbClr val="000000"/>
              </a:solidFill>
              <a:latin typeface="Arial"/>
              <a:cs typeface="Arial"/>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5559695</xdr:colOff>
      <xdr:row>12</xdr:row>
      <xdr:rowOff>72456</xdr:rowOff>
    </xdr:from>
    <xdr:to>
      <xdr:col>17</xdr:col>
      <xdr:colOff>110509</xdr:colOff>
      <xdr:row>13</xdr:row>
      <xdr:rowOff>149428</xdr:rowOff>
    </xdr:to>
    <xdr:sp macro="" textlink="'Variable Management'!D343">
      <xdr:nvSpPr>
        <xdr:cNvPr id="68" name="Text Box 285">
          <a:extLst>
            <a:ext uri="{FF2B5EF4-FFF2-40B4-BE49-F238E27FC236}">
              <a16:creationId xmlns:a16="http://schemas.microsoft.com/office/drawing/2014/main" id="{00000000-0008-0000-0000-000044000000}"/>
            </a:ext>
          </a:extLst>
        </xdr:cNvPr>
        <xdr:cNvSpPr txBox="1">
          <a:spLocks noChangeArrowheads="1" noTextEdit="1"/>
        </xdr:cNvSpPr>
      </xdr:nvSpPr>
      <xdr:spPr bwMode="auto">
        <a:xfrm>
          <a:off x="15586150" y="2695494"/>
          <a:ext cx="479906" cy="241682"/>
        </a:xfrm>
        <a:prstGeom prst="rect">
          <a:avLst/>
        </a:prstGeom>
        <a:noFill/>
        <a:ln w="9525">
          <a:noFill/>
          <a:miter lim="800000"/>
          <a:headEnd/>
          <a:tailEnd/>
        </a:ln>
      </xdr:spPr>
      <xdr:txBody>
        <a:bodyPr vertOverflow="clip" wrap="square" lIns="27432" tIns="22860" rIns="0" bIns="0" anchor="ctr" upright="1"/>
        <a:lstStyle/>
        <a:p>
          <a:pPr algn="l" rtl="0">
            <a:defRPr sz="1000"/>
          </a:pPr>
          <a:fld id="{AE313110-4AE9-4356-BA49-88A0938F85FF}" type="TxLink">
            <a:rPr lang="en-US" sz="1000" b="1" i="0" u="none" strike="noStrike" baseline="0">
              <a:solidFill>
                <a:srgbClr val="FF0000"/>
              </a:solidFill>
              <a:latin typeface="Arial"/>
              <a:cs typeface="Arial"/>
            </a:rPr>
            <a:pPr algn="l" rtl="0">
              <a:defRPr sz="1000"/>
            </a:pPr>
            <a:t>20V</a:t>
          </a:fld>
          <a:endParaRPr lang="en-US" sz="1050" b="1" i="0" u="none" strike="noStrike" baseline="0">
            <a:solidFill>
              <a:srgbClr val="FF0000"/>
            </a:solidFill>
            <a:latin typeface="Arial" pitchFamily="34" charset="0"/>
            <a:cs typeface="Arial" pitchFamily="34" charset="0"/>
          </a:endParaRPr>
        </a:p>
      </xdr:txBody>
    </xdr:sp>
    <xdr:clientData/>
  </xdr:twoCellAnchor>
  <xdr:twoCellAnchor editAs="absolute">
    <xdr:from>
      <xdr:col>16</xdr:col>
      <xdr:colOff>5558104</xdr:colOff>
      <xdr:row>13</xdr:row>
      <xdr:rowOff>115353</xdr:rowOff>
    </xdr:from>
    <xdr:to>
      <xdr:col>17</xdr:col>
      <xdr:colOff>77577</xdr:colOff>
      <xdr:row>14</xdr:row>
      <xdr:rowOff>148357</xdr:rowOff>
    </xdr:to>
    <xdr:sp macro="" textlink="'Variable Management'!D386">
      <xdr:nvSpPr>
        <xdr:cNvPr id="69" name="Text Box 286">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15595989" y="2906911"/>
          <a:ext cx="454280" cy="243286"/>
        </a:xfrm>
        <a:prstGeom prst="rect">
          <a:avLst/>
        </a:prstGeom>
        <a:noFill/>
        <a:ln w="9525">
          <a:noFill/>
          <a:miter lim="800000"/>
          <a:headEnd/>
          <a:tailEnd/>
        </a:ln>
      </xdr:spPr>
      <xdr:txBody>
        <a:bodyPr vertOverflow="clip" wrap="square" lIns="27432" tIns="22860" rIns="0" bIns="0" anchor="t" upright="1"/>
        <a:lstStyle/>
        <a:p>
          <a:pPr algn="l" rtl="0">
            <a:defRPr sz="1000"/>
          </a:pPr>
          <a:fld id="{00875F72-81FD-4544-A8D5-3EBFCC9D309F}" type="TxLink">
            <a:rPr lang="en-US" sz="1000" b="1" i="0" u="none" strike="noStrike">
              <a:solidFill>
                <a:srgbClr val="FF0000"/>
              </a:solidFill>
              <a:latin typeface="Arial"/>
              <a:cs typeface="Arial"/>
            </a:rPr>
            <a:pPr algn="l" rtl="0">
              <a:defRPr sz="1000"/>
            </a:pPr>
            <a:t>5A</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16</xdr:col>
      <xdr:colOff>1337211</xdr:colOff>
      <xdr:row>30</xdr:row>
      <xdr:rowOff>73084</xdr:rowOff>
    </xdr:from>
    <xdr:to>
      <xdr:col>16</xdr:col>
      <xdr:colOff>1671987</xdr:colOff>
      <xdr:row>31</xdr:row>
      <xdr:rowOff>148318</xdr:rowOff>
    </xdr:to>
    <xdr:sp macro="" textlink="">
      <xdr:nvSpPr>
        <xdr:cNvPr id="70" name="Text Box 251">
          <a:extLst>
            <a:ext uri="{FF2B5EF4-FFF2-40B4-BE49-F238E27FC236}">
              <a16:creationId xmlns:a16="http://schemas.microsoft.com/office/drawing/2014/main" id="{00000000-0008-0000-0000-000046000000}"/>
            </a:ext>
          </a:extLst>
        </xdr:cNvPr>
        <xdr:cNvSpPr txBox="1">
          <a:spLocks noChangeArrowheads="1"/>
        </xdr:cNvSpPr>
      </xdr:nvSpPr>
      <xdr:spPr bwMode="auto">
        <a:xfrm>
          <a:off x="11403707" y="6197659"/>
          <a:ext cx="327156" cy="26121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RES</a:t>
          </a:r>
        </a:p>
      </xdr:txBody>
    </xdr:sp>
    <xdr:clientData/>
  </xdr:twoCellAnchor>
  <xdr:twoCellAnchor editAs="absolute">
    <xdr:from>
      <xdr:col>16</xdr:col>
      <xdr:colOff>1329705</xdr:colOff>
      <xdr:row>31</xdr:row>
      <xdr:rowOff>79790</xdr:rowOff>
    </xdr:from>
    <xdr:to>
      <xdr:col>16</xdr:col>
      <xdr:colOff>1755918</xdr:colOff>
      <xdr:row>32</xdr:row>
      <xdr:rowOff>75877</xdr:rowOff>
    </xdr:to>
    <xdr:sp macro="" textlink="'Variable Management'!B383">
      <xdr:nvSpPr>
        <xdr:cNvPr id="71" name="Text Box 281">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11384295" y="6366290"/>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EB4F7F9-CE77-410B-B4F3-251CFE7816F2}" type="TxLink">
            <a:rPr lang="en-US" sz="1000" b="0" i="0" u="none" strike="noStrike">
              <a:solidFill>
                <a:srgbClr val="000000"/>
              </a:solidFill>
              <a:latin typeface="Arial"/>
              <a:cs typeface="Arial"/>
            </a:rPr>
            <a:pPr algn="ctr" rtl="0">
              <a:defRPr sz="1000"/>
            </a:pPr>
            <a:t>470nF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3431895</xdr:colOff>
      <xdr:row>24</xdr:row>
      <xdr:rowOff>194921</xdr:rowOff>
    </xdr:from>
    <xdr:to>
      <xdr:col>16</xdr:col>
      <xdr:colOff>3958366</xdr:colOff>
      <xdr:row>25</xdr:row>
      <xdr:rowOff>225990</xdr:rowOff>
    </xdr:to>
    <xdr:sp macro="" textlink="'Variable Management'!D354">
      <xdr:nvSpPr>
        <xdr:cNvPr id="73" name="Text Box 261">
          <a:extLst>
            <a:ext uri="{FF2B5EF4-FFF2-40B4-BE49-F238E27FC236}">
              <a16:creationId xmlns:a16="http://schemas.microsoft.com/office/drawing/2014/main" id="{00000000-0008-0000-0000-000049000000}"/>
            </a:ext>
          </a:extLst>
        </xdr:cNvPr>
        <xdr:cNvSpPr txBox="1">
          <a:spLocks noChangeArrowheads="1" noTextEdit="1"/>
        </xdr:cNvSpPr>
      </xdr:nvSpPr>
      <xdr:spPr bwMode="auto">
        <a:xfrm>
          <a:off x="13502201" y="5144587"/>
          <a:ext cx="505516" cy="248716"/>
        </a:xfrm>
        <a:prstGeom prst="rect">
          <a:avLst/>
        </a:prstGeom>
        <a:noFill/>
        <a:ln w="9525">
          <a:noFill/>
          <a:miter lim="800000"/>
          <a:headEnd/>
          <a:tailEnd/>
        </a:ln>
      </xdr:spPr>
      <xdr:txBody>
        <a:bodyPr vertOverflow="clip" wrap="square" lIns="27432" tIns="22860" rIns="0" bIns="0" anchor="ctr" upright="1"/>
        <a:lstStyle/>
        <a:p>
          <a:pPr algn="l" rtl="0">
            <a:defRPr sz="1000"/>
          </a:pPr>
          <a:fld id="{4DC9070C-4611-4454-862F-8BF8F515B22E}" type="TxLink">
            <a:rPr lang="en-US" sz="1000" b="0" i="0" u="none" strike="noStrike" baseline="0">
              <a:solidFill>
                <a:srgbClr val="000000"/>
              </a:solidFill>
              <a:latin typeface="Arial"/>
              <a:cs typeface="Arial"/>
            </a:rPr>
            <a:pPr algn="l" rtl="0">
              <a:defRPr sz="1000"/>
            </a:pPr>
            <a:t>4.7nF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2938006</xdr:colOff>
      <xdr:row>25</xdr:row>
      <xdr:rowOff>33343</xdr:rowOff>
    </xdr:from>
    <xdr:to>
      <xdr:col>16</xdr:col>
      <xdr:colOff>3425437</xdr:colOff>
      <xdr:row>26</xdr:row>
      <xdr:rowOff>4155</xdr:rowOff>
    </xdr:to>
    <xdr:sp macro="" textlink="'Variable Management'!D353">
      <xdr:nvSpPr>
        <xdr:cNvPr id="75" name="Text Box 263">
          <a:extLst>
            <a:ext uri="{FF2B5EF4-FFF2-40B4-BE49-F238E27FC236}">
              <a16:creationId xmlns:a16="http://schemas.microsoft.com/office/drawing/2014/main" id="{00000000-0008-0000-0000-00004B000000}"/>
            </a:ext>
          </a:extLst>
        </xdr:cNvPr>
        <xdr:cNvSpPr txBox="1">
          <a:spLocks noChangeArrowheads="1" noTextEdit="1"/>
        </xdr:cNvSpPr>
      </xdr:nvSpPr>
      <xdr:spPr bwMode="auto">
        <a:xfrm>
          <a:off x="13008312" y="5179224"/>
          <a:ext cx="460761" cy="241799"/>
        </a:xfrm>
        <a:prstGeom prst="rect">
          <a:avLst/>
        </a:prstGeom>
        <a:noFill/>
        <a:ln w="9525">
          <a:noFill/>
          <a:miter lim="800000"/>
          <a:headEnd/>
          <a:tailEnd/>
        </a:ln>
      </xdr:spPr>
      <xdr:txBody>
        <a:bodyPr vertOverflow="clip" wrap="square" lIns="27432" tIns="22860" rIns="0" bIns="0" anchor="ctr" upright="1"/>
        <a:lstStyle/>
        <a:p>
          <a:pPr algn="l" rtl="0">
            <a:defRPr sz="1000"/>
          </a:pPr>
          <a:fld id="{51C069D1-ABA1-4481-AAE8-8F33F807B29E}" type="TxLink">
            <a:rPr lang="en-US" sz="1000" b="0" i="0" u="none" strike="noStrike" baseline="0">
              <a:solidFill>
                <a:srgbClr val="000000"/>
              </a:solidFill>
              <a:latin typeface="Arial"/>
              <a:cs typeface="Arial"/>
            </a:rPr>
            <a:pPr algn="l" rtl="0">
              <a:defRPr sz="1000"/>
            </a:pPr>
            <a:t>5.9kΩ</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3196325</xdr:colOff>
      <xdr:row>29</xdr:row>
      <xdr:rowOff>71548</xdr:rowOff>
    </xdr:from>
    <xdr:to>
      <xdr:col>16</xdr:col>
      <xdr:colOff>3616531</xdr:colOff>
      <xdr:row>30</xdr:row>
      <xdr:rowOff>76687</xdr:rowOff>
    </xdr:to>
    <xdr:sp macro="" textlink="'Variable Management'!D355">
      <xdr:nvSpPr>
        <xdr:cNvPr id="77" name="Text Box 262">
          <a:extLst>
            <a:ext uri="{FF2B5EF4-FFF2-40B4-BE49-F238E27FC236}">
              <a16:creationId xmlns:a16="http://schemas.microsoft.com/office/drawing/2014/main" id="{00000000-0008-0000-0000-00004D000000}"/>
            </a:ext>
          </a:extLst>
        </xdr:cNvPr>
        <xdr:cNvSpPr txBox="1">
          <a:spLocks noChangeArrowheads="1" noTextEdit="1"/>
        </xdr:cNvSpPr>
      </xdr:nvSpPr>
      <xdr:spPr bwMode="auto">
        <a:xfrm>
          <a:off x="13257106" y="6000622"/>
          <a:ext cx="420206" cy="220881"/>
        </a:xfrm>
        <a:prstGeom prst="rect">
          <a:avLst/>
        </a:prstGeom>
        <a:noFill/>
        <a:ln w="9525">
          <a:noFill/>
          <a:miter lim="800000"/>
          <a:headEnd/>
          <a:tailEnd/>
        </a:ln>
      </xdr:spPr>
      <xdr:txBody>
        <a:bodyPr vertOverflow="clip" wrap="square" lIns="27432" tIns="22860" rIns="0" bIns="0" anchor="ctr" upright="1"/>
        <a:lstStyle/>
        <a:p>
          <a:pPr algn="ctr" rtl="0">
            <a:defRPr sz="1000"/>
          </a:pPr>
          <a:fld id="{B54DC493-A440-4D94-AB5A-78A72A6D12C9}" type="TxLink">
            <a:rPr lang="en-US" sz="1000" b="0" i="0" u="none" strike="noStrike" baseline="0">
              <a:solidFill>
                <a:srgbClr val="000000"/>
              </a:solidFill>
              <a:latin typeface="Arial"/>
              <a:cs typeface="Arial"/>
            </a:rPr>
            <a:pPr algn="ctr" rtl="0">
              <a:defRPr sz="1000"/>
            </a:pPr>
            <a:t>18pF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3471376</xdr:colOff>
      <xdr:row>21</xdr:row>
      <xdr:rowOff>110048</xdr:rowOff>
    </xdr:from>
    <xdr:to>
      <xdr:col>16</xdr:col>
      <xdr:colOff>3847385</xdr:colOff>
      <xdr:row>23</xdr:row>
      <xdr:rowOff>4524</xdr:rowOff>
    </xdr:to>
    <xdr:sp macro="" textlink="">
      <xdr:nvSpPr>
        <xdr:cNvPr id="78" name="Text Box 249">
          <a:extLst>
            <a:ext uri="{FF2B5EF4-FFF2-40B4-BE49-F238E27FC236}">
              <a16:creationId xmlns:a16="http://schemas.microsoft.com/office/drawing/2014/main" id="{00000000-0008-0000-0000-00004E000000}"/>
            </a:ext>
          </a:extLst>
        </xdr:cNvPr>
        <xdr:cNvSpPr txBox="1">
          <a:spLocks noChangeArrowheads="1"/>
        </xdr:cNvSpPr>
      </xdr:nvSpPr>
      <xdr:spPr bwMode="auto">
        <a:xfrm>
          <a:off x="13529776" y="4501073"/>
          <a:ext cx="376009"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VCCX</a:t>
          </a:r>
        </a:p>
      </xdr:txBody>
    </xdr:sp>
    <xdr:clientData/>
  </xdr:twoCellAnchor>
  <xdr:twoCellAnchor editAs="absolute">
    <xdr:from>
      <xdr:col>16</xdr:col>
      <xdr:colOff>3501817</xdr:colOff>
      <xdr:row>22</xdr:row>
      <xdr:rowOff>148004</xdr:rowOff>
    </xdr:from>
    <xdr:to>
      <xdr:col>16</xdr:col>
      <xdr:colOff>3958125</xdr:colOff>
      <xdr:row>24</xdr:row>
      <xdr:rowOff>34513</xdr:rowOff>
    </xdr:to>
    <xdr:sp macro="" textlink="">
      <xdr:nvSpPr>
        <xdr:cNvPr id="79" name="Text Box 279">
          <a:extLst>
            <a:ext uri="{FF2B5EF4-FFF2-40B4-BE49-F238E27FC236}">
              <a16:creationId xmlns:a16="http://schemas.microsoft.com/office/drawing/2014/main" id="{00000000-0008-0000-0000-00004F000000}"/>
            </a:ext>
          </a:extLst>
        </xdr:cNvPr>
        <xdr:cNvSpPr txBox="1">
          <a:spLocks noChangeArrowheads="1"/>
        </xdr:cNvSpPr>
      </xdr:nvSpPr>
      <xdr:spPr bwMode="auto">
        <a:xfrm>
          <a:off x="13546882" y="4708574"/>
          <a:ext cx="450593" cy="2370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2366067</xdr:colOff>
      <xdr:row>29</xdr:row>
      <xdr:rowOff>117387</xdr:rowOff>
    </xdr:from>
    <xdr:to>
      <xdr:col>16</xdr:col>
      <xdr:colOff>2855889</xdr:colOff>
      <xdr:row>30</xdr:row>
      <xdr:rowOff>110112</xdr:rowOff>
    </xdr:to>
    <xdr:sp macro="" textlink="'Variable Management'!B362">
      <xdr:nvSpPr>
        <xdr:cNvPr id="80" name="Text Box 266">
          <a:extLst>
            <a:ext uri="{FF2B5EF4-FFF2-40B4-BE49-F238E27FC236}">
              <a16:creationId xmlns:a16="http://schemas.microsoft.com/office/drawing/2014/main" id="{00000000-0008-0000-0000-000050000000}"/>
            </a:ext>
          </a:extLst>
        </xdr:cNvPr>
        <xdr:cNvSpPr txBox="1">
          <a:spLocks noChangeArrowheads="1" noTextEdit="1"/>
        </xdr:cNvSpPr>
      </xdr:nvSpPr>
      <xdr:spPr bwMode="auto">
        <a:xfrm>
          <a:off x="12428753" y="6053367"/>
          <a:ext cx="487917" cy="186321"/>
        </a:xfrm>
        <a:prstGeom prst="rect">
          <a:avLst/>
        </a:prstGeom>
        <a:noFill/>
        <a:ln w="9525">
          <a:noFill/>
          <a:miter lim="800000"/>
          <a:headEnd/>
          <a:tailEnd/>
        </a:ln>
      </xdr:spPr>
      <xdr:txBody>
        <a:bodyPr vertOverflow="clip" wrap="square" lIns="27432" tIns="22860" rIns="0" bIns="0" anchor="t" upright="1"/>
        <a:lstStyle/>
        <a:p>
          <a:pPr algn="l" rtl="0">
            <a:defRPr sz="1000"/>
          </a:pPr>
          <a:fld id="{F0D4FEFA-1BCB-42BA-B0A4-AAEA1128161F}" type="TxLink">
            <a:rPr lang="en-US" sz="1000" b="0" i="0" u="none" strike="noStrike" baseline="0">
              <a:solidFill>
                <a:srgbClr val="000000"/>
              </a:solidFill>
              <a:latin typeface="Arialri"/>
              <a:cs typeface="Arial" pitchFamily="34" charset="0"/>
            </a:rPr>
            <a:pPr algn="l"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2395696</xdr:colOff>
      <xdr:row>28</xdr:row>
      <xdr:rowOff>73084</xdr:rowOff>
    </xdr:from>
    <xdr:to>
      <xdr:col>16</xdr:col>
      <xdr:colOff>2777472</xdr:colOff>
      <xdr:row>29</xdr:row>
      <xdr:rowOff>149137</xdr:rowOff>
    </xdr:to>
    <xdr:sp macro="" textlink="">
      <xdr:nvSpPr>
        <xdr:cNvPr id="81" name="Text Box 233">
          <a:extLst>
            <a:ext uri="{FF2B5EF4-FFF2-40B4-BE49-F238E27FC236}">
              <a16:creationId xmlns:a16="http://schemas.microsoft.com/office/drawing/2014/main" id="{00000000-0008-0000-0000-000051000000}"/>
            </a:ext>
          </a:extLst>
        </xdr:cNvPr>
        <xdr:cNvSpPr txBox="1">
          <a:spLocks noChangeArrowheads="1"/>
        </xdr:cNvSpPr>
      </xdr:nvSpPr>
      <xdr:spPr bwMode="auto">
        <a:xfrm>
          <a:off x="12450762" y="5821898"/>
          <a:ext cx="381776" cy="25369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D</a:t>
          </a:r>
        </a:p>
      </xdr:txBody>
    </xdr:sp>
    <xdr:clientData/>
  </xdr:twoCellAnchor>
  <xdr:twoCellAnchor editAs="absolute">
    <xdr:from>
      <xdr:col>16</xdr:col>
      <xdr:colOff>492021</xdr:colOff>
      <xdr:row>30</xdr:row>
      <xdr:rowOff>72477</xdr:rowOff>
    </xdr:from>
    <xdr:to>
      <xdr:col>16</xdr:col>
      <xdr:colOff>918234</xdr:colOff>
      <xdr:row>31</xdr:row>
      <xdr:rowOff>149159</xdr:rowOff>
    </xdr:to>
    <xdr:sp macro="" textlink="'Variable Management'!C381">
      <xdr:nvSpPr>
        <xdr:cNvPr id="82" name="Text Box 281">
          <a:extLst>
            <a:ext uri="{FF2B5EF4-FFF2-40B4-BE49-F238E27FC236}">
              <a16:creationId xmlns:a16="http://schemas.microsoft.com/office/drawing/2014/main" id="{00000000-0008-0000-0000-000052000000}"/>
            </a:ext>
          </a:extLst>
        </xdr:cNvPr>
        <xdr:cNvSpPr txBox="1">
          <a:spLocks noChangeArrowheads="1" noTextEdit="1"/>
        </xdr:cNvSpPr>
      </xdr:nvSpPr>
      <xdr:spPr bwMode="auto">
        <a:xfrm>
          <a:off x="10526096" y="6120705"/>
          <a:ext cx="437643" cy="235677"/>
        </a:xfrm>
        <a:prstGeom prst="rect">
          <a:avLst/>
        </a:prstGeom>
        <a:noFill/>
        <a:ln w="9525">
          <a:noFill/>
          <a:miter lim="800000"/>
          <a:headEnd/>
          <a:tailEnd/>
        </a:ln>
      </xdr:spPr>
      <xdr:txBody>
        <a:bodyPr vertOverflow="clip" wrap="square" lIns="27432" tIns="22860" rIns="0" bIns="0" anchor="t" upright="1"/>
        <a:lstStyle/>
        <a:p>
          <a:pPr algn="ctr" rtl="0">
            <a:defRPr sz="1000"/>
          </a:pPr>
          <a:fld id="{93649659-1DBC-410C-945D-E7A8A6F21F96}" type="TxLink">
            <a:rPr lang="en-US" sz="1000" b="0" i="0" u="none" strike="noStrike">
              <a:solidFill>
                <a:srgbClr val="000000"/>
              </a:solidFill>
              <a:latin typeface="Arial"/>
              <a:cs typeface="Arial"/>
            </a:rPr>
            <a:pPr algn="ctr" rtl="0">
              <a:defRPr sz="1000"/>
            </a:pPr>
            <a:t>Css1</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910095</xdr:colOff>
      <xdr:row>30</xdr:row>
      <xdr:rowOff>80683</xdr:rowOff>
    </xdr:from>
    <xdr:to>
      <xdr:col>16</xdr:col>
      <xdr:colOff>1338213</xdr:colOff>
      <xdr:row>31</xdr:row>
      <xdr:rowOff>149160</xdr:rowOff>
    </xdr:to>
    <xdr:sp macro="" textlink="'Variable Management'!C382">
      <xdr:nvSpPr>
        <xdr:cNvPr id="83" name="Text Box 281">
          <a:extLst>
            <a:ext uri="{FF2B5EF4-FFF2-40B4-BE49-F238E27FC236}">
              <a16:creationId xmlns:a16="http://schemas.microsoft.com/office/drawing/2014/main" id="{00000000-0008-0000-0000-000053000000}"/>
            </a:ext>
          </a:extLst>
        </xdr:cNvPr>
        <xdr:cNvSpPr txBox="1">
          <a:spLocks noChangeArrowheads="1" noTextEdit="1"/>
        </xdr:cNvSpPr>
      </xdr:nvSpPr>
      <xdr:spPr bwMode="auto">
        <a:xfrm>
          <a:off x="10962780" y="6188113"/>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05B54FCB-1143-412F-B29D-22C0191403DC}" type="TxLink">
            <a:rPr lang="en-US" sz="1000" b="0" i="0" u="none" strike="noStrike">
              <a:solidFill>
                <a:srgbClr val="000000"/>
              </a:solidFill>
              <a:latin typeface="Arial"/>
              <a:cs typeface="Arial"/>
            </a:rPr>
            <a:pPr algn="ctr" rtl="0">
              <a:defRPr sz="1000"/>
            </a:pPr>
            <a:t>Css2</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3005742</xdr:colOff>
      <xdr:row>24</xdr:row>
      <xdr:rowOff>71773</xdr:rowOff>
    </xdr:from>
    <xdr:to>
      <xdr:col>16</xdr:col>
      <xdr:colOff>3462693</xdr:colOff>
      <xdr:row>25</xdr:row>
      <xdr:rowOff>75850</xdr:rowOff>
    </xdr:to>
    <xdr:sp macro="" textlink="'Variable Management'!C353">
      <xdr:nvSpPr>
        <xdr:cNvPr id="84" name="Text Box 263">
          <a:extLst>
            <a:ext uri="{FF2B5EF4-FFF2-40B4-BE49-F238E27FC236}">
              <a16:creationId xmlns:a16="http://schemas.microsoft.com/office/drawing/2014/main" id="{00000000-0008-0000-0000-000054000000}"/>
            </a:ext>
          </a:extLst>
        </xdr:cNvPr>
        <xdr:cNvSpPr txBox="1">
          <a:spLocks noChangeArrowheads="1" noTextEdit="1"/>
        </xdr:cNvSpPr>
      </xdr:nvSpPr>
      <xdr:spPr bwMode="auto">
        <a:xfrm>
          <a:off x="13030292" y="4937436"/>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4C6F915B-5FDE-431D-BA20-F74B990C95E0}" type="TxLink">
            <a:rPr lang="en-US" sz="1000" b="0" i="0" u="none" strike="noStrike" baseline="0">
              <a:solidFill>
                <a:srgbClr val="000000"/>
              </a:solidFill>
              <a:latin typeface="Arial"/>
              <a:cs typeface="Arial"/>
            </a:rPr>
            <a:pPr algn="l" rtl="0">
              <a:defRPr sz="1000"/>
            </a:pPr>
            <a:t>Rc2</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3500602</xdr:colOff>
      <xdr:row>24</xdr:row>
      <xdr:rowOff>33380</xdr:rowOff>
    </xdr:from>
    <xdr:to>
      <xdr:col>16</xdr:col>
      <xdr:colOff>3959458</xdr:colOff>
      <xdr:row>25</xdr:row>
      <xdr:rowOff>41267</xdr:rowOff>
    </xdr:to>
    <xdr:sp macro="" textlink="'Variable Management'!C354">
      <xdr:nvSpPr>
        <xdr:cNvPr id="85" name="Text Box 263">
          <a:extLst>
            <a:ext uri="{FF2B5EF4-FFF2-40B4-BE49-F238E27FC236}">
              <a16:creationId xmlns:a16="http://schemas.microsoft.com/office/drawing/2014/main" id="{00000000-0008-0000-0000-000055000000}"/>
            </a:ext>
          </a:extLst>
        </xdr:cNvPr>
        <xdr:cNvSpPr txBox="1">
          <a:spLocks noChangeArrowheads="1" noTextEdit="1"/>
        </xdr:cNvSpPr>
      </xdr:nvSpPr>
      <xdr:spPr bwMode="auto">
        <a:xfrm>
          <a:off x="13527057" y="4906663"/>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169239A1-A17E-4F82-8427-F411D64B50BA}" type="TxLink">
            <a:rPr lang="en-US" sz="1000" b="0" i="0" u="none" strike="noStrike" baseline="0">
              <a:solidFill>
                <a:srgbClr val="000000"/>
              </a:solidFill>
              <a:latin typeface="Arial"/>
              <a:cs typeface="Arial"/>
            </a:rPr>
            <a:pPr algn="l" rtl="0">
              <a:defRPr sz="1000"/>
            </a:pPr>
            <a:t>Cc3</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3280648</xdr:colOff>
      <xdr:row>28</xdr:row>
      <xdr:rowOff>41586</xdr:rowOff>
    </xdr:from>
    <xdr:to>
      <xdr:col>16</xdr:col>
      <xdr:colOff>3737599</xdr:colOff>
      <xdr:row>29</xdr:row>
      <xdr:rowOff>110433</xdr:rowOff>
    </xdr:to>
    <xdr:sp macro="" textlink="'Variable Management'!C355">
      <xdr:nvSpPr>
        <xdr:cNvPr id="86" name="Text Box 263">
          <a:extLst>
            <a:ext uri="{FF2B5EF4-FFF2-40B4-BE49-F238E27FC236}">
              <a16:creationId xmlns:a16="http://schemas.microsoft.com/office/drawing/2014/main" id="{00000000-0008-0000-0000-000056000000}"/>
            </a:ext>
          </a:extLst>
        </xdr:cNvPr>
        <xdr:cNvSpPr txBox="1">
          <a:spLocks noChangeArrowheads="1" noTextEdit="1"/>
        </xdr:cNvSpPr>
      </xdr:nvSpPr>
      <xdr:spPr bwMode="auto">
        <a:xfrm>
          <a:off x="13320438" y="5718486"/>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B132B3F4-179D-4706-9653-4E2B9688EBF6}" type="TxLink">
            <a:rPr lang="en-US" sz="1000" b="0" i="0" u="none" strike="noStrike" baseline="0">
              <a:solidFill>
                <a:srgbClr val="000000"/>
              </a:solidFill>
              <a:latin typeface="Arial"/>
              <a:cs typeface="Arial"/>
            </a:rPr>
            <a:pPr algn="l" rtl="0">
              <a:defRPr sz="1000"/>
            </a:pPr>
            <a:t>Cc4</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3844162</xdr:colOff>
      <xdr:row>20</xdr:row>
      <xdr:rowOff>149462</xdr:rowOff>
    </xdr:from>
    <xdr:to>
      <xdr:col>16</xdr:col>
      <xdr:colOff>4950043</xdr:colOff>
      <xdr:row>22</xdr:row>
      <xdr:rowOff>72513</xdr:rowOff>
    </xdr:to>
    <xdr:sp macro="" textlink="">
      <xdr:nvSpPr>
        <xdr:cNvPr id="87" name="Text Box 249">
          <a:extLst>
            <a:ext uri="{FF2B5EF4-FFF2-40B4-BE49-F238E27FC236}">
              <a16:creationId xmlns:a16="http://schemas.microsoft.com/office/drawing/2014/main" id="{00000000-0008-0000-0000-000057000000}"/>
            </a:ext>
          </a:extLst>
        </xdr:cNvPr>
        <xdr:cNvSpPr txBox="1">
          <a:spLocks noChangeArrowheads="1"/>
        </xdr:cNvSpPr>
      </xdr:nvSpPr>
      <xdr:spPr bwMode="auto">
        <a:xfrm>
          <a:off x="13902562" y="4378562"/>
          <a:ext cx="1105881"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Connect to 5V rail</a:t>
          </a:r>
          <a:endParaRPr lang="en-US" sz="1000" b="0" i="0" strike="noStrike" baseline="-2500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371475</xdr:colOff>
          <xdr:row>4</xdr:row>
          <xdr:rowOff>9525</xdr:rowOff>
        </xdr:from>
        <xdr:to>
          <xdr:col>7</xdr:col>
          <xdr:colOff>514350</xdr:colOff>
          <xdr:row>4</xdr:row>
          <xdr:rowOff>238125</xdr:rowOff>
        </xdr:to>
        <xdr:sp macro="" textlink="">
          <xdr:nvSpPr>
            <xdr:cNvPr id="700259" name="Drop Down 2915" hidden="1">
              <a:extLst>
                <a:ext uri="{63B3BB69-23CF-44E3-9099-C40C66FF867C}">
                  <a14:compatExt spid="_x0000_s700259"/>
                </a:ext>
                <a:ext uri="{FF2B5EF4-FFF2-40B4-BE49-F238E27FC236}">
                  <a16:creationId xmlns:a16="http://schemas.microsoft.com/office/drawing/2014/main" id="{00000000-0008-0000-0000-000063AF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16</xdr:col>
      <xdr:colOff>696057</xdr:colOff>
      <xdr:row>15</xdr:row>
      <xdr:rowOff>133349</xdr:rowOff>
    </xdr:from>
    <xdr:to>
      <xdr:col>16</xdr:col>
      <xdr:colOff>1919653</xdr:colOff>
      <xdr:row>21</xdr:row>
      <xdr:rowOff>9524</xdr:rowOff>
    </xdr:to>
    <xdr:sp macro="" textlink="'Variable Management'!X25">
      <xdr:nvSpPr>
        <xdr:cNvPr id="88" name="Text Box 24">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0754457" y="3390899"/>
          <a:ext cx="1223596" cy="1019175"/>
        </a:xfrm>
        <a:prstGeom prst="rect">
          <a:avLst/>
        </a:prstGeom>
        <a:solidFill>
          <a:srgbClr val="D1FFFF"/>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C5C27CF7-D706-47E0-A45D-5E0BE790EDB6}" type="TxLink">
            <a:rPr lang="en-US" sz="1400" b="1" i="0" u="none" strike="noStrike" baseline="0">
              <a:solidFill>
                <a:srgbClr val="FF0000"/>
              </a:solidFill>
              <a:latin typeface="Arial"/>
              <a:cs typeface="Arial"/>
            </a:rPr>
            <a:pPr algn="ctr" rtl="0">
              <a:defRPr sz="1000"/>
            </a:pPr>
            <a:t>LM5143-Q1</a:t>
          </a:fld>
          <a:endParaRPr lang="en-US" sz="2000" b="1" i="0" u="none" strike="noStrike" baseline="0">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219075</xdr:colOff>
          <xdr:row>15</xdr:row>
          <xdr:rowOff>9525</xdr:rowOff>
        </xdr:from>
        <xdr:to>
          <xdr:col>7</xdr:col>
          <xdr:colOff>476250</xdr:colOff>
          <xdr:row>15</xdr:row>
          <xdr:rowOff>238125</xdr:rowOff>
        </xdr:to>
        <xdr:sp macro="" textlink="">
          <xdr:nvSpPr>
            <xdr:cNvPr id="713934" name="Drop Down 3278" hidden="1">
              <a:extLst>
                <a:ext uri="{63B3BB69-23CF-44E3-9099-C40C66FF867C}">
                  <a14:compatExt spid="_x0000_s713934"/>
                </a:ext>
                <a:ext uri="{FF2B5EF4-FFF2-40B4-BE49-F238E27FC236}">
                  <a16:creationId xmlns:a16="http://schemas.microsoft.com/office/drawing/2014/main" id="{00000000-0008-0000-0000-0000CEE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150936</xdr:colOff>
          <xdr:row>1</xdr:row>
          <xdr:rowOff>0</xdr:rowOff>
        </xdr:from>
        <xdr:to>
          <xdr:col>8</xdr:col>
          <xdr:colOff>676853</xdr:colOff>
          <xdr:row>34</xdr:row>
          <xdr:rowOff>57150</xdr:rowOff>
        </xdr:to>
        <xdr:pic>
          <xdr:nvPicPr>
            <xdr:cNvPr id="3" name="Picture 1175">
              <a:extLst>
                <a:ext uri="{FF2B5EF4-FFF2-40B4-BE49-F238E27FC236}">
                  <a16:creationId xmlns:a16="http://schemas.microsoft.com/office/drawing/2014/main" id="{00000000-0008-0000-0100-000003000000}"/>
                </a:ext>
              </a:extLst>
            </xdr:cNvPr>
            <xdr:cNvPicPr>
              <a:picLocks noChangeAspect="1" noChangeArrowheads="1"/>
              <a:extLst>
                <a:ext uri="{84589F7E-364E-4C9E-8A38-B11213B215E9}">
                  <a14:cameraTool cellRange="PICTURE2" spid="_x0000_s686746"/>
                </a:ext>
              </a:extLst>
            </xdr:cNvPicPr>
          </xdr:nvPicPr>
          <xdr:blipFill>
            <a:blip xmlns:r="http://schemas.openxmlformats.org/officeDocument/2006/relationships" r:embed="rId1"/>
            <a:srcRect/>
            <a:stretch>
              <a:fillRect/>
            </a:stretch>
          </xdr:blipFill>
          <xdr:spPr bwMode="auto">
            <a:xfrm>
              <a:off x="150936" y="161925"/>
              <a:ext cx="9184142" cy="54006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editAs="absolute">
    <xdr:from>
      <xdr:col>1</xdr:col>
      <xdr:colOff>327117</xdr:colOff>
      <xdr:row>11</xdr:row>
      <xdr:rowOff>112786</xdr:rowOff>
    </xdr:from>
    <xdr:to>
      <xdr:col>1</xdr:col>
      <xdr:colOff>712364</xdr:colOff>
      <xdr:row>13</xdr:row>
      <xdr:rowOff>20216</xdr:rowOff>
    </xdr:to>
    <xdr:sp macro="" textlink="">
      <xdr:nvSpPr>
        <xdr:cNvPr id="4" name="Text Box 228">
          <a:extLst>
            <a:ext uri="{FF2B5EF4-FFF2-40B4-BE49-F238E27FC236}">
              <a16:creationId xmlns:a16="http://schemas.microsoft.com/office/drawing/2014/main" id="{00000000-0008-0000-0100-000004000000}"/>
            </a:ext>
          </a:extLst>
        </xdr:cNvPr>
        <xdr:cNvSpPr txBox="1">
          <a:spLocks noChangeArrowheads="1"/>
        </xdr:cNvSpPr>
      </xdr:nvSpPr>
      <xdr:spPr bwMode="auto">
        <a:xfrm>
          <a:off x="965292" y="1893961"/>
          <a:ext cx="385247" cy="23128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4</xdr:col>
      <xdr:colOff>770277</xdr:colOff>
      <xdr:row>31</xdr:row>
      <xdr:rowOff>44509</xdr:rowOff>
    </xdr:from>
    <xdr:to>
      <xdr:col>4</xdr:col>
      <xdr:colOff>1152053</xdr:colOff>
      <xdr:row>32</xdr:row>
      <xdr:rowOff>133897</xdr:rowOff>
    </xdr:to>
    <xdr:sp macro="" textlink="">
      <xdr:nvSpPr>
        <xdr:cNvPr id="5" name="Text Box 233">
          <a:extLst>
            <a:ext uri="{FF2B5EF4-FFF2-40B4-BE49-F238E27FC236}">
              <a16:creationId xmlns:a16="http://schemas.microsoft.com/office/drawing/2014/main" id="{00000000-0008-0000-0100-000005000000}"/>
            </a:ext>
          </a:extLst>
        </xdr:cNvPr>
        <xdr:cNvSpPr txBox="1">
          <a:spLocks noChangeArrowheads="1"/>
        </xdr:cNvSpPr>
      </xdr:nvSpPr>
      <xdr:spPr bwMode="auto">
        <a:xfrm>
          <a:off x="5180352" y="5064184"/>
          <a:ext cx="381776" cy="251313"/>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VDDA</a:t>
          </a:r>
        </a:p>
      </xdr:txBody>
    </xdr:sp>
    <xdr:clientData/>
  </xdr:twoCellAnchor>
  <xdr:twoCellAnchor editAs="absolute">
    <xdr:from>
      <xdr:col>1</xdr:col>
      <xdr:colOff>537446</xdr:colOff>
      <xdr:row>7</xdr:row>
      <xdr:rowOff>110846</xdr:rowOff>
    </xdr:from>
    <xdr:to>
      <xdr:col>1</xdr:col>
      <xdr:colOff>781307</xdr:colOff>
      <xdr:row>9</xdr:row>
      <xdr:rowOff>8292</xdr:rowOff>
    </xdr:to>
    <xdr:sp macro="" textlink="">
      <xdr:nvSpPr>
        <xdr:cNvPr id="6" name="Text Box 234">
          <a:extLst>
            <a:ext uri="{FF2B5EF4-FFF2-40B4-BE49-F238E27FC236}">
              <a16:creationId xmlns:a16="http://schemas.microsoft.com/office/drawing/2014/main" id="{00000000-0008-0000-0100-000006000000}"/>
            </a:ext>
          </a:extLst>
        </xdr:cNvPr>
        <xdr:cNvSpPr txBox="1">
          <a:spLocks noChangeArrowheads="1"/>
        </xdr:cNvSpPr>
      </xdr:nvSpPr>
      <xdr:spPr bwMode="auto">
        <a:xfrm>
          <a:off x="1175621" y="1244321"/>
          <a:ext cx="243861" cy="22129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S1</a:t>
          </a:r>
        </a:p>
      </xdr:txBody>
    </xdr:sp>
    <xdr:clientData/>
  </xdr:twoCellAnchor>
  <xdr:twoCellAnchor editAs="absolute">
    <xdr:from>
      <xdr:col>1</xdr:col>
      <xdr:colOff>1015578</xdr:colOff>
      <xdr:row>8</xdr:row>
      <xdr:rowOff>102673</xdr:rowOff>
    </xdr:from>
    <xdr:to>
      <xdr:col>2</xdr:col>
      <xdr:colOff>249</xdr:colOff>
      <xdr:row>10</xdr:row>
      <xdr:rowOff>54330</xdr:rowOff>
    </xdr:to>
    <xdr:sp macro="" textlink="">
      <xdr:nvSpPr>
        <xdr:cNvPr id="7" name="Text Box 235">
          <a:extLst>
            <a:ext uri="{FF2B5EF4-FFF2-40B4-BE49-F238E27FC236}">
              <a16:creationId xmlns:a16="http://schemas.microsoft.com/office/drawing/2014/main" id="{00000000-0008-0000-0100-000007000000}"/>
            </a:ext>
          </a:extLst>
        </xdr:cNvPr>
        <xdr:cNvSpPr txBox="1">
          <a:spLocks noChangeArrowheads="1"/>
        </xdr:cNvSpPr>
      </xdr:nvSpPr>
      <xdr:spPr bwMode="auto">
        <a:xfrm>
          <a:off x="1653753" y="1398073"/>
          <a:ext cx="337221" cy="27550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xdr:col>
      <xdr:colOff>917688</xdr:colOff>
      <xdr:row>3</xdr:row>
      <xdr:rowOff>64533</xdr:rowOff>
    </xdr:from>
    <xdr:to>
      <xdr:col>1</xdr:col>
      <xdr:colOff>1246439</xdr:colOff>
      <xdr:row>4</xdr:row>
      <xdr:rowOff>128854</xdr:rowOff>
    </xdr:to>
    <xdr:sp macro="" textlink="">
      <xdr:nvSpPr>
        <xdr:cNvPr id="8" name="Text Box 244">
          <a:extLst>
            <a:ext uri="{FF2B5EF4-FFF2-40B4-BE49-F238E27FC236}">
              <a16:creationId xmlns:a16="http://schemas.microsoft.com/office/drawing/2014/main" id="{00000000-0008-0000-0100-000008000000}"/>
            </a:ext>
          </a:extLst>
        </xdr:cNvPr>
        <xdr:cNvSpPr txBox="1">
          <a:spLocks noChangeArrowheads="1"/>
        </xdr:cNvSpPr>
      </xdr:nvSpPr>
      <xdr:spPr bwMode="auto">
        <a:xfrm>
          <a:off x="1555863" y="550308"/>
          <a:ext cx="328751" cy="226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editAs="absolute">
    <xdr:from>
      <xdr:col>5</xdr:col>
      <xdr:colOff>311429</xdr:colOff>
      <xdr:row>3</xdr:row>
      <xdr:rowOff>95580</xdr:rowOff>
    </xdr:from>
    <xdr:to>
      <xdr:col>5</xdr:col>
      <xdr:colOff>721586</xdr:colOff>
      <xdr:row>5</xdr:row>
      <xdr:rowOff>13374</xdr:rowOff>
    </xdr:to>
    <xdr:sp macro="" textlink="">
      <xdr:nvSpPr>
        <xdr:cNvPr id="9" name="Text Box 248">
          <a:extLst>
            <a:ext uri="{FF2B5EF4-FFF2-40B4-BE49-F238E27FC236}">
              <a16:creationId xmlns:a16="http://schemas.microsoft.com/office/drawing/2014/main" id="{00000000-0008-0000-0100-000009000000}"/>
            </a:ext>
          </a:extLst>
        </xdr:cNvPr>
        <xdr:cNvSpPr txBox="1">
          <a:spLocks noChangeArrowheads="1"/>
        </xdr:cNvSpPr>
      </xdr:nvSpPr>
      <xdr:spPr bwMode="auto">
        <a:xfrm>
          <a:off x="5874029" y="581355"/>
          <a:ext cx="410157" cy="24164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5</xdr:col>
      <xdr:colOff>1215475</xdr:colOff>
      <xdr:row>3</xdr:row>
      <xdr:rowOff>101710</xdr:rowOff>
    </xdr:from>
    <xdr:to>
      <xdr:col>6</xdr:col>
      <xdr:colOff>219884</xdr:colOff>
      <xdr:row>5</xdr:row>
      <xdr:rowOff>31062</xdr:rowOff>
    </xdr:to>
    <xdr:sp macro="" textlink="">
      <xdr:nvSpPr>
        <xdr:cNvPr id="10" name="Text Box 249">
          <a:extLst>
            <a:ext uri="{FF2B5EF4-FFF2-40B4-BE49-F238E27FC236}">
              <a16:creationId xmlns:a16="http://schemas.microsoft.com/office/drawing/2014/main" id="{00000000-0008-0000-0100-00000A000000}"/>
            </a:ext>
          </a:extLst>
        </xdr:cNvPr>
        <xdr:cNvSpPr txBox="1">
          <a:spLocks noChangeArrowheads="1"/>
        </xdr:cNvSpPr>
      </xdr:nvSpPr>
      <xdr:spPr bwMode="auto">
        <a:xfrm>
          <a:off x="6778075" y="587485"/>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VCC2</a:t>
          </a:r>
        </a:p>
      </xdr:txBody>
    </xdr:sp>
    <xdr:clientData/>
  </xdr:twoCellAnchor>
  <xdr:twoCellAnchor editAs="absolute">
    <xdr:from>
      <xdr:col>2</xdr:col>
      <xdr:colOff>589169</xdr:colOff>
      <xdr:row>28</xdr:row>
      <xdr:rowOff>141288</xdr:rowOff>
    </xdr:from>
    <xdr:to>
      <xdr:col>2</xdr:col>
      <xdr:colOff>834519</xdr:colOff>
      <xdr:row>30</xdr:row>
      <xdr:rowOff>35965</xdr:rowOff>
    </xdr:to>
    <xdr:sp macro="" textlink="">
      <xdr:nvSpPr>
        <xdr:cNvPr id="11" name="Text Box 256">
          <a:extLst>
            <a:ext uri="{FF2B5EF4-FFF2-40B4-BE49-F238E27FC236}">
              <a16:creationId xmlns:a16="http://schemas.microsoft.com/office/drawing/2014/main" id="{00000000-0008-0000-0100-00000B000000}"/>
            </a:ext>
          </a:extLst>
        </xdr:cNvPr>
        <xdr:cNvSpPr txBox="1">
          <a:spLocks noChangeArrowheads="1"/>
        </xdr:cNvSpPr>
      </xdr:nvSpPr>
      <xdr:spPr bwMode="auto">
        <a:xfrm>
          <a:off x="2579894" y="4675188"/>
          <a:ext cx="245350" cy="21852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editAs="absolute">
    <xdr:from>
      <xdr:col>2</xdr:col>
      <xdr:colOff>289675</xdr:colOff>
      <xdr:row>23</xdr:row>
      <xdr:rowOff>132059</xdr:rowOff>
    </xdr:from>
    <xdr:to>
      <xdr:col>2</xdr:col>
      <xdr:colOff>604177</xdr:colOff>
      <xdr:row>25</xdr:row>
      <xdr:rowOff>52247</xdr:rowOff>
    </xdr:to>
    <xdr:sp macro="" textlink="">
      <xdr:nvSpPr>
        <xdr:cNvPr id="12" name="Text Box 257">
          <a:extLst>
            <a:ext uri="{FF2B5EF4-FFF2-40B4-BE49-F238E27FC236}">
              <a16:creationId xmlns:a16="http://schemas.microsoft.com/office/drawing/2014/main" id="{00000000-0008-0000-0100-00000C000000}"/>
            </a:ext>
          </a:extLst>
        </xdr:cNvPr>
        <xdr:cNvSpPr txBox="1">
          <a:spLocks noChangeArrowheads="1"/>
        </xdr:cNvSpPr>
      </xdr:nvSpPr>
      <xdr:spPr bwMode="auto">
        <a:xfrm>
          <a:off x="2280400" y="3856334"/>
          <a:ext cx="314502" cy="244038"/>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900" b="0" i="0" strike="noStrike">
              <a:solidFill>
                <a:srgbClr val="000000"/>
              </a:solidFill>
              <a:latin typeface="Arial" pitchFamily="34" charset="0"/>
              <a:cs typeface="Arial" pitchFamily="34" charset="0"/>
            </a:rPr>
            <a:t>C</a:t>
          </a:r>
          <a:r>
            <a:rPr lang="en-US" sz="900" b="0" i="0" strike="noStrike" baseline="-25000">
              <a:solidFill>
                <a:srgbClr val="000000"/>
              </a:solidFill>
              <a:latin typeface="Arial" pitchFamily="34" charset="0"/>
              <a:cs typeface="Arial" pitchFamily="34" charset="0"/>
            </a:rPr>
            <a:t>C1</a:t>
          </a:r>
        </a:p>
      </xdr:txBody>
    </xdr:sp>
    <xdr:clientData/>
  </xdr:twoCellAnchor>
  <xdr:twoCellAnchor editAs="absolute">
    <xdr:from>
      <xdr:col>2</xdr:col>
      <xdr:colOff>705821</xdr:colOff>
      <xdr:row>24</xdr:row>
      <xdr:rowOff>20397</xdr:rowOff>
    </xdr:from>
    <xdr:to>
      <xdr:col>2</xdr:col>
      <xdr:colOff>1015990</xdr:colOff>
      <xdr:row>25</xdr:row>
      <xdr:rowOff>77654</xdr:rowOff>
    </xdr:to>
    <xdr:sp macro="" textlink="">
      <xdr:nvSpPr>
        <xdr:cNvPr id="13" name="Text Box 258">
          <a:extLst>
            <a:ext uri="{FF2B5EF4-FFF2-40B4-BE49-F238E27FC236}">
              <a16:creationId xmlns:a16="http://schemas.microsoft.com/office/drawing/2014/main" id="{00000000-0008-0000-0100-00000D000000}"/>
            </a:ext>
          </a:extLst>
        </xdr:cNvPr>
        <xdr:cNvSpPr txBox="1">
          <a:spLocks noChangeArrowheads="1"/>
        </xdr:cNvSpPr>
      </xdr:nvSpPr>
      <xdr:spPr bwMode="auto">
        <a:xfrm>
          <a:off x="2696546" y="3906597"/>
          <a:ext cx="310169" cy="219182"/>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editAs="absolute">
    <xdr:from>
      <xdr:col>2</xdr:col>
      <xdr:colOff>392266</xdr:colOff>
      <xdr:row>29</xdr:row>
      <xdr:rowOff>139047</xdr:rowOff>
    </xdr:from>
    <xdr:to>
      <xdr:col>2</xdr:col>
      <xdr:colOff>814853</xdr:colOff>
      <xdr:row>31</xdr:row>
      <xdr:rowOff>37817</xdr:rowOff>
    </xdr:to>
    <xdr:sp macro="" textlink="'Variable Management'!B355">
      <xdr:nvSpPr>
        <xdr:cNvPr id="14" name="Text Box 262">
          <a:extLst>
            <a:ext uri="{FF2B5EF4-FFF2-40B4-BE49-F238E27FC236}">
              <a16:creationId xmlns:a16="http://schemas.microsoft.com/office/drawing/2014/main" id="{00000000-0008-0000-0100-00000E000000}"/>
            </a:ext>
          </a:extLst>
        </xdr:cNvPr>
        <xdr:cNvSpPr txBox="1">
          <a:spLocks noChangeArrowheads="1" noTextEdit="1"/>
        </xdr:cNvSpPr>
      </xdr:nvSpPr>
      <xdr:spPr bwMode="auto">
        <a:xfrm>
          <a:off x="2382991" y="4834872"/>
          <a:ext cx="422587" cy="222620"/>
        </a:xfrm>
        <a:prstGeom prst="rect">
          <a:avLst/>
        </a:prstGeom>
        <a:noFill/>
        <a:ln w="9525">
          <a:noFill/>
          <a:miter lim="800000"/>
          <a:headEnd/>
          <a:tailEnd/>
        </a:ln>
      </xdr:spPr>
      <xdr:txBody>
        <a:bodyPr vertOverflow="clip" wrap="square" lIns="27432" tIns="22860" rIns="0" bIns="0" anchor="ctr"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100pF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669788</xdr:colOff>
      <xdr:row>25</xdr:row>
      <xdr:rowOff>51975</xdr:rowOff>
    </xdr:from>
    <xdr:to>
      <xdr:col>3</xdr:col>
      <xdr:colOff>54224</xdr:colOff>
      <xdr:row>26</xdr:row>
      <xdr:rowOff>113383</xdr:rowOff>
    </xdr:to>
    <xdr:sp macro="" textlink="'Variable Management'!B353">
      <xdr:nvSpPr>
        <xdr:cNvPr id="15" name="Text Box 263">
          <a:extLst>
            <a:ext uri="{FF2B5EF4-FFF2-40B4-BE49-F238E27FC236}">
              <a16:creationId xmlns:a16="http://schemas.microsoft.com/office/drawing/2014/main" id="{00000000-0008-0000-0100-00000F000000}"/>
            </a:ext>
          </a:extLst>
        </xdr:cNvPr>
        <xdr:cNvSpPr txBox="1">
          <a:spLocks noChangeArrowheads="1" noTextEdit="1"/>
        </xdr:cNvSpPr>
      </xdr:nvSpPr>
      <xdr:spPr bwMode="auto">
        <a:xfrm>
          <a:off x="2660513" y="4100100"/>
          <a:ext cx="460761" cy="223333"/>
        </a:xfrm>
        <a:prstGeom prst="rect">
          <a:avLst/>
        </a:prstGeom>
        <a:noFill/>
        <a:ln w="9525">
          <a:noFill/>
          <a:miter lim="800000"/>
          <a:headEnd/>
          <a:tailEnd/>
        </a:ln>
      </xdr:spPr>
      <xdr:txBody>
        <a:bodyPr vertOverflow="clip" wrap="square" lIns="27432" tIns="22860" rIns="0" bIns="0" anchor="t" upright="1"/>
        <a:lstStyle/>
        <a:p>
          <a:pPr algn="l" rtl="0">
            <a:defRPr sz="1000"/>
          </a:pPr>
          <a:fld id="{EDB14F34-7391-4353-9626-FAE030CE211F}" type="TxLink">
            <a:rPr lang="en-US" sz="900" b="0" i="0" u="none" strike="noStrike" baseline="0">
              <a:solidFill>
                <a:srgbClr val="000000"/>
              </a:solidFill>
              <a:latin typeface="Arial" pitchFamily="34" charset="0"/>
              <a:cs typeface="Arial" pitchFamily="34" charset="0"/>
            </a:rPr>
            <a:pPr algn="l" rtl="0">
              <a:defRPr sz="1000"/>
            </a:pPr>
            <a:t>1.47kΩ</a:t>
          </a:fld>
          <a:endParaRPr lang="el-GR" sz="9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379595</xdr:colOff>
      <xdr:row>19</xdr:row>
      <xdr:rowOff>91412</xdr:rowOff>
    </xdr:from>
    <xdr:to>
      <xdr:col>2</xdr:col>
      <xdr:colOff>1061575</xdr:colOff>
      <xdr:row>21</xdr:row>
      <xdr:rowOff>30464</xdr:rowOff>
    </xdr:to>
    <xdr:sp macro="" textlink="'Variable Management'!B380">
      <xdr:nvSpPr>
        <xdr:cNvPr id="16" name="Text Box 265">
          <a:extLst>
            <a:ext uri="{FF2B5EF4-FFF2-40B4-BE49-F238E27FC236}">
              <a16:creationId xmlns:a16="http://schemas.microsoft.com/office/drawing/2014/main" id="{00000000-0008-0000-0100-000010000000}"/>
            </a:ext>
          </a:extLst>
        </xdr:cNvPr>
        <xdr:cNvSpPr txBox="1">
          <a:spLocks noChangeArrowheads="1" noTextEdit="1"/>
        </xdr:cNvSpPr>
      </xdr:nvSpPr>
      <xdr:spPr bwMode="auto">
        <a:xfrm>
          <a:off x="2370320" y="3167987"/>
          <a:ext cx="681980" cy="262902"/>
        </a:xfrm>
        <a:prstGeom prst="rect">
          <a:avLst/>
        </a:prstGeom>
        <a:noFill/>
        <a:ln w="9525">
          <a:noFill/>
          <a:miter lim="800000"/>
          <a:headEnd/>
          <a:tailEnd/>
        </a:ln>
      </xdr:spPr>
      <xdr:txBody>
        <a:bodyPr vertOverflow="clip" wrap="square" lIns="27432" tIns="22860" rIns="0" bIns="0" anchor="t" upright="1"/>
        <a:lstStyle/>
        <a:p>
          <a:pPr algn="r" rtl="0">
            <a:defRPr sz="1000"/>
          </a:pPr>
          <a:fld id="{30247B59-D142-4194-9028-13C083D6194C}" type="TxLink">
            <a:rPr lang="en-US" sz="1000" b="0" i="0" u="none" strike="noStrike" baseline="0">
              <a:solidFill>
                <a:srgbClr val="000000"/>
              </a:solidFill>
              <a:latin typeface="Arialri"/>
              <a:cs typeface="Arial" pitchFamily="34" charset="0"/>
            </a:rPr>
            <a:pPr algn="r" rtl="0">
              <a:defRPr sz="1000"/>
            </a:pPr>
            <a:t>10.5kΩ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96201</xdr:colOff>
      <xdr:row>13</xdr:row>
      <xdr:rowOff>12640</xdr:rowOff>
    </xdr:from>
    <xdr:to>
      <xdr:col>1</xdr:col>
      <xdr:colOff>596825</xdr:colOff>
      <xdr:row>14</xdr:row>
      <xdr:rowOff>57839</xdr:rowOff>
    </xdr:to>
    <xdr:sp macro="" textlink="'Variable Management'!B345">
      <xdr:nvSpPr>
        <xdr:cNvPr id="17" name="Text Box 267">
          <a:extLst>
            <a:ext uri="{FF2B5EF4-FFF2-40B4-BE49-F238E27FC236}">
              <a16:creationId xmlns:a16="http://schemas.microsoft.com/office/drawing/2014/main" id="{00000000-0008-0000-0100-000011000000}"/>
            </a:ext>
          </a:extLst>
        </xdr:cNvPr>
        <xdr:cNvSpPr txBox="1">
          <a:spLocks noChangeArrowheads="1" noTextEdit="1"/>
        </xdr:cNvSpPr>
      </xdr:nvSpPr>
      <xdr:spPr bwMode="auto">
        <a:xfrm>
          <a:off x="734376" y="2117665"/>
          <a:ext cx="500624" cy="207124"/>
        </a:xfrm>
        <a:prstGeom prst="rect">
          <a:avLst/>
        </a:prstGeom>
        <a:noFill/>
        <a:ln w="9525">
          <a:noFill/>
          <a:miter lim="800000"/>
          <a:headEnd/>
          <a:tailEnd/>
        </a:ln>
      </xdr:spPr>
      <xdr:txBody>
        <a:bodyPr vertOverflow="clip" wrap="square" lIns="27432" tIns="22860" rIns="0" bIns="0" anchor="ctr" upright="1"/>
        <a:lstStyle/>
        <a:p>
          <a:pPr algn="r" rtl="0">
            <a:defRPr sz="1000"/>
          </a:pPr>
          <a:fld id="{DEF62FD0-959B-4627-B7E8-61CA1688D174}" type="TxLink">
            <a:rPr lang="en-US" sz="1000" b="0" i="0" u="none" strike="noStrike" baseline="0">
              <a:solidFill>
                <a:srgbClr val="000000"/>
              </a:solidFill>
              <a:latin typeface="Arial" pitchFamily="34" charset="0"/>
              <a:cs typeface="Arial" pitchFamily="34" charset="0"/>
            </a:rPr>
            <a:pPr algn="r" rtl="0">
              <a:defRPr sz="1000"/>
            </a:pPr>
            <a:t>5µF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943743</xdr:colOff>
      <xdr:row>11</xdr:row>
      <xdr:rowOff>5363</xdr:rowOff>
    </xdr:from>
    <xdr:to>
      <xdr:col>2</xdr:col>
      <xdr:colOff>37971</xdr:colOff>
      <xdr:row>12</xdr:row>
      <xdr:rowOff>52531</xdr:rowOff>
    </xdr:to>
    <xdr:sp macro="" textlink="'Variable Management'!B339">
      <xdr:nvSpPr>
        <xdr:cNvPr id="18" name="Text Box 275">
          <a:extLst>
            <a:ext uri="{FF2B5EF4-FFF2-40B4-BE49-F238E27FC236}">
              <a16:creationId xmlns:a16="http://schemas.microsoft.com/office/drawing/2014/main" id="{00000000-0008-0000-0100-000012000000}"/>
            </a:ext>
          </a:extLst>
        </xdr:cNvPr>
        <xdr:cNvSpPr txBox="1">
          <a:spLocks noChangeArrowheads="1" noTextEdit="1"/>
        </xdr:cNvSpPr>
      </xdr:nvSpPr>
      <xdr:spPr bwMode="auto">
        <a:xfrm>
          <a:off x="1581918" y="1786538"/>
          <a:ext cx="446778" cy="209093"/>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2.2µH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876850</xdr:colOff>
      <xdr:row>4</xdr:row>
      <xdr:rowOff>95130</xdr:rowOff>
    </xdr:from>
    <xdr:to>
      <xdr:col>1</xdr:col>
      <xdr:colOff>1352510</xdr:colOff>
      <xdr:row>5</xdr:row>
      <xdr:rowOff>156921</xdr:rowOff>
    </xdr:to>
    <xdr:sp macro="" textlink="'Variable Management'!B349">
      <xdr:nvSpPr>
        <xdr:cNvPr id="19" name="Text Box 276">
          <a:extLst>
            <a:ext uri="{FF2B5EF4-FFF2-40B4-BE49-F238E27FC236}">
              <a16:creationId xmlns:a16="http://schemas.microsoft.com/office/drawing/2014/main" id="{00000000-0008-0000-0100-000013000000}"/>
            </a:ext>
          </a:extLst>
        </xdr:cNvPr>
        <xdr:cNvSpPr txBox="1">
          <a:spLocks noChangeArrowheads="1" noTextEdit="1"/>
        </xdr:cNvSpPr>
      </xdr:nvSpPr>
      <xdr:spPr bwMode="auto">
        <a:xfrm>
          <a:off x="1515025" y="742830"/>
          <a:ext cx="475660" cy="223716"/>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000" b="0" i="0" u="none" strike="noStrike" baseline="0">
              <a:solidFill>
                <a:srgbClr val="000000"/>
              </a:solidFill>
              <a:latin typeface="Arial" pitchFamily="34" charset="0"/>
              <a:cs typeface="Arial" pitchFamily="34" charset="0"/>
            </a:rPr>
            <a:pPr algn="l" rtl="0">
              <a:defRPr sz="1000"/>
            </a:pPr>
            <a:t>50µF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3</xdr:col>
      <xdr:colOff>870011</xdr:colOff>
      <xdr:row>32</xdr:row>
      <xdr:rowOff>86651</xdr:rowOff>
    </xdr:from>
    <xdr:to>
      <xdr:col>3</xdr:col>
      <xdr:colOff>1307654</xdr:colOff>
      <xdr:row>33</xdr:row>
      <xdr:rowOff>158938</xdr:rowOff>
    </xdr:to>
    <xdr:sp macro="" textlink="'Variable Management'!B381">
      <xdr:nvSpPr>
        <xdr:cNvPr id="20" name="Text Box 281">
          <a:extLst>
            <a:ext uri="{FF2B5EF4-FFF2-40B4-BE49-F238E27FC236}">
              <a16:creationId xmlns:a16="http://schemas.microsoft.com/office/drawing/2014/main" id="{00000000-0008-0000-0100-000014000000}"/>
            </a:ext>
          </a:extLst>
        </xdr:cNvPr>
        <xdr:cNvSpPr txBox="1">
          <a:spLocks noChangeArrowheads="1" noTextEdit="1"/>
        </xdr:cNvSpPr>
      </xdr:nvSpPr>
      <xdr:spPr bwMode="auto">
        <a:xfrm>
          <a:off x="3937061" y="5268251"/>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7460045-3ADA-4E36-A50B-8C5C548E137C}" type="TxLink">
            <a:rPr lang="en-US" sz="1000" b="0" i="0" u="none" strike="noStrike">
              <a:solidFill>
                <a:srgbClr val="000000"/>
              </a:solidFill>
              <a:latin typeface="Arial" pitchFamily="34" charset="0"/>
              <a:cs typeface="Arial" pitchFamily="34" charset="0"/>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0</xdr:col>
      <xdr:colOff>0</xdr:colOff>
      <xdr:row>10</xdr:row>
      <xdr:rowOff>19036</xdr:rowOff>
    </xdr:from>
    <xdr:to>
      <xdr:col>0</xdr:col>
      <xdr:colOff>482804</xdr:colOff>
      <xdr:row>11</xdr:row>
      <xdr:rowOff>101723</xdr:rowOff>
    </xdr:to>
    <xdr:sp macro="" textlink="'Variable Management'!B343">
      <xdr:nvSpPr>
        <xdr:cNvPr id="21" name="Text Box 285">
          <a:extLst>
            <a:ext uri="{FF2B5EF4-FFF2-40B4-BE49-F238E27FC236}">
              <a16:creationId xmlns:a16="http://schemas.microsoft.com/office/drawing/2014/main" id="{00000000-0008-0000-0100-000015000000}"/>
            </a:ext>
          </a:extLst>
        </xdr:cNvPr>
        <xdr:cNvSpPr txBox="1">
          <a:spLocks noChangeArrowheads="1" noTextEdit="1"/>
        </xdr:cNvSpPr>
      </xdr:nvSpPr>
      <xdr:spPr bwMode="auto">
        <a:xfrm>
          <a:off x="0" y="1638286"/>
          <a:ext cx="482804" cy="244612"/>
        </a:xfrm>
        <a:prstGeom prst="rect">
          <a:avLst/>
        </a:prstGeom>
        <a:noFill/>
        <a:ln w="9525">
          <a:noFill/>
          <a:miter lim="800000"/>
          <a:headEnd/>
          <a:tailEnd/>
        </a:ln>
      </xdr:spPr>
      <xdr:txBody>
        <a:bodyPr vertOverflow="clip" wrap="square" lIns="27432" tIns="22860" rIns="0" bIns="0" anchor="ctr" upright="1"/>
        <a:lstStyle/>
        <a:p>
          <a:pPr algn="r" rtl="0">
            <a:defRPr sz="1000"/>
          </a:pPr>
          <a:fld id="{702C2B8A-7C4B-4FDB-B229-3170089D9686}" type="TxLink">
            <a:rPr lang="en-US" sz="1000" b="1" i="0" u="none" strike="noStrike" baseline="0">
              <a:solidFill>
                <a:srgbClr val="FF0000"/>
              </a:solidFill>
              <a:latin typeface="Arial" pitchFamily="34" charset="0"/>
              <a:cs typeface="Arial" pitchFamily="34" charset="0"/>
            </a:rPr>
            <a:pPr algn="r" rtl="0">
              <a:defRPr sz="1000"/>
            </a:pPr>
            <a:t>5V</a:t>
          </a:fld>
          <a:endParaRPr lang="en-US" sz="1000" b="1" i="0" u="none" strike="noStrike" baseline="0">
            <a:solidFill>
              <a:srgbClr val="FF0000"/>
            </a:solidFill>
            <a:latin typeface="Arial" pitchFamily="34" charset="0"/>
            <a:cs typeface="Arial" pitchFamily="34" charset="0"/>
          </a:endParaRPr>
        </a:p>
      </xdr:txBody>
    </xdr:sp>
    <xdr:clientData/>
  </xdr:twoCellAnchor>
  <xdr:twoCellAnchor editAs="absolute">
    <xdr:from>
      <xdr:col>0</xdr:col>
      <xdr:colOff>10795</xdr:colOff>
      <xdr:row>11</xdr:row>
      <xdr:rowOff>64131</xdr:rowOff>
    </xdr:from>
    <xdr:to>
      <xdr:col>0</xdr:col>
      <xdr:colOff>467973</xdr:colOff>
      <xdr:row>12</xdr:row>
      <xdr:rowOff>144760</xdr:rowOff>
    </xdr:to>
    <xdr:sp macro="" textlink="'Variable Management'!B386">
      <xdr:nvSpPr>
        <xdr:cNvPr id="22" name="Text Box 286">
          <a:extLst>
            <a:ext uri="{FF2B5EF4-FFF2-40B4-BE49-F238E27FC236}">
              <a16:creationId xmlns:a16="http://schemas.microsoft.com/office/drawing/2014/main" id="{00000000-0008-0000-0100-000016000000}"/>
            </a:ext>
          </a:extLst>
        </xdr:cNvPr>
        <xdr:cNvSpPr txBox="1">
          <a:spLocks noChangeArrowheads="1" noTextEdit="1"/>
        </xdr:cNvSpPr>
      </xdr:nvSpPr>
      <xdr:spPr bwMode="auto">
        <a:xfrm>
          <a:off x="10795" y="1845306"/>
          <a:ext cx="457178" cy="242554"/>
        </a:xfrm>
        <a:prstGeom prst="rect">
          <a:avLst/>
        </a:prstGeom>
        <a:noFill/>
        <a:ln w="9525">
          <a:noFill/>
          <a:miter lim="800000"/>
          <a:headEnd/>
          <a:tailEnd/>
        </a:ln>
      </xdr:spPr>
      <xdr:txBody>
        <a:bodyPr vertOverflow="clip" wrap="square" lIns="27432" tIns="22860" rIns="0" bIns="0" anchor="t" upright="1"/>
        <a:lstStyle/>
        <a:p>
          <a:pPr algn="r" rtl="0">
            <a:defRPr sz="1000"/>
          </a:pPr>
          <a:fld id="{E0FB88FA-F39E-4ACF-AB5E-DCB628763AAE}" type="TxLink">
            <a:rPr lang="en-US" sz="1000" b="1" i="0" u="none" strike="noStrike">
              <a:solidFill>
                <a:srgbClr val="FF0000"/>
              </a:solidFill>
              <a:latin typeface="Arial" pitchFamily="34" charset="0"/>
              <a:cs typeface="Arial" pitchFamily="34" charset="0"/>
            </a:rPr>
            <a:pPr algn="r" rtl="0">
              <a:defRPr sz="1000"/>
            </a:pPr>
            <a:t>5A</a:t>
          </a:fld>
          <a:endParaRPr lang="en-US" sz="1000" b="1" i="0" strike="noStrike">
            <a:solidFill>
              <a:srgbClr val="FF0000"/>
            </a:solidFill>
            <a:latin typeface="Arial" pitchFamily="34" charset="0"/>
            <a:cs typeface="Arial" pitchFamily="34" charset="0"/>
          </a:endParaRPr>
        </a:p>
      </xdr:txBody>
    </xdr:sp>
    <xdr:clientData/>
  </xdr:twoCellAnchor>
  <xdr:twoCellAnchor editAs="absolute">
    <xdr:from>
      <xdr:col>2</xdr:col>
      <xdr:colOff>658119</xdr:colOff>
      <xdr:row>17</xdr:row>
      <xdr:rowOff>92548</xdr:rowOff>
    </xdr:from>
    <xdr:to>
      <xdr:col>2</xdr:col>
      <xdr:colOff>924041</xdr:colOff>
      <xdr:row>18</xdr:row>
      <xdr:rowOff>122438</xdr:rowOff>
    </xdr:to>
    <xdr:sp macro="" textlink="">
      <xdr:nvSpPr>
        <xdr:cNvPr id="23" name="Text Box 251">
          <a:extLst>
            <a:ext uri="{FF2B5EF4-FFF2-40B4-BE49-F238E27FC236}">
              <a16:creationId xmlns:a16="http://schemas.microsoft.com/office/drawing/2014/main" id="{00000000-0008-0000-0100-000017000000}"/>
            </a:ext>
          </a:extLst>
        </xdr:cNvPr>
        <xdr:cNvSpPr txBox="1">
          <a:spLocks noChangeArrowheads="1"/>
        </xdr:cNvSpPr>
      </xdr:nvSpPr>
      <xdr:spPr bwMode="auto">
        <a:xfrm>
          <a:off x="2648844" y="2845273"/>
          <a:ext cx="265922" cy="191815"/>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T</a:t>
          </a:r>
        </a:p>
      </xdr:txBody>
    </xdr:sp>
    <xdr:clientData/>
  </xdr:twoCellAnchor>
  <xdr:twoCellAnchor editAs="absolute">
    <xdr:from>
      <xdr:col>5</xdr:col>
      <xdr:colOff>891111</xdr:colOff>
      <xdr:row>7</xdr:row>
      <xdr:rowOff>51329</xdr:rowOff>
    </xdr:from>
    <xdr:to>
      <xdr:col>5</xdr:col>
      <xdr:colOff>1353903</xdr:colOff>
      <xdr:row>8</xdr:row>
      <xdr:rowOff>112679</xdr:rowOff>
    </xdr:to>
    <xdr:sp macro="" textlink="">
      <xdr:nvSpPr>
        <xdr:cNvPr id="24" name="Text Box 247">
          <a:extLst>
            <a:ext uri="{FF2B5EF4-FFF2-40B4-BE49-F238E27FC236}">
              <a16:creationId xmlns:a16="http://schemas.microsoft.com/office/drawing/2014/main" id="{00000000-0008-0000-0100-000018000000}"/>
            </a:ext>
          </a:extLst>
        </xdr:cNvPr>
        <xdr:cNvSpPr txBox="1">
          <a:spLocks noChangeArrowheads="1"/>
        </xdr:cNvSpPr>
      </xdr:nvSpPr>
      <xdr:spPr bwMode="auto">
        <a:xfrm>
          <a:off x="6453711" y="1184804"/>
          <a:ext cx="462792" cy="22327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xdr:col>
      <xdr:colOff>1199239</xdr:colOff>
      <xdr:row>12</xdr:row>
      <xdr:rowOff>117699</xdr:rowOff>
    </xdr:from>
    <xdr:to>
      <xdr:col>2</xdr:col>
      <xdr:colOff>169074</xdr:colOff>
      <xdr:row>14</xdr:row>
      <xdr:rowOff>39099</xdr:rowOff>
    </xdr:to>
    <xdr:sp macro="" textlink="">
      <xdr:nvSpPr>
        <xdr:cNvPr id="25" name="Text Box 244">
          <a:extLst>
            <a:ext uri="{FF2B5EF4-FFF2-40B4-BE49-F238E27FC236}">
              <a16:creationId xmlns:a16="http://schemas.microsoft.com/office/drawing/2014/main" id="{00000000-0008-0000-0100-000019000000}"/>
            </a:ext>
          </a:extLst>
        </xdr:cNvPr>
        <xdr:cNvSpPr txBox="1">
          <a:spLocks noChangeArrowheads="1"/>
        </xdr:cNvSpPr>
      </xdr:nvSpPr>
      <xdr:spPr bwMode="auto">
        <a:xfrm>
          <a:off x="1837414" y="2060799"/>
          <a:ext cx="322385" cy="245250"/>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editAs="absolute">
    <xdr:from>
      <xdr:col>2</xdr:col>
      <xdr:colOff>10173</xdr:colOff>
      <xdr:row>8</xdr:row>
      <xdr:rowOff>65261</xdr:rowOff>
    </xdr:from>
    <xdr:to>
      <xdr:col>2</xdr:col>
      <xdr:colOff>329779</xdr:colOff>
      <xdr:row>10</xdr:row>
      <xdr:rowOff>10533</xdr:rowOff>
    </xdr:to>
    <xdr:sp macro="" textlink="">
      <xdr:nvSpPr>
        <xdr:cNvPr id="26" name="Text Box 244">
          <a:extLst>
            <a:ext uri="{FF2B5EF4-FFF2-40B4-BE49-F238E27FC236}">
              <a16:creationId xmlns:a16="http://schemas.microsoft.com/office/drawing/2014/main" id="{00000000-0008-0000-0100-00001A000000}"/>
            </a:ext>
          </a:extLst>
        </xdr:cNvPr>
        <xdr:cNvSpPr txBox="1">
          <a:spLocks noChangeArrowheads="1"/>
        </xdr:cNvSpPr>
      </xdr:nvSpPr>
      <xdr:spPr bwMode="auto">
        <a:xfrm>
          <a:off x="2000898" y="1360661"/>
          <a:ext cx="319606" cy="26912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editAs="absolute">
    <xdr:from>
      <xdr:col>1</xdr:col>
      <xdr:colOff>428508</xdr:colOff>
      <xdr:row>8</xdr:row>
      <xdr:rowOff>133037</xdr:rowOff>
    </xdr:from>
    <xdr:to>
      <xdr:col>1</xdr:col>
      <xdr:colOff>909453</xdr:colOff>
      <xdr:row>10</xdr:row>
      <xdr:rowOff>80249</xdr:rowOff>
    </xdr:to>
    <xdr:sp macro="" textlink="'Variable Management'!B341">
      <xdr:nvSpPr>
        <xdr:cNvPr id="27" name="Text Box 275">
          <a:extLst>
            <a:ext uri="{FF2B5EF4-FFF2-40B4-BE49-F238E27FC236}">
              <a16:creationId xmlns:a16="http://schemas.microsoft.com/office/drawing/2014/main" id="{00000000-0008-0000-0100-00001B000000}"/>
            </a:ext>
          </a:extLst>
        </xdr:cNvPr>
        <xdr:cNvSpPr txBox="1">
          <a:spLocks noChangeArrowheads="1" noTextEdit="1"/>
        </xdr:cNvSpPr>
      </xdr:nvSpPr>
      <xdr:spPr bwMode="auto">
        <a:xfrm>
          <a:off x="1066683" y="1428437"/>
          <a:ext cx="480945" cy="271062"/>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10mΩ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1234493</xdr:colOff>
      <xdr:row>5</xdr:row>
      <xdr:rowOff>4688</xdr:rowOff>
    </xdr:from>
    <xdr:to>
      <xdr:col>6</xdr:col>
      <xdr:colOff>313486</xdr:colOff>
      <xdr:row>6</xdr:row>
      <xdr:rowOff>75670</xdr:rowOff>
    </xdr:to>
    <xdr:sp macro="" textlink="">
      <xdr:nvSpPr>
        <xdr:cNvPr id="28" name="Text Box 279">
          <a:extLst>
            <a:ext uri="{FF2B5EF4-FFF2-40B4-BE49-F238E27FC236}">
              <a16:creationId xmlns:a16="http://schemas.microsoft.com/office/drawing/2014/main" id="{00000000-0008-0000-0100-00001C000000}"/>
            </a:ext>
          </a:extLst>
        </xdr:cNvPr>
        <xdr:cNvSpPr txBox="1">
          <a:spLocks noChangeArrowheads="1"/>
        </xdr:cNvSpPr>
      </xdr:nvSpPr>
      <xdr:spPr bwMode="auto">
        <a:xfrm>
          <a:off x="6797093" y="814313"/>
          <a:ext cx="450593" cy="232907"/>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6</xdr:col>
      <xdr:colOff>285960</xdr:colOff>
      <xdr:row>12</xdr:row>
      <xdr:rowOff>83920</xdr:rowOff>
    </xdr:from>
    <xdr:to>
      <xdr:col>6</xdr:col>
      <xdr:colOff>561742</xdr:colOff>
      <xdr:row>14</xdr:row>
      <xdr:rowOff>51172</xdr:rowOff>
    </xdr:to>
    <xdr:sp macro="" textlink="">
      <xdr:nvSpPr>
        <xdr:cNvPr id="29" name="Text Box 244">
          <a:extLst>
            <a:ext uri="{FF2B5EF4-FFF2-40B4-BE49-F238E27FC236}">
              <a16:creationId xmlns:a16="http://schemas.microsoft.com/office/drawing/2014/main" id="{00000000-0008-0000-0100-00001D000000}"/>
            </a:ext>
          </a:extLst>
        </xdr:cNvPr>
        <xdr:cNvSpPr txBox="1">
          <a:spLocks noChangeArrowheads="1"/>
        </xdr:cNvSpPr>
      </xdr:nvSpPr>
      <xdr:spPr bwMode="auto">
        <a:xfrm>
          <a:off x="7220160" y="2027020"/>
          <a:ext cx="275782" cy="2911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editAs="absolute">
    <xdr:from>
      <xdr:col>6</xdr:col>
      <xdr:colOff>292065</xdr:colOff>
      <xdr:row>8</xdr:row>
      <xdr:rowOff>56469</xdr:rowOff>
    </xdr:from>
    <xdr:to>
      <xdr:col>6</xdr:col>
      <xdr:colOff>569068</xdr:colOff>
      <xdr:row>9</xdr:row>
      <xdr:rowOff>161392</xdr:rowOff>
    </xdr:to>
    <xdr:sp macro="" textlink="">
      <xdr:nvSpPr>
        <xdr:cNvPr id="30" name="Text Box 244">
          <a:extLst>
            <a:ext uri="{FF2B5EF4-FFF2-40B4-BE49-F238E27FC236}">
              <a16:creationId xmlns:a16="http://schemas.microsoft.com/office/drawing/2014/main" id="{00000000-0008-0000-0100-00001E000000}"/>
            </a:ext>
          </a:extLst>
        </xdr:cNvPr>
        <xdr:cNvSpPr txBox="1">
          <a:spLocks noChangeArrowheads="1"/>
        </xdr:cNvSpPr>
      </xdr:nvSpPr>
      <xdr:spPr bwMode="auto">
        <a:xfrm>
          <a:off x="7226265" y="1351869"/>
          <a:ext cx="277003" cy="26684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editAs="absolute">
    <xdr:from>
      <xdr:col>2</xdr:col>
      <xdr:colOff>118463</xdr:colOff>
      <xdr:row>24</xdr:row>
      <xdr:rowOff>154077</xdr:rowOff>
    </xdr:from>
    <xdr:to>
      <xdr:col>2</xdr:col>
      <xdr:colOff>623979</xdr:colOff>
      <xdr:row>26</xdr:row>
      <xdr:rowOff>73629</xdr:rowOff>
    </xdr:to>
    <xdr:sp macro="" textlink="'Variable Management'!B354">
      <xdr:nvSpPr>
        <xdr:cNvPr id="31" name="Text Box 261">
          <a:extLst>
            <a:ext uri="{FF2B5EF4-FFF2-40B4-BE49-F238E27FC236}">
              <a16:creationId xmlns:a16="http://schemas.microsoft.com/office/drawing/2014/main" id="{00000000-0008-0000-0100-00001F000000}"/>
            </a:ext>
          </a:extLst>
        </xdr:cNvPr>
        <xdr:cNvSpPr txBox="1">
          <a:spLocks noChangeArrowheads="1" noTextEdit="1"/>
        </xdr:cNvSpPr>
      </xdr:nvSpPr>
      <xdr:spPr bwMode="auto">
        <a:xfrm>
          <a:off x="2109188" y="4040277"/>
          <a:ext cx="505516" cy="243402"/>
        </a:xfrm>
        <a:prstGeom prst="rect">
          <a:avLst/>
        </a:prstGeom>
        <a:noFill/>
        <a:ln w="9525">
          <a:noFill/>
          <a:miter lim="800000"/>
          <a:headEnd/>
          <a:tailEnd/>
        </a:ln>
      </xdr:spPr>
      <xdr:txBody>
        <a:bodyPr vertOverflow="clip" wrap="square" lIns="27432" tIns="22860" rIns="0" bIns="0" anchor="t" upright="1"/>
        <a:lstStyle/>
        <a:p>
          <a:pPr algn="r" rtl="0">
            <a:defRPr sz="1000"/>
          </a:pPr>
          <a:fld id="{B9060F6D-CAA3-48E6-BAE7-37C16D6980D0}" type="TxLink">
            <a:rPr lang="en-US" sz="900" b="0" i="0" u="none" strike="noStrike" baseline="0">
              <a:solidFill>
                <a:srgbClr val="000000"/>
              </a:solidFill>
              <a:latin typeface="Arialri"/>
              <a:cs typeface="Arial" pitchFamily="34" charset="0"/>
            </a:rPr>
            <a:pPr algn="r" rtl="0">
              <a:defRPr sz="1000"/>
            </a:pPr>
            <a:t>18nF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389074</xdr:colOff>
      <xdr:row>2</xdr:row>
      <xdr:rowOff>90854</xdr:rowOff>
    </xdr:from>
    <xdr:to>
      <xdr:col>2</xdr:col>
      <xdr:colOff>33752</xdr:colOff>
      <xdr:row>4</xdr:row>
      <xdr:rowOff>30183</xdr:rowOff>
    </xdr:to>
    <xdr:sp macro="" textlink="'Variable Management'!B388">
      <xdr:nvSpPr>
        <xdr:cNvPr id="32" name="Text Box 283">
          <a:extLst>
            <a:ext uri="{FF2B5EF4-FFF2-40B4-BE49-F238E27FC236}">
              <a16:creationId xmlns:a16="http://schemas.microsoft.com/office/drawing/2014/main" id="{00000000-0008-0000-0100-000020000000}"/>
            </a:ext>
          </a:extLst>
        </xdr:cNvPr>
        <xdr:cNvSpPr txBox="1">
          <a:spLocks noChangeArrowheads="1" noTextEdit="1"/>
        </xdr:cNvSpPr>
      </xdr:nvSpPr>
      <xdr:spPr bwMode="auto">
        <a:xfrm>
          <a:off x="1027249" y="414704"/>
          <a:ext cx="997228" cy="263179"/>
        </a:xfrm>
        <a:prstGeom prst="rect">
          <a:avLst/>
        </a:prstGeom>
        <a:noFill/>
        <a:ln w="9525">
          <a:noFill/>
          <a:miter lim="800000"/>
          <a:headEnd/>
          <a:tailEnd/>
        </a:ln>
      </xdr:spPr>
      <xdr:txBody>
        <a:bodyPr vertOverflow="clip" wrap="square" lIns="27432" tIns="22860" rIns="0" bIns="0" anchor="t" upright="1"/>
        <a:lstStyle/>
        <a:p>
          <a:pPr algn="l" rtl="0">
            <a:defRPr sz="1000"/>
          </a:pPr>
          <a:fld id="{B114F7CE-60BB-40BD-BD7F-B22E7592FFCF}" type="TxLink">
            <a:rPr lang="en-US" sz="1050" b="1" i="0" u="none" strike="noStrike">
              <a:solidFill>
                <a:srgbClr val="FF0000"/>
              </a:solidFill>
              <a:latin typeface="Arial"/>
              <a:cs typeface="Arial"/>
            </a:rPr>
            <a:pPr algn="l" rtl="0">
              <a:defRPr sz="1000"/>
            </a:pPr>
            <a:t>20V...26V</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3</xdr:col>
      <xdr:colOff>82930</xdr:colOff>
      <xdr:row>3</xdr:row>
      <xdr:rowOff>74154</xdr:rowOff>
    </xdr:from>
    <xdr:to>
      <xdr:col>3</xdr:col>
      <xdr:colOff>493087</xdr:colOff>
      <xdr:row>4</xdr:row>
      <xdr:rowOff>153873</xdr:rowOff>
    </xdr:to>
    <xdr:sp macro="" textlink="">
      <xdr:nvSpPr>
        <xdr:cNvPr id="33" name="Text Box 248">
          <a:extLst>
            <a:ext uri="{FF2B5EF4-FFF2-40B4-BE49-F238E27FC236}">
              <a16:creationId xmlns:a16="http://schemas.microsoft.com/office/drawing/2014/main" id="{00000000-0008-0000-0100-000021000000}"/>
            </a:ext>
          </a:extLst>
        </xdr:cNvPr>
        <xdr:cNvSpPr txBox="1">
          <a:spLocks noChangeArrowheads="1"/>
        </xdr:cNvSpPr>
      </xdr:nvSpPr>
      <xdr:spPr bwMode="auto">
        <a:xfrm>
          <a:off x="3149980" y="559929"/>
          <a:ext cx="410157" cy="24164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4</xdr:col>
      <xdr:colOff>786366</xdr:colOff>
      <xdr:row>32</xdr:row>
      <xdr:rowOff>51348</xdr:rowOff>
    </xdr:from>
    <xdr:to>
      <xdr:col>5</xdr:col>
      <xdr:colOff>61458</xdr:colOff>
      <xdr:row>33</xdr:row>
      <xdr:rowOff>125538</xdr:rowOff>
    </xdr:to>
    <xdr:sp macro="" textlink="">
      <xdr:nvSpPr>
        <xdr:cNvPr id="34" name="Text Box 279">
          <a:extLst>
            <a:ext uri="{FF2B5EF4-FFF2-40B4-BE49-F238E27FC236}">
              <a16:creationId xmlns:a16="http://schemas.microsoft.com/office/drawing/2014/main" id="{00000000-0008-0000-0100-000022000000}"/>
            </a:ext>
          </a:extLst>
        </xdr:cNvPr>
        <xdr:cNvSpPr txBox="1">
          <a:spLocks noChangeArrowheads="1"/>
        </xdr:cNvSpPr>
      </xdr:nvSpPr>
      <xdr:spPr bwMode="auto">
        <a:xfrm>
          <a:off x="5196441" y="5232948"/>
          <a:ext cx="427617" cy="2361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470nF</a:t>
          </a:r>
          <a:endParaRPr lang="en-US" sz="1000">
            <a:latin typeface="Arial" pitchFamily="34" charset="0"/>
            <a:cs typeface="Arial" pitchFamily="34" charset="0"/>
          </a:endParaRPr>
        </a:p>
      </xdr:txBody>
    </xdr:sp>
    <xdr:clientData/>
  </xdr:twoCellAnchor>
  <xdr:twoCellAnchor editAs="absolute">
    <xdr:from>
      <xdr:col>2</xdr:col>
      <xdr:colOff>551311</xdr:colOff>
      <xdr:row>7</xdr:row>
      <xdr:rowOff>49455</xdr:rowOff>
    </xdr:from>
    <xdr:to>
      <xdr:col>2</xdr:col>
      <xdr:colOff>1014103</xdr:colOff>
      <xdr:row>8</xdr:row>
      <xdr:rowOff>110805</xdr:rowOff>
    </xdr:to>
    <xdr:sp macro="" textlink="">
      <xdr:nvSpPr>
        <xdr:cNvPr id="35" name="Text Box 247">
          <a:extLst>
            <a:ext uri="{FF2B5EF4-FFF2-40B4-BE49-F238E27FC236}">
              <a16:creationId xmlns:a16="http://schemas.microsoft.com/office/drawing/2014/main" id="{00000000-0008-0000-0100-000023000000}"/>
            </a:ext>
          </a:extLst>
        </xdr:cNvPr>
        <xdr:cNvSpPr txBox="1">
          <a:spLocks noChangeArrowheads="1"/>
        </xdr:cNvSpPr>
      </xdr:nvSpPr>
      <xdr:spPr bwMode="auto">
        <a:xfrm>
          <a:off x="2542036" y="1182930"/>
          <a:ext cx="462792" cy="22327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2</xdr:col>
      <xdr:colOff>335584</xdr:colOff>
      <xdr:row>3</xdr:row>
      <xdr:rowOff>102202</xdr:rowOff>
    </xdr:from>
    <xdr:to>
      <xdr:col>2</xdr:col>
      <xdr:colOff>711593</xdr:colOff>
      <xdr:row>5</xdr:row>
      <xdr:rowOff>31554</xdr:rowOff>
    </xdr:to>
    <xdr:sp macro="" textlink="">
      <xdr:nvSpPr>
        <xdr:cNvPr id="36" name="Text Box 249">
          <a:extLst>
            <a:ext uri="{FF2B5EF4-FFF2-40B4-BE49-F238E27FC236}">
              <a16:creationId xmlns:a16="http://schemas.microsoft.com/office/drawing/2014/main" id="{00000000-0008-0000-0100-000024000000}"/>
            </a:ext>
          </a:extLst>
        </xdr:cNvPr>
        <xdr:cNvSpPr txBox="1">
          <a:spLocks noChangeArrowheads="1"/>
        </xdr:cNvSpPr>
      </xdr:nvSpPr>
      <xdr:spPr bwMode="auto">
        <a:xfrm>
          <a:off x="2326309" y="587977"/>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VCC1</a:t>
          </a:r>
        </a:p>
      </xdr:txBody>
    </xdr:sp>
    <xdr:clientData/>
  </xdr:twoCellAnchor>
  <xdr:twoCellAnchor editAs="absolute">
    <xdr:from>
      <xdr:col>2</xdr:col>
      <xdr:colOff>358133</xdr:colOff>
      <xdr:row>5</xdr:row>
      <xdr:rowOff>25459</xdr:rowOff>
    </xdr:from>
    <xdr:to>
      <xdr:col>2</xdr:col>
      <xdr:colOff>810191</xdr:colOff>
      <xdr:row>6</xdr:row>
      <xdr:rowOff>97632</xdr:rowOff>
    </xdr:to>
    <xdr:sp macro="" textlink="">
      <xdr:nvSpPr>
        <xdr:cNvPr id="37" name="Text Box 279">
          <a:extLst>
            <a:ext uri="{FF2B5EF4-FFF2-40B4-BE49-F238E27FC236}">
              <a16:creationId xmlns:a16="http://schemas.microsoft.com/office/drawing/2014/main" id="{00000000-0008-0000-0100-000025000000}"/>
            </a:ext>
          </a:extLst>
        </xdr:cNvPr>
        <xdr:cNvSpPr txBox="1">
          <a:spLocks noChangeArrowheads="1"/>
        </xdr:cNvSpPr>
      </xdr:nvSpPr>
      <xdr:spPr bwMode="auto">
        <a:xfrm>
          <a:off x="2348858" y="835084"/>
          <a:ext cx="452058" cy="234098"/>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6</xdr:col>
      <xdr:colOff>542992</xdr:colOff>
      <xdr:row>8</xdr:row>
      <xdr:rowOff>130514</xdr:rowOff>
    </xdr:from>
    <xdr:to>
      <xdr:col>7</xdr:col>
      <xdr:colOff>232513</xdr:colOff>
      <xdr:row>10</xdr:row>
      <xdr:rowOff>82171</xdr:rowOff>
    </xdr:to>
    <xdr:sp macro="" textlink="">
      <xdr:nvSpPr>
        <xdr:cNvPr id="38" name="Text Box 235">
          <a:extLst>
            <a:ext uri="{FF2B5EF4-FFF2-40B4-BE49-F238E27FC236}">
              <a16:creationId xmlns:a16="http://schemas.microsoft.com/office/drawing/2014/main" id="{00000000-0008-0000-0100-000026000000}"/>
            </a:ext>
          </a:extLst>
        </xdr:cNvPr>
        <xdr:cNvSpPr txBox="1">
          <a:spLocks noChangeArrowheads="1"/>
        </xdr:cNvSpPr>
      </xdr:nvSpPr>
      <xdr:spPr bwMode="auto">
        <a:xfrm>
          <a:off x="7477192" y="1425914"/>
          <a:ext cx="337221" cy="27550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6</xdr:col>
      <xdr:colOff>493138</xdr:colOff>
      <xdr:row>11</xdr:row>
      <xdr:rowOff>33204</xdr:rowOff>
    </xdr:from>
    <xdr:to>
      <xdr:col>7</xdr:col>
      <xdr:colOff>292216</xdr:colOff>
      <xdr:row>12</xdr:row>
      <xdr:rowOff>79640</xdr:rowOff>
    </xdr:to>
    <xdr:sp macro="" textlink="'Variable Management'!D339">
      <xdr:nvSpPr>
        <xdr:cNvPr id="39" name="Text Box 275">
          <a:extLst>
            <a:ext uri="{FF2B5EF4-FFF2-40B4-BE49-F238E27FC236}">
              <a16:creationId xmlns:a16="http://schemas.microsoft.com/office/drawing/2014/main" id="{00000000-0008-0000-0100-000027000000}"/>
            </a:ext>
          </a:extLst>
        </xdr:cNvPr>
        <xdr:cNvSpPr txBox="1">
          <a:spLocks noChangeArrowheads="1" noTextEdit="1"/>
        </xdr:cNvSpPr>
      </xdr:nvSpPr>
      <xdr:spPr bwMode="auto">
        <a:xfrm>
          <a:off x="7427338" y="1814379"/>
          <a:ext cx="446778" cy="208361"/>
        </a:xfrm>
        <a:prstGeom prst="rect">
          <a:avLst/>
        </a:prstGeom>
        <a:noFill/>
        <a:ln w="9525">
          <a:noFill/>
          <a:miter lim="800000"/>
          <a:headEnd/>
          <a:tailEnd/>
        </a:ln>
      </xdr:spPr>
      <xdr:txBody>
        <a:bodyPr vertOverflow="clip" wrap="square" lIns="27432" tIns="22860" rIns="0" bIns="0" anchor="ctr" upright="1"/>
        <a:lstStyle/>
        <a:p>
          <a:pPr algn="ctr" rtl="0">
            <a:defRPr sz="1000"/>
          </a:pPr>
          <a:fld id="{2F63E7DC-2453-4724-968B-35D106402735}" type="TxLink">
            <a:rPr lang="en-US" sz="1000" b="0" i="0" u="none" strike="noStrike" baseline="0">
              <a:solidFill>
                <a:srgbClr val="000000"/>
              </a:solidFill>
              <a:latin typeface="Arial"/>
              <a:cs typeface="Arial"/>
            </a:rPr>
            <a:pPr algn="ctr" rtl="0">
              <a:defRPr sz="1000"/>
            </a:pPr>
            <a:t>2.2µH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442930</xdr:colOff>
      <xdr:row>7</xdr:row>
      <xdr:rowOff>145281</xdr:rowOff>
    </xdr:from>
    <xdr:to>
      <xdr:col>7</xdr:col>
      <xdr:colOff>686791</xdr:colOff>
      <xdr:row>9</xdr:row>
      <xdr:rowOff>42727</xdr:rowOff>
    </xdr:to>
    <xdr:sp macro="" textlink="">
      <xdr:nvSpPr>
        <xdr:cNvPr id="40" name="Text Box 234">
          <a:extLst>
            <a:ext uri="{FF2B5EF4-FFF2-40B4-BE49-F238E27FC236}">
              <a16:creationId xmlns:a16="http://schemas.microsoft.com/office/drawing/2014/main" id="{00000000-0008-0000-0100-000028000000}"/>
            </a:ext>
          </a:extLst>
        </xdr:cNvPr>
        <xdr:cNvSpPr txBox="1">
          <a:spLocks noChangeArrowheads="1"/>
        </xdr:cNvSpPr>
      </xdr:nvSpPr>
      <xdr:spPr bwMode="auto">
        <a:xfrm>
          <a:off x="8024830" y="1278756"/>
          <a:ext cx="243861" cy="22129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S2</a:t>
          </a:r>
        </a:p>
      </xdr:txBody>
    </xdr:sp>
    <xdr:clientData/>
  </xdr:twoCellAnchor>
  <xdr:twoCellAnchor editAs="absolute">
    <xdr:from>
      <xdr:col>7</xdr:col>
      <xdr:colOff>333992</xdr:colOff>
      <xdr:row>9</xdr:row>
      <xdr:rowOff>5547</xdr:rowOff>
    </xdr:from>
    <xdr:to>
      <xdr:col>7</xdr:col>
      <xdr:colOff>814937</xdr:colOff>
      <xdr:row>10</xdr:row>
      <xdr:rowOff>117614</xdr:rowOff>
    </xdr:to>
    <xdr:sp macro="" textlink="'Variable Management'!D341">
      <xdr:nvSpPr>
        <xdr:cNvPr id="41" name="Text Box 275">
          <a:extLst>
            <a:ext uri="{FF2B5EF4-FFF2-40B4-BE49-F238E27FC236}">
              <a16:creationId xmlns:a16="http://schemas.microsoft.com/office/drawing/2014/main" id="{00000000-0008-0000-0100-000029000000}"/>
            </a:ext>
          </a:extLst>
        </xdr:cNvPr>
        <xdr:cNvSpPr txBox="1">
          <a:spLocks noChangeArrowheads="1" noTextEdit="1"/>
        </xdr:cNvSpPr>
      </xdr:nvSpPr>
      <xdr:spPr bwMode="auto">
        <a:xfrm>
          <a:off x="7915892" y="1462872"/>
          <a:ext cx="480945" cy="273992"/>
        </a:xfrm>
        <a:prstGeom prst="rect">
          <a:avLst/>
        </a:prstGeom>
        <a:noFill/>
        <a:ln w="9525">
          <a:noFill/>
          <a:miter lim="800000"/>
          <a:headEnd/>
          <a:tailEnd/>
        </a:ln>
      </xdr:spPr>
      <xdr:txBody>
        <a:bodyPr vertOverflow="clip" wrap="square" lIns="27432" tIns="22860" rIns="0" bIns="0" anchor="ctr" upright="1"/>
        <a:lstStyle/>
        <a:p>
          <a:pPr algn="ctr" rtl="0">
            <a:defRPr sz="1000"/>
          </a:pPr>
          <a:fld id="{60FAD3C8-B2D7-499A-BD55-279D7DCA2E93}" type="TxLink">
            <a:rPr lang="en-US" sz="1000" b="0" i="0" u="none" strike="noStrike" baseline="0">
              <a:solidFill>
                <a:srgbClr val="000000"/>
              </a:solidFill>
              <a:latin typeface="Arial"/>
              <a:cs typeface="Arial"/>
            </a:rPr>
            <a:pPr algn="ctr" rtl="0">
              <a:defRPr sz="1000"/>
            </a:pPr>
            <a:t>10mΩ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699873</xdr:colOff>
      <xdr:row>11</xdr:row>
      <xdr:rowOff>119100</xdr:rowOff>
    </xdr:from>
    <xdr:to>
      <xdr:col>8</xdr:col>
      <xdr:colOff>8795</xdr:colOff>
      <xdr:row>13</xdr:row>
      <xdr:rowOff>26530</xdr:rowOff>
    </xdr:to>
    <xdr:sp macro="" textlink="">
      <xdr:nvSpPr>
        <xdr:cNvPr id="42" name="Text Box 228">
          <a:extLst>
            <a:ext uri="{FF2B5EF4-FFF2-40B4-BE49-F238E27FC236}">
              <a16:creationId xmlns:a16="http://schemas.microsoft.com/office/drawing/2014/main" id="{00000000-0008-0000-0100-00002A000000}"/>
            </a:ext>
          </a:extLst>
        </xdr:cNvPr>
        <xdr:cNvSpPr txBox="1">
          <a:spLocks noChangeArrowheads="1"/>
        </xdr:cNvSpPr>
      </xdr:nvSpPr>
      <xdr:spPr bwMode="auto">
        <a:xfrm>
          <a:off x="8281773" y="1900275"/>
          <a:ext cx="385247" cy="23128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7</xdr:col>
      <xdr:colOff>673381</xdr:colOff>
      <xdr:row>13</xdr:row>
      <xdr:rowOff>4119</xdr:rowOff>
    </xdr:from>
    <xdr:to>
      <xdr:col>8</xdr:col>
      <xdr:colOff>37004</xdr:colOff>
      <xdr:row>14</xdr:row>
      <xdr:rowOff>47211</xdr:rowOff>
    </xdr:to>
    <xdr:sp macro="" textlink="'Variable Management'!D345">
      <xdr:nvSpPr>
        <xdr:cNvPr id="43" name="Text Box 267">
          <a:extLst>
            <a:ext uri="{FF2B5EF4-FFF2-40B4-BE49-F238E27FC236}">
              <a16:creationId xmlns:a16="http://schemas.microsoft.com/office/drawing/2014/main" id="{00000000-0008-0000-0100-00002B000000}"/>
            </a:ext>
          </a:extLst>
        </xdr:cNvPr>
        <xdr:cNvSpPr txBox="1">
          <a:spLocks noChangeArrowheads="1" noTextEdit="1"/>
        </xdr:cNvSpPr>
      </xdr:nvSpPr>
      <xdr:spPr bwMode="auto">
        <a:xfrm>
          <a:off x="8255281" y="2109144"/>
          <a:ext cx="439948" cy="205017"/>
        </a:xfrm>
        <a:prstGeom prst="rect">
          <a:avLst/>
        </a:prstGeom>
        <a:noFill/>
        <a:ln w="9525">
          <a:noFill/>
          <a:miter lim="800000"/>
          <a:headEnd/>
          <a:tailEnd/>
        </a:ln>
      </xdr:spPr>
      <xdr:txBody>
        <a:bodyPr vertOverflow="clip" wrap="square" lIns="27432" tIns="22860" rIns="0" bIns="0" anchor="ctr" upright="1"/>
        <a:lstStyle/>
        <a:p>
          <a:pPr algn="l" rtl="0">
            <a:defRPr sz="1000"/>
          </a:pPr>
          <a:fld id="{B2AFD63C-308B-40D8-9608-99758D799EB5}" type="TxLink">
            <a:rPr lang="en-US" sz="1000" b="0" i="0" u="none" strike="noStrike" baseline="0">
              <a:solidFill>
                <a:srgbClr val="000000"/>
              </a:solidFill>
              <a:latin typeface="Arial"/>
              <a:cs typeface="Arial"/>
            </a:rPr>
            <a:pPr algn="l" rtl="0">
              <a:defRPr sz="1000"/>
            </a:pPr>
            <a:t>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3</xdr:col>
      <xdr:colOff>1286322</xdr:colOff>
      <xdr:row>32</xdr:row>
      <xdr:rowOff>88557</xdr:rowOff>
    </xdr:from>
    <xdr:to>
      <xdr:col>4</xdr:col>
      <xdr:colOff>380940</xdr:colOff>
      <xdr:row>33</xdr:row>
      <xdr:rowOff>160844</xdr:rowOff>
    </xdr:to>
    <xdr:sp macro="" textlink="'Variable Management'!B382">
      <xdr:nvSpPr>
        <xdr:cNvPr id="44" name="Text Box 281">
          <a:extLst>
            <a:ext uri="{FF2B5EF4-FFF2-40B4-BE49-F238E27FC236}">
              <a16:creationId xmlns:a16="http://schemas.microsoft.com/office/drawing/2014/main" id="{00000000-0008-0000-0100-00002C000000}"/>
            </a:ext>
          </a:extLst>
        </xdr:cNvPr>
        <xdr:cNvSpPr txBox="1">
          <a:spLocks noChangeArrowheads="1" noTextEdit="1"/>
        </xdr:cNvSpPr>
      </xdr:nvSpPr>
      <xdr:spPr bwMode="auto">
        <a:xfrm>
          <a:off x="4353372" y="5270157"/>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322769A2-A935-402D-A6FA-E206A769B9F2}" type="TxLink">
            <a:rPr lang="en-US" sz="1000" b="0" i="0" u="none" strike="noStrike">
              <a:solidFill>
                <a:srgbClr val="000000"/>
              </a:solidFill>
              <a:latin typeface="Arial"/>
              <a:cs typeface="Arial"/>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8</xdr:col>
      <xdr:colOff>317575</xdr:colOff>
      <xdr:row>10</xdr:row>
      <xdr:rowOff>5781</xdr:rowOff>
    </xdr:from>
    <xdr:to>
      <xdr:col>8</xdr:col>
      <xdr:colOff>796749</xdr:colOff>
      <xdr:row>11</xdr:row>
      <xdr:rowOff>88468</xdr:rowOff>
    </xdr:to>
    <xdr:sp macro="" textlink="'Variable Management'!D343">
      <xdr:nvSpPr>
        <xdr:cNvPr id="45" name="Text Box 285">
          <a:extLst>
            <a:ext uri="{FF2B5EF4-FFF2-40B4-BE49-F238E27FC236}">
              <a16:creationId xmlns:a16="http://schemas.microsoft.com/office/drawing/2014/main" id="{00000000-0008-0000-0100-00002D000000}"/>
            </a:ext>
          </a:extLst>
        </xdr:cNvPr>
        <xdr:cNvSpPr txBox="1">
          <a:spLocks noChangeArrowheads="1" noTextEdit="1"/>
        </xdr:cNvSpPr>
      </xdr:nvSpPr>
      <xdr:spPr bwMode="auto">
        <a:xfrm>
          <a:off x="8975800" y="1625031"/>
          <a:ext cx="479174" cy="244612"/>
        </a:xfrm>
        <a:prstGeom prst="rect">
          <a:avLst/>
        </a:prstGeom>
        <a:noFill/>
        <a:ln w="9525">
          <a:noFill/>
          <a:miter lim="800000"/>
          <a:headEnd/>
          <a:tailEnd/>
        </a:ln>
      </xdr:spPr>
      <xdr:txBody>
        <a:bodyPr vertOverflow="clip" wrap="square" lIns="27432" tIns="22860" rIns="0" bIns="0" anchor="ctr" upright="1"/>
        <a:lstStyle/>
        <a:p>
          <a:pPr algn="l" rtl="0">
            <a:defRPr sz="1000"/>
          </a:pPr>
          <a:fld id="{AE313110-4AE9-4356-BA49-88A0938F85FF}" type="TxLink">
            <a:rPr lang="en-US" sz="1000" b="1" i="0" u="none" strike="noStrike" baseline="0">
              <a:solidFill>
                <a:srgbClr val="FF0000"/>
              </a:solidFill>
              <a:latin typeface="Arial"/>
              <a:cs typeface="Arial"/>
            </a:rPr>
            <a:pPr algn="l" rtl="0">
              <a:defRPr sz="1000"/>
            </a:pPr>
            <a:t>20V</a:t>
          </a:fld>
          <a:endParaRPr lang="en-US" sz="1050" b="1" i="0" u="none" strike="noStrike" baseline="0">
            <a:solidFill>
              <a:srgbClr val="FF0000"/>
            </a:solidFill>
            <a:latin typeface="Arial" pitchFamily="34" charset="0"/>
            <a:cs typeface="Arial" pitchFamily="34" charset="0"/>
          </a:endParaRPr>
        </a:p>
      </xdr:txBody>
    </xdr:sp>
    <xdr:clientData/>
  </xdr:twoCellAnchor>
  <xdr:twoCellAnchor editAs="absolute">
    <xdr:from>
      <xdr:col>8</xdr:col>
      <xdr:colOff>327414</xdr:colOff>
      <xdr:row>11</xdr:row>
      <xdr:rowOff>58203</xdr:rowOff>
    </xdr:from>
    <xdr:to>
      <xdr:col>8</xdr:col>
      <xdr:colOff>780962</xdr:colOff>
      <xdr:row>12</xdr:row>
      <xdr:rowOff>138832</xdr:rowOff>
    </xdr:to>
    <xdr:sp macro="" textlink="'Variable Management'!D386">
      <xdr:nvSpPr>
        <xdr:cNvPr id="46" name="Text Box 286">
          <a:extLst>
            <a:ext uri="{FF2B5EF4-FFF2-40B4-BE49-F238E27FC236}">
              <a16:creationId xmlns:a16="http://schemas.microsoft.com/office/drawing/2014/main" id="{00000000-0008-0000-0100-00002E000000}"/>
            </a:ext>
          </a:extLst>
        </xdr:cNvPr>
        <xdr:cNvSpPr txBox="1">
          <a:spLocks noChangeArrowheads="1" noTextEdit="1"/>
        </xdr:cNvSpPr>
      </xdr:nvSpPr>
      <xdr:spPr bwMode="auto">
        <a:xfrm>
          <a:off x="8985639" y="1839378"/>
          <a:ext cx="453548" cy="242554"/>
        </a:xfrm>
        <a:prstGeom prst="rect">
          <a:avLst/>
        </a:prstGeom>
        <a:noFill/>
        <a:ln w="9525">
          <a:noFill/>
          <a:miter lim="800000"/>
          <a:headEnd/>
          <a:tailEnd/>
        </a:ln>
      </xdr:spPr>
      <xdr:txBody>
        <a:bodyPr vertOverflow="clip" wrap="square" lIns="27432" tIns="22860" rIns="0" bIns="0" anchor="t" upright="1"/>
        <a:lstStyle/>
        <a:p>
          <a:pPr algn="l" rtl="0">
            <a:defRPr sz="1000"/>
          </a:pPr>
          <a:fld id="{00875F72-81FD-4544-A8D5-3EBFCC9D309F}" type="TxLink">
            <a:rPr lang="en-US" sz="1000" b="1" i="0" u="none" strike="noStrike">
              <a:solidFill>
                <a:srgbClr val="FF0000"/>
              </a:solidFill>
              <a:latin typeface="Arial"/>
              <a:cs typeface="Arial"/>
            </a:rPr>
            <a:pPr algn="l" rtl="0">
              <a:defRPr sz="1000"/>
            </a:pPr>
            <a:t>5A</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4</xdr:col>
      <xdr:colOff>360386</xdr:colOff>
      <xdr:row>31</xdr:row>
      <xdr:rowOff>44509</xdr:rowOff>
    </xdr:from>
    <xdr:to>
      <xdr:col>4</xdr:col>
      <xdr:colOff>687542</xdr:colOff>
      <xdr:row>32</xdr:row>
      <xdr:rowOff>142603</xdr:rowOff>
    </xdr:to>
    <xdr:sp macro="" textlink="">
      <xdr:nvSpPr>
        <xdr:cNvPr id="47" name="Text Box 251">
          <a:extLst>
            <a:ext uri="{FF2B5EF4-FFF2-40B4-BE49-F238E27FC236}">
              <a16:creationId xmlns:a16="http://schemas.microsoft.com/office/drawing/2014/main" id="{00000000-0008-0000-0100-00002F000000}"/>
            </a:ext>
          </a:extLst>
        </xdr:cNvPr>
        <xdr:cNvSpPr txBox="1">
          <a:spLocks noChangeArrowheads="1"/>
        </xdr:cNvSpPr>
      </xdr:nvSpPr>
      <xdr:spPr bwMode="auto">
        <a:xfrm>
          <a:off x="4770461" y="5064184"/>
          <a:ext cx="327156" cy="26001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RES</a:t>
          </a:r>
        </a:p>
      </xdr:txBody>
    </xdr:sp>
    <xdr:clientData/>
  </xdr:twoCellAnchor>
  <xdr:twoCellAnchor editAs="absolute">
    <xdr:from>
      <xdr:col>4</xdr:col>
      <xdr:colOff>333830</xdr:colOff>
      <xdr:row>32</xdr:row>
      <xdr:rowOff>89315</xdr:rowOff>
    </xdr:from>
    <xdr:to>
      <xdr:col>4</xdr:col>
      <xdr:colOff>771473</xdr:colOff>
      <xdr:row>33</xdr:row>
      <xdr:rowOff>161602</xdr:rowOff>
    </xdr:to>
    <xdr:sp macro="" textlink="'Variable Management'!B383">
      <xdr:nvSpPr>
        <xdr:cNvPr id="48" name="Text Box 281">
          <a:extLst>
            <a:ext uri="{FF2B5EF4-FFF2-40B4-BE49-F238E27FC236}">
              <a16:creationId xmlns:a16="http://schemas.microsoft.com/office/drawing/2014/main" id="{00000000-0008-0000-0100-000030000000}"/>
            </a:ext>
          </a:extLst>
        </xdr:cNvPr>
        <xdr:cNvSpPr txBox="1">
          <a:spLocks noChangeArrowheads="1" noTextEdit="1"/>
        </xdr:cNvSpPr>
      </xdr:nvSpPr>
      <xdr:spPr bwMode="auto">
        <a:xfrm>
          <a:off x="4743905" y="5270915"/>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EB4F7F9-CE77-410B-B4F3-251CFE7816F2}" type="TxLink">
            <a:rPr lang="en-US" sz="1000" b="0" i="0" u="none" strike="noStrike">
              <a:solidFill>
                <a:srgbClr val="000000"/>
              </a:solidFill>
              <a:latin typeface="Arial"/>
              <a:cs typeface="Arial"/>
            </a:rPr>
            <a:pPr algn="ctr" rtl="0">
              <a:defRPr sz="1000"/>
            </a:pPr>
            <a:t>470nF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5</xdr:col>
      <xdr:colOff>1306355</xdr:colOff>
      <xdr:row>24</xdr:row>
      <xdr:rowOff>132056</xdr:rowOff>
    </xdr:from>
    <xdr:to>
      <xdr:col>6</xdr:col>
      <xdr:colOff>440271</xdr:colOff>
      <xdr:row>26</xdr:row>
      <xdr:rowOff>54540</xdr:rowOff>
    </xdr:to>
    <xdr:sp macro="" textlink="'Variable Management'!D354">
      <xdr:nvSpPr>
        <xdr:cNvPr id="49" name="Text Box 261">
          <a:extLst>
            <a:ext uri="{FF2B5EF4-FFF2-40B4-BE49-F238E27FC236}">
              <a16:creationId xmlns:a16="http://schemas.microsoft.com/office/drawing/2014/main" id="{00000000-0008-0000-0100-000031000000}"/>
            </a:ext>
          </a:extLst>
        </xdr:cNvPr>
        <xdr:cNvSpPr txBox="1">
          <a:spLocks noChangeArrowheads="1" noTextEdit="1"/>
        </xdr:cNvSpPr>
      </xdr:nvSpPr>
      <xdr:spPr bwMode="auto">
        <a:xfrm>
          <a:off x="6868955" y="4018256"/>
          <a:ext cx="505516" cy="246334"/>
        </a:xfrm>
        <a:prstGeom prst="rect">
          <a:avLst/>
        </a:prstGeom>
        <a:noFill/>
        <a:ln w="9525">
          <a:noFill/>
          <a:miter lim="800000"/>
          <a:headEnd/>
          <a:tailEnd/>
        </a:ln>
      </xdr:spPr>
      <xdr:txBody>
        <a:bodyPr vertOverflow="clip" wrap="square" lIns="27432" tIns="22860" rIns="0" bIns="0" anchor="ctr" upright="1"/>
        <a:lstStyle/>
        <a:p>
          <a:pPr algn="l" rtl="0">
            <a:defRPr sz="1000"/>
          </a:pPr>
          <a:fld id="{4DC9070C-4611-4454-862F-8BF8F515B22E}" type="TxLink">
            <a:rPr lang="en-US" sz="1000" b="0" i="0" u="none" strike="noStrike" baseline="0">
              <a:solidFill>
                <a:srgbClr val="000000"/>
              </a:solidFill>
              <a:latin typeface="Arial"/>
              <a:cs typeface="Arial"/>
            </a:rPr>
            <a:pPr algn="l" rtl="0">
              <a:defRPr sz="1000"/>
            </a:pPr>
            <a:t>4.7nF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812466</xdr:colOff>
      <xdr:row>25</xdr:row>
      <xdr:rowOff>4768</xdr:rowOff>
    </xdr:from>
    <xdr:to>
      <xdr:col>5</xdr:col>
      <xdr:colOff>1273227</xdr:colOff>
      <xdr:row>26</xdr:row>
      <xdr:rowOff>82260</xdr:rowOff>
    </xdr:to>
    <xdr:sp macro="" textlink="'Variable Management'!D353">
      <xdr:nvSpPr>
        <xdr:cNvPr id="50" name="Text Box 263">
          <a:extLst>
            <a:ext uri="{FF2B5EF4-FFF2-40B4-BE49-F238E27FC236}">
              <a16:creationId xmlns:a16="http://schemas.microsoft.com/office/drawing/2014/main" id="{00000000-0008-0000-0100-000032000000}"/>
            </a:ext>
          </a:extLst>
        </xdr:cNvPr>
        <xdr:cNvSpPr txBox="1">
          <a:spLocks noChangeArrowheads="1" noTextEdit="1"/>
        </xdr:cNvSpPr>
      </xdr:nvSpPr>
      <xdr:spPr bwMode="auto">
        <a:xfrm>
          <a:off x="6375066" y="4052893"/>
          <a:ext cx="460761" cy="239417"/>
        </a:xfrm>
        <a:prstGeom prst="rect">
          <a:avLst/>
        </a:prstGeom>
        <a:noFill/>
        <a:ln w="9525">
          <a:noFill/>
          <a:miter lim="800000"/>
          <a:headEnd/>
          <a:tailEnd/>
        </a:ln>
      </xdr:spPr>
      <xdr:txBody>
        <a:bodyPr vertOverflow="clip" wrap="square" lIns="27432" tIns="22860" rIns="0" bIns="0" anchor="ctr" upright="1"/>
        <a:lstStyle/>
        <a:p>
          <a:pPr algn="l" rtl="0">
            <a:defRPr sz="1000"/>
          </a:pPr>
          <a:fld id="{51C069D1-ABA1-4481-AAE8-8F33F807B29E}" type="TxLink">
            <a:rPr lang="en-US" sz="1000" b="0" i="0" u="none" strike="noStrike" baseline="0">
              <a:solidFill>
                <a:srgbClr val="000000"/>
              </a:solidFill>
              <a:latin typeface="Arial"/>
              <a:cs typeface="Arial"/>
            </a:rPr>
            <a:pPr algn="l" rtl="0">
              <a:defRPr sz="1000"/>
            </a:pPr>
            <a:t>5.9kΩ</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1061260</xdr:colOff>
      <xdr:row>30</xdr:row>
      <xdr:rowOff>10588</xdr:rowOff>
    </xdr:from>
    <xdr:to>
      <xdr:col>6</xdr:col>
      <xdr:colOff>109866</xdr:colOff>
      <xdr:row>31</xdr:row>
      <xdr:rowOff>67162</xdr:rowOff>
    </xdr:to>
    <xdr:sp macro="" textlink="'Variable Management'!D355">
      <xdr:nvSpPr>
        <xdr:cNvPr id="51" name="Text Box 262">
          <a:extLst>
            <a:ext uri="{FF2B5EF4-FFF2-40B4-BE49-F238E27FC236}">
              <a16:creationId xmlns:a16="http://schemas.microsoft.com/office/drawing/2014/main" id="{00000000-0008-0000-0100-000033000000}"/>
            </a:ext>
          </a:extLst>
        </xdr:cNvPr>
        <xdr:cNvSpPr txBox="1">
          <a:spLocks noChangeArrowheads="1" noTextEdit="1"/>
        </xdr:cNvSpPr>
      </xdr:nvSpPr>
      <xdr:spPr bwMode="auto">
        <a:xfrm>
          <a:off x="6623860" y="4868338"/>
          <a:ext cx="420206" cy="218499"/>
        </a:xfrm>
        <a:prstGeom prst="rect">
          <a:avLst/>
        </a:prstGeom>
        <a:noFill/>
        <a:ln w="9525">
          <a:noFill/>
          <a:miter lim="800000"/>
          <a:headEnd/>
          <a:tailEnd/>
        </a:ln>
      </xdr:spPr>
      <xdr:txBody>
        <a:bodyPr vertOverflow="clip" wrap="square" lIns="27432" tIns="22860" rIns="0" bIns="0" anchor="ctr" upright="1"/>
        <a:lstStyle/>
        <a:p>
          <a:pPr algn="ctr" rtl="0">
            <a:defRPr sz="1000"/>
          </a:pPr>
          <a:fld id="{B54DC493-A440-4D94-AB5A-78A72A6D12C9}" type="TxLink">
            <a:rPr lang="en-US" sz="1000" b="0" i="0" u="none" strike="noStrike" baseline="0">
              <a:solidFill>
                <a:srgbClr val="000000"/>
              </a:solidFill>
              <a:latin typeface="Arial"/>
              <a:cs typeface="Arial"/>
            </a:rPr>
            <a:pPr algn="ctr" rtl="0">
              <a:defRPr sz="1000"/>
            </a:pPr>
            <a:t>18pF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1336311</xdr:colOff>
      <xdr:row>21</xdr:row>
      <xdr:rowOff>5273</xdr:rowOff>
    </xdr:from>
    <xdr:to>
      <xdr:col>6</xdr:col>
      <xdr:colOff>340720</xdr:colOff>
      <xdr:row>22</xdr:row>
      <xdr:rowOff>92154</xdr:rowOff>
    </xdr:to>
    <xdr:sp macro="" textlink="">
      <xdr:nvSpPr>
        <xdr:cNvPr id="52" name="Text Box 249">
          <a:extLst>
            <a:ext uri="{FF2B5EF4-FFF2-40B4-BE49-F238E27FC236}">
              <a16:creationId xmlns:a16="http://schemas.microsoft.com/office/drawing/2014/main" id="{00000000-0008-0000-0100-000034000000}"/>
            </a:ext>
          </a:extLst>
        </xdr:cNvPr>
        <xdr:cNvSpPr txBox="1">
          <a:spLocks noChangeArrowheads="1"/>
        </xdr:cNvSpPr>
      </xdr:nvSpPr>
      <xdr:spPr bwMode="auto">
        <a:xfrm>
          <a:off x="6898911" y="3405698"/>
          <a:ext cx="376009"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VCCX</a:t>
          </a:r>
        </a:p>
      </xdr:txBody>
    </xdr:sp>
    <xdr:clientData/>
  </xdr:twoCellAnchor>
  <xdr:twoCellAnchor editAs="absolute">
    <xdr:from>
      <xdr:col>5</xdr:col>
      <xdr:colOff>1353417</xdr:colOff>
      <xdr:row>22</xdr:row>
      <xdr:rowOff>50849</xdr:rowOff>
    </xdr:from>
    <xdr:to>
      <xdr:col>6</xdr:col>
      <xdr:colOff>432410</xdr:colOff>
      <xdr:row>23</xdr:row>
      <xdr:rowOff>125953</xdr:rowOff>
    </xdr:to>
    <xdr:sp macro="" textlink="">
      <xdr:nvSpPr>
        <xdr:cNvPr id="53" name="Text Box 279">
          <a:extLst>
            <a:ext uri="{FF2B5EF4-FFF2-40B4-BE49-F238E27FC236}">
              <a16:creationId xmlns:a16="http://schemas.microsoft.com/office/drawing/2014/main" id="{00000000-0008-0000-0100-000035000000}"/>
            </a:ext>
          </a:extLst>
        </xdr:cNvPr>
        <xdr:cNvSpPr txBox="1">
          <a:spLocks noChangeArrowheads="1"/>
        </xdr:cNvSpPr>
      </xdr:nvSpPr>
      <xdr:spPr bwMode="auto">
        <a:xfrm>
          <a:off x="6916017" y="3613199"/>
          <a:ext cx="450593" cy="2370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5</xdr:col>
      <xdr:colOff>232907</xdr:colOff>
      <xdr:row>30</xdr:row>
      <xdr:rowOff>62142</xdr:rowOff>
    </xdr:from>
    <xdr:to>
      <xdr:col>5</xdr:col>
      <xdr:colOff>720824</xdr:colOff>
      <xdr:row>31</xdr:row>
      <xdr:rowOff>85347</xdr:rowOff>
    </xdr:to>
    <xdr:sp macro="" textlink="'Variable Management'!B362">
      <xdr:nvSpPr>
        <xdr:cNvPr id="54" name="Text Box 266">
          <a:extLst>
            <a:ext uri="{FF2B5EF4-FFF2-40B4-BE49-F238E27FC236}">
              <a16:creationId xmlns:a16="http://schemas.microsoft.com/office/drawing/2014/main" id="{00000000-0008-0000-0100-000036000000}"/>
            </a:ext>
          </a:extLst>
        </xdr:cNvPr>
        <xdr:cNvSpPr txBox="1">
          <a:spLocks noChangeArrowheads="1" noTextEdit="1"/>
        </xdr:cNvSpPr>
      </xdr:nvSpPr>
      <xdr:spPr bwMode="auto">
        <a:xfrm>
          <a:off x="5795507" y="4919892"/>
          <a:ext cx="487917" cy="185130"/>
        </a:xfrm>
        <a:prstGeom prst="rect">
          <a:avLst/>
        </a:prstGeom>
        <a:noFill/>
        <a:ln w="9525">
          <a:noFill/>
          <a:miter lim="800000"/>
          <a:headEnd/>
          <a:tailEnd/>
        </a:ln>
      </xdr:spPr>
      <xdr:txBody>
        <a:bodyPr vertOverflow="clip" wrap="square" lIns="27432" tIns="22860" rIns="0" bIns="0" anchor="t" upright="1"/>
        <a:lstStyle/>
        <a:p>
          <a:pPr algn="l" rtl="0">
            <a:defRPr sz="1000"/>
          </a:pPr>
          <a:fld id="{F0D4FEFA-1BCB-42BA-B0A4-AAEA1128161F}" type="TxLink">
            <a:rPr lang="en-US" sz="1000" b="0" i="0" u="none" strike="noStrike" baseline="0">
              <a:solidFill>
                <a:srgbClr val="000000"/>
              </a:solidFill>
              <a:latin typeface="Arialri"/>
              <a:cs typeface="Arial" pitchFamily="34" charset="0"/>
            </a:rPr>
            <a:pPr algn="l"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254916</xdr:colOff>
      <xdr:row>28</xdr:row>
      <xdr:rowOff>156904</xdr:rowOff>
    </xdr:from>
    <xdr:to>
      <xdr:col>5</xdr:col>
      <xdr:colOff>636692</xdr:colOff>
      <xdr:row>30</xdr:row>
      <xdr:rowOff>84367</xdr:rowOff>
    </xdr:to>
    <xdr:sp macro="" textlink="">
      <xdr:nvSpPr>
        <xdr:cNvPr id="55" name="Text Box 233">
          <a:extLst>
            <a:ext uri="{FF2B5EF4-FFF2-40B4-BE49-F238E27FC236}">
              <a16:creationId xmlns:a16="http://schemas.microsoft.com/office/drawing/2014/main" id="{00000000-0008-0000-0100-000037000000}"/>
            </a:ext>
          </a:extLst>
        </xdr:cNvPr>
        <xdr:cNvSpPr txBox="1">
          <a:spLocks noChangeArrowheads="1"/>
        </xdr:cNvSpPr>
      </xdr:nvSpPr>
      <xdr:spPr bwMode="auto">
        <a:xfrm>
          <a:off x="5817516" y="4690804"/>
          <a:ext cx="381776" cy="251313"/>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D</a:t>
          </a:r>
        </a:p>
      </xdr:txBody>
    </xdr:sp>
    <xdr:clientData/>
  </xdr:twoCellAnchor>
  <xdr:twoCellAnchor editAs="absolute">
    <xdr:from>
      <xdr:col>3</xdr:col>
      <xdr:colOff>848696</xdr:colOff>
      <xdr:row>31</xdr:row>
      <xdr:rowOff>59142</xdr:rowOff>
    </xdr:from>
    <xdr:to>
      <xdr:col>3</xdr:col>
      <xdr:colOff>1286339</xdr:colOff>
      <xdr:row>32</xdr:row>
      <xdr:rowOff>135824</xdr:rowOff>
    </xdr:to>
    <xdr:sp macro="" textlink="'Variable Management'!C381">
      <xdr:nvSpPr>
        <xdr:cNvPr id="56" name="Text Box 281">
          <a:extLst>
            <a:ext uri="{FF2B5EF4-FFF2-40B4-BE49-F238E27FC236}">
              <a16:creationId xmlns:a16="http://schemas.microsoft.com/office/drawing/2014/main" id="{00000000-0008-0000-0100-000038000000}"/>
            </a:ext>
          </a:extLst>
        </xdr:cNvPr>
        <xdr:cNvSpPr txBox="1">
          <a:spLocks noChangeArrowheads="1" noTextEdit="1"/>
        </xdr:cNvSpPr>
      </xdr:nvSpPr>
      <xdr:spPr bwMode="auto">
        <a:xfrm>
          <a:off x="3915746" y="5078817"/>
          <a:ext cx="437643" cy="238607"/>
        </a:xfrm>
        <a:prstGeom prst="rect">
          <a:avLst/>
        </a:prstGeom>
        <a:noFill/>
        <a:ln w="9525">
          <a:noFill/>
          <a:miter lim="800000"/>
          <a:headEnd/>
          <a:tailEnd/>
        </a:ln>
      </xdr:spPr>
      <xdr:txBody>
        <a:bodyPr vertOverflow="clip" wrap="square" lIns="27432" tIns="22860" rIns="0" bIns="0" anchor="t" upright="1"/>
        <a:lstStyle/>
        <a:p>
          <a:pPr algn="ctr" rtl="0">
            <a:defRPr sz="1000"/>
          </a:pPr>
          <a:fld id="{93649659-1DBC-410C-945D-E7A8A6F21F96}" type="TxLink">
            <a:rPr lang="en-US" sz="1000" b="0" i="0" u="none" strike="noStrike">
              <a:solidFill>
                <a:srgbClr val="000000"/>
              </a:solidFill>
              <a:latin typeface="Arial"/>
              <a:cs typeface="Arial"/>
            </a:rPr>
            <a:pPr algn="ctr" rtl="0">
              <a:defRPr sz="1000"/>
            </a:pPr>
            <a:t>Css1</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3</xdr:col>
      <xdr:colOff>1264865</xdr:colOff>
      <xdr:row>31</xdr:row>
      <xdr:rowOff>82588</xdr:rowOff>
    </xdr:from>
    <xdr:to>
      <xdr:col>4</xdr:col>
      <xdr:colOff>359483</xdr:colOff>
      <xdr:row>32</xdr:row>
      <xdr:rowOff>154875</xdr:rowOff>
    </xdr:to>
    <xdr:sp macro="" textlink="'Variable Management'!C382">
      <xdr:nvSpPr>
        <xdr:cNvPr id="57" name="Text Box 281">
          <a:extLst>
            <a:ext uri="{FF2B5EF4-FFF2-40B4-BE49-F238E27FC236}">
              <a16:creationId xmlns:a16="http://schemas.microsoft.com/office/drawing/2014/main" id="{00000000-0008-0000-0100-000039000000}"/>
            </a:ext>
          </a:extLst>
        </xdr:cNvPr>
        <xdr:cNvSpPr txBox="1">
          <a:spLocks noChangeArrowheads="1" noTextEdit="1"/>
        </xdr:cNvSpPr>
      </xdr:nvSpPr>
      <xdr:spPr bwMode="auto">
        <a:xfrm>
          <a:off x="4331915" y="5102263"/>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05B54FCB-1143-412F-B29D-22C0191403DC}" type="TxLink">
            <a:rPr lang="en-US" sz="1000" b="0" i="0" u="none" strike="noStrike">
              <a:solidFill>
                <a:srgbClr val="000000"/>
              </a:solidFill>
              <a:latin typeface="Arial"/>
              <a:cs typeface="Arial"/>
            </a:rPr>
            <a:pPr algn="ctr" rtl="0">
              <a:defRPr sz="1000"/>
            </a:pPr>
            <a:t>Css2</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5</xdr:col>
      <xdr:colOff>857342</xdr:colOff>
      <xdr:row>23</xdr:row>
      <xdr:rowOff>153688</xdr:rowOff>
    </xdr:from>
    <xdr:to>
      <xdr:col>5</xdr:col>
      <xdr:colOff>1318103</xdr:colOff>
      <xdr:row>25</xdr:row>
      <xdr:rowOff>66325</xdr:rowOff>
    </xdr:to>
    <xdr:sp macro="" textlink="'Variable Management'!C353">
      <xdr:nvSpPr>
        <xdr:cNvPr id="58" name="Text Box 263">
          <a:extLst>
            <a:ext uri="{FF2B5EF4-FFF2-40B4-BE49-F238E27FC236}">
              <a16:creationId xmlns:a16="http://schemas.microsoft.com/office/drawing/2014/main" id="{00000000-0008-0000-0100-00003A000000}"/>
            </a:ext>
          </a:extLst>
        </xdr:cNvPr>
        <xdr:cNvSpPr txBox="1">
          <a:spLocks noChangeArrowheads="1" noTextEdit="1"/>
        </xdr:cNvSpPr>
      </xdr:nvSpPr>
      <xdr:spPr bwMode="auto">
        <a:xfrm>
          <a:off x="6419942" y="3877963"/>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4C6F915B-5FDE-431D-BA20-F74B990C95E0}" type="TxLink">
            <a:rPr lang="en-US" sz="1000" b="0" i="0" u="none" strike="noStrike" baseline="0">
              <a:solidFill>
                <a:srgbClr val="000000"/>
              </a:solidFill>
              <a:latin typeface="Arial"/>
              <a:cs typeface="Arial"/>
            </a:rPr>
            <a:pPr algn="l" rtl="0">
              <a:defRPr sz="1000"/>
            </a:pPr>
            <a:t>Rc2</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1354107</xdr:colOff>
      <xdr:row>23</xdr:row>
      <xdr:rowOff>122915</xdr:rowOff>
    </xdr:from>
    <xdr:to>
      <xdr:col>6</xdr:col>
      <xdr:colOff>443268</xdr:colOff>
      <xdr:row>25</xdr:row>
      <xdr:rowOff>35552</xdr:rowOff>
    </xdr:to>
    <xdr:sp macro="" textlink="'Variable Management'!C354">
      <xdr:nvSpPr>
        <xdr:cNvPr id="59" name="Text Box 263">
          <a:extLst>
            <a:ext uri="{FF2B5EF4-FFF2-40B4-BE49-F238E27FC236}">
              <a16:creationId xmlns:a16="http://schemas.microsoft.com/office/drawing/2014/main" id="{00000000-0008-0000-0100-00003B000000}"/>
            </a:ext>
          </a:extLst>
        </xdr:cNvPr>
        <xdr:cNvSpPr txBox="1">
          <a:spLocks noChangeArrowheads="1" noTextEdit="1"/>
        </xdr:cNvSpPr>
      </xdr:nvSpPr>
      <xdr:spPr bwMode="auto">
        <a:xfrm>
          <a:off x="6916707" y="3847190"/>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169239A1-A17E-4F82-8427-F411D64B50BA}" type="TxLink">
            <a:rPr lang="en-US" sz="1000" b="0" i="0" u="none" strike="noStrike" baseline="0">
              <a:solidFill>
                <a:srgbClr val="000000"/>
              </a:solidFill>
              <a:latin typeface="Arial"/>
              <a:cs typeface="Arial"/>
            </a:rPr>
            <a:pPr algn="l" rtl="0">
              <a:defRPr sz="1000"/>
            </a:pPr>
            <a:t>Cc3</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1147488</xdr:colOff>
      <xdr:row>28</xdr:row>
      <xdr:rowOff>136836</xdr:rowOff>
    </xdr:from>
    <xdr:to>
      <xdr:col>6</xdr:col>
      <xdr:colOff>236649</xdr:colOff>
      <xdr:row>30</xdr:row>
      <xdr:rowOff>49473</xdr:rowOff>
    </xdr:to>
    <xdr:sp macro="" textlink="'Variable Management'!C355">
      <xdr:nvSpPr>
        <xdr:cNvPr id="60" name="Text Box 263">
          <a:extLst>
            <a:ext uri="{FF2B5EF4-FFF2-40B4-BE49-F238E27FC236}">
              <a16:creationId xmlns:a16="http://schemas.microsoft.com/office/drawing/2014/main" id="{00000000-0008-0000-0100-00003C000000}"/>
            </a:ext>
          </a:extLst>
        </xdr:cNvPr>
        <xdr:cNvSpPr txBox="1">
          <a:spLocks noChangeArrowheads="1" noTextEdit="1"/>
        </xdr:cNvSpPr>
      </xdr:nvSpPr>
      <xdr:spPr bwMode="auto">
        <a:xfrm>
          <a:off x="6710088" y="4670736"/>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B132B3F4-179D-4706-9653-4E2B9688EBF6}" type="TxLink">
            <a:rPr lang="en-US" sz="1000" b="0" i="0" u="none" strike="noStrike" baseline="0">
              <a:solidFill>
                <a:srgbClr val="000000"/>
              </a:solidFill>
              <a:latin typeface="Arial"/>
              <a:cs typeface="Arial"/>
            </a:rPr>
            <a:pPr algn="l" rtl="0">
              <a:defRPr sz="1000"/>
            </a:pPr>
            <a:t>Cc4</a:t>
          </a:fld>
          <a:endParaRPr lang="el-GR" sz="800" b="0" i="0" u="none" strike="noStrike" baseline="0">
            <a:solidFill>
              <a:srgbClr val="000000"/>
            </a:solidFill>
            <a:latin typeface="Arial" pitchFamily="34" charset="0"/>
            <a:cs typeface="Arial" pitchFamily="34" charset="0"/>
          </a:endParaRPr>
        </a:p>
      </xdr:txBody>
    </xdr:sp>
    <xdr:clientData/>
  </xdr:twoCellAnchor>
  <xdr:twoCellAnchor>
    <xdr:from>
      <xdr:col>3</xdr:col>
      <xdr:colOff>1047750</xdr:colOff>
      <xdr:row>14</xdr:row>
      <xdr:rowOff>38100</xdr:rowOff>
    </xdr:from>
    <xdr:to>
      <xdr:col>4</xdr:col>
      <xdr:colOff>928321</xdr:colOff>
      <xdr:row>20</xdr:row>
      <xdr:rowOff>19050</xdr:rowOff>
    </xdr:to>
    <xdr:sp macro="" textlink="'Variable Management'!X25">
      <xdr:nvSpPr>
        <xdr:cNvPr id="61" name="Text Box 24">
          <a:extLst>
            <a:ext uri="{FF2B5EF4-FFF2-40B4-BE49-F238E27FC236}">
              <a16:creationId xmlns:a16="http://schemas.microsoft.com/office/drawing/2014/main" id="{00000000-0008-0000-0100-00003D000000}"/>
            </a:ext>
          </a:extLst>
        </xdr:cNvPr>
        <xdr:cNvSpPr txBox="1">
          <a:spLocks noChangeArrowheads="1" noTextEdit="1"/>
        </xdr:cNvSpPr>
      </xdr:nvSpPr>
      <xdr:spPr bwMode="auto">
        <a:xfrm>
          <a:off x="4114800" y="2305050"/>
          <a:ext cx="1223596" cy="952500"/>
        </a:xfrm>
        <a:prstGeom prst="rect">
          <a:avLst/>
        </a:prstGeom>
        <a:solidFill>
          <a:srgbClr val="D1FFFF"/>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C5C27CF7-D706-47E0-A45D-5E0BE790EDB6}" type="TxLink">
            <a:rPr lang="en-US" sz="1400" b="1" i="0" u="none" strike="noStrike" baseline="0">
              <a:solidFill>
                <a:srgbClr val="FF0000"/>
              </a:solidFill>
              <a:latin typeface="Arial"/>
              <a:cs typeface="Arial"/>
            </a:rPr>
            <a:pPr algn="ctr" rtl="0">
              <a:defRPr sz="1000"/>
            </a:pPr>
            <a:t>LM5143-Q1</a:t>
          </a:fld>
          <a:endParaRPr lang="en-US" sz="2000" b="1" i="0" u="none" strike="noStrike" baseline="0">
            <a:solidFill>
              <a:srgbClr val="FF0000"/>
            </a:solidFill>
            <a:latin typeface="Arial" pitchFamily="34" charset="0"/>
            <a:cs typeface="Arial"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257175</xdr:colOff>
      <xdr:row>6</xdr:row>
      <xdr:rowOff>114300</xdr:rowOff>
    </xdr:from>
    <xdr:to>
      <xdr:col>12</xdr:col>
      <xdr:colOff>369105</xdr:colOff>
      <xdr:row>43</xdr:row>
      <xdr:rowOff>66675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7175" y="1619250"/>
          <a:ext cx="7427130" cy="5943600"/>
        </a:xfrm>
        <a:prstGeom prst="rect">
          <a:avLst/>
        </a:prstGeom>
      </xdr:spPr>
    </xdr:pic>
    <xdr:clientData/>
  </xdr:twoCellAnchor>
  <xdr:twoCellAnchor editAs="oneCell">
    <xdr:from>
      <xdr:col>12</xdr:col>
      <xdr:colOff>542925</xdr:colOff>
      <xdr:row>6</xdr:row>
      <xdr:rowOff>114299</xdr:rowOff>
    </xdr:from>
    <xdr:to>
      <xdr:col>24</xdr:col>
      <xdr:colOff>17043</xdr:colOff>
      <xdr:row>43</xdr:row>
      <xdr:rowOff>66674</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58125" y="1619249"/>
          <a:ext cx="7408443" cy="5943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352425</xdr:colOff>
      <xdr:row>23</xdr:row>
      <xdr:rowOff>104775</xdr:rowOff>
    </xdr:from>
    <xdr:to>
      <xdr:col>19</xdr:col>
      <xdr:colOff>561975</xdr:colOff>
      <xdr:row>54</xdr:row>
      <xdr:rowOff>152400</xdr:rowOff>
    </xdr:to>
    <xdr:grpSp>
      <xdr:nvGrpSpPr>
        <xdr:cNvPr id="2" name="Group 14">
          <a:extLst>
            <a:ext uri="{FF2B5EF4-FFF2-40B4-BE49-F238E27FC236}">
              <a16:creationId xmlns:a16="http://schemas.microsoft.com/office/drawing/2014/main" id="{00000000-0008-0000-0300-000002000000}"/>
            </a:ext>
          </a:extLst>
        </xdr:cNvPr>
        <xdr:cNvGrpSpPr>
          <a:grpSpLocks/>
        </xdr:cNvGrpSpPr>
      </xdr:nvGrpSpPr>
      <xdr:grpSpPr bwMode="auto">
        <a:xfrm>
          <a:off x="11925300" y="4057650"/>
          <a:ext cx="6286500" cy="5162550"/>
          <a:chOff x="3209925" y="19650076"/>
          <a:chExt cx="5619750" cy="5910101"/>
        </a:xfrm>
      </xdr:grpSpPr>
      <xdr:pic>
        <xdr:nvPicPr>
          <xdr:cNvPr id="3" name="Picture 11" descr="Error amp - no ref des.tif">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3209925" y="19659867"/>
            <a:ext cx="5619750" cy="5900310"/>
          </a:xfrm>
          <a:prstGeom prst="rect">
            <a:avLst/>
          </a:prstGeom>
          <a:noFill/>
          <a:ln w="9525">
            <a:noFill/>
            <a:miter lim="800000"/>
            <a:headEnd/>
            <a:tailEnd/>
          </a:ln>
        </xdr:spPr>
      </xdr:pic>
      <xdr:sp macro="" textlink="$A$354">
        <xdr:nvSpPr>
          <xdr:cNvPr id="4" name="Text Box 5">
            <a:extLst>
              <a:ext uri="{FF2B5EF4-FFF2-40B4-BE49-F238E27FC236}">
                <a16:creationId xmlns:a16="http://schemas.microsoft.com/office/drawing/2014/main" id="{00000000-0008-0000-0300-000004000000}"/>
              </a:ext>
            </a:extLst>
          </xdr:cNvPr>
          <xdr:cNvSpPr txBox="1">
            <a:spLocks noChangeArrowheads="1" noTextEdit="1"/>
          </xdr:cNvSpPr>
        </xdr:nvSpPr>
        <xdr:spPr bwMode="auto">
          <a:xfrm>
            <a:off x="5400675" y="23797353"/>
            <a:ext cx="961159" cy="287619"/>
          </a:xfrm>
          <a:prstGeom prst="rect">
            <a:avLst/>
          </a:prstGeom>
          <a:noFill/>
          <a:ln w="9525">
            <a:noFill/>
            <a:miter lim="800000"/>
            <a:headEnd/>
            <a:tailEnd/>
          </a:ln>
        </xdr:spPr>
        <xdr:txBody>
          <a:bodyPr vertOverflow="clip" wrap="square" lIns="27432" tIns="22860" rIns="0" bIns="0" anchor="t" upright="1"/>
          <a:lstStyle/>
          <a:p>
            <a:pPr algn="l" rtl="0">
              <a:defRPr sz="1000"/>
            </a:pPr>
            <a:fld id="{646744A9-B6E0-4B97-A665-5D50832E7F13}" type="TxLink">
              <a:rPr lang="en-US" sz="1000" b="1" i="0" u="none" strike="noStrike" baseline="0">
                <a:solidFill>
                  <a:srgbClr val="000000"/>
                </a:solidFill>
                <a:latin typeface="Arialri"/>
                <a:cs typeface="Arial"/>
              </a:rPr>
              <a:pPr algn="l" rtl="0">
                <a:defRPr sz="1000"/>
              </a:pPr>
              <a:t>CC1 = 18nF</a:t>
            </a:fld>
            <a:endParaRPr lang="en-US" sz="1000" b="1" i="0" u="none" strike="noStrike" baseline="0">
              <a:solidFill>
                <a:srgbClr val="000000"/>
              </a:solidFill>
              <a:latin typeface="Arial"/>
              <a:cs typeface="Arial"/>
            </a:endParaRPr>
          </a:p>
        </xdr:txBody>
      </xdr:sp>
      <xdr:sp macro="" textlink="#REF!">
        <xdr:nvSpPr>
          <xdr:cNvPr id="5" name="Text Box 6">
            <a:extLst>
              <a:ext uri="{FF2B5EF4-FFF2-40B4-BE49-F238E27FC236}">
                <a16:creationId xmlns:a16="http://schemas.microsoft.com/office/drawing/2014/main" id="{00000000-0008-0000-0300-000005000000}"/>
              </a:ext>
            </a:extLst>
          </xdr:cNvPr>
          <xdr:cNvSpPr txBox="1">
            <a:spLocks noChangeArrowheads="1" noTextEdit="1"/>
          </xdr:cNvSpPr>
        </xdr:nvSpPr>
        <xdr:spPr bwMode="auto">
          <a:xfrm>
            <a:off x="3322493" y="23862299"/>
            <a:ext cx="805295" cy="556681"/>
          </a:xfrm>
          <a:prstGeom prst="rect">
            <a:avLst/>
          </a:prstGeom>
          <a:noFill/>
          <a:ln w="9525">
            <a:noFill/>
            <a:miter lim="800000"/>
            <a:headEnd/>
            <a:tailEnd/>
          </a:ln>
        </xdr:spPr>
        <xdr:txBody>
          <a:bodyPr vertOverflow="clip" wrap="square" lIns="27432" tIns="22860" rIns="0" bIns="0" anchor="t" upright="1"/>
          <a:lstStyle/>
          <a:p>
            <a:pPr algn="r" rtl="0">
              <a:defRPr sz="1000"/>
            </a:pPr>
            <a:fld id="{872494E3-3BCB-4B8A-8556-319E6FBD4F6C}" type="TxLink">
              <a:rPr lang="en-US" sz="1000" b="1" i="0" u="none" strike="noStrike" baseline="0">
                <a:solidFill>
                  <a:srgbClr val="000000"/>
                </a:solidFill>
                <a:latin typeface="Arialri"/>
                <a:cs typeface="Arial"/>
              </a:rPr>
              <a:pPr algn="r" rtl="0">
                <a:defRPr sz="1000"/>
              </a:pPr>
              <a:t> </a:t>
            </a:fld>
            <a:endParaRPr lang="en-US" sz="1000" b="1" i="0" u="none" strike="noStrike" baseline="0">
              <a:solidFill>
                <a:srgbClr val="000000"/>
              </a:solidFill>
              <a:latin typeface="Arial"/>
              <a:cs typeface="Arial"/>
            </a:endParaRPr>
          </a:p>
        </xdr:txBody>
      </xdr:sp>
      <xdr:sp macro="" textlink="$A$363">
        <xdr:nvSpPr>
          <xdr:cNvPr id="6" name="Text Box 9">
            <a:extLst>
              <a:ext uri="{FF2B5EF4-FFF2-40B4-BE49-F238E27FC236}">
                <a16:creationId xmlns:a16="http://schemas.microsoft.com/office/drawing/2014/main" id="{00000000-0008-0000-0300-000006000000}"/>
              </a:ext>
            </a:extLst>
          </xdr:cNvPr>
          <xdr:cNvSpPr txBox="1">
            <a:spLocks noChangeArrowheads="1" noTextEdit="1"/>
          </xdr:cNvSpPr>
        </xdr:nvSpPr>
        <xdr:spPr bwMode="auto">
          <a:xfrm>
            <a:off x="7539470" y="20865497"/>
            <a:ext cx="909205" cy="528847"/>
          </a:xfrm>
          <a:prstGeom prst="rect">
            <a:avLst/>
          </a:prstGeom>
          <a:noFill/>
          <a:ln w="9525">
            <a:noFill/>
            <a:miter lim="800000"/>
            <a:headEnd/>
            <a:tailEnd/>
          </a:ln>
        </xdr:spPr>
        <xdr:txBody>
          <a:bodyPr vertOverflow="clip" wrap="square" lIns="27432" tIns="22860" rIns="0" bIns="0" anchor="t" upright="1"/>
          <a:lstStyle/>
          <a:p>
            <a:pPr algn="r" rtl="0">
              <a:defRPr sz="1000"/>
            </a:pPr>
            <a:fld id="{52D31661-C732-4DB5-B625-AC6B80EEA28C}" type="TxLink">
              <a:rPr lang="en-US" sz="1000" b="1" i="0" u="none" strike="noStrike" baseline="0">
                <a:solidFill>
                  <a:srgbClr val="000000"/>
                </a:solidFill>
                <a:latin typeface="Arialri"/>
                <a:cs typeface="Arial"/>
              </a:rPr>
              <a:pPr algn="r" rtl="0">
                <a:defRPr sz="1000"/>
              </a:pPr>
              <a:t>RFB1 = 10kΩ</a:t>
            </a:fld>
            <a:endParaRPr lang="el-GR" sz="1000" b="1" i="0" u="none" strike="noStrike" baseline="0">
              <a:solidFill>
                <a:srgbClr val="000000"/>
              </a:solidFill>
              <a:latin typeface="Arial"/>
              <a:cs typeface="Arial"/>
            </a:endParaRPr>
          </a:p>
        </xdr:txBody>
      </xdr:sp>
      <xdr:sp macro="" textlink="$A$364">
        <xdr:nvSpPr>
          <xdr:cNvPr id="7" name="Text Box 10">
            <a:extLst>
              <a:ext uri="{FF2B5EF4-FFF2-40B4-BE49-F238E27FC236}">
                <a16:creationId xmlns:a16="http://schemas.microsoft.com/office/drawing/2014/main" id="{00000000-0008-0000-0300-000007000000}"/>
              </a:ext>
            </a:extLst>
          </xdr:cNvPr>
          <xdr:cNvSpPr txBox="1">
            <a:spLocks noChangeArrowheads="1" noTextEdit="1"/>
          </xdr:cNvSpPr>
        </xdr:nvSpPr>
        <xdr:spPr bwMode="auto">
          <a:xfrm>
            <a:off x="7565449" y="22257201"/>
            <a:ext cx="917864" cy="324731"/>
          </a:xfrm>
          <a:prstGeom prst="rect">
            <a:avLst/>
          </a:prstGeom>
          <a:noFill/>
          <a:ln w="9525">
            <a:noFill/>
            <a:miter lim="800000"/>
            <a:headEnd/>
            <a:tailEnd/>
          </a:ln>
        </xdr:spPr>
        <xdr:txBody>
          <a:bodyPr vertOverflow="clip" wrap="square" lIns="27432" tIns="22860" rIns="0" bIns="0" anchor="t" upright="1"/>
          <a:lstStyle/>
          <a:p>
            <a:pPr algn="r" rtl="0">
              <a:defRPr sz="1000"/>
            </a:pPr>
            <a:fld id="{49F0D989-1BAE-4B3F-9979-B5F5B92776AD}" type="TxLink">
              <a:rPr lang="en-US" sz="1000" b="1" i="0" u="none" strike="noStrike" baseline="0">
                <a:solidFill>
                  <a:srgbClr val="000000"/>
                </a:solidFill>
                <a:latin typeface="Arialri"/>
                <a:cs typeface="Arial"/>
              </a:rPr>
              <a:pPr algn="r" rtl="0">
                <a:defRPr sz="1000"/>
              </a:pPr>
              <a:t>RFB2 = 1.37kΩ</a:t>
            </a:fld>
            <a:endParaRPr lang="el-GR" sz="1000" b="1" i="0" u="none" strike="noStrike" baseline="0">
              <a:solidFill>
                <a:srgbClr val="000000"/>
              </a:solidFill>
              <a:latin typeface="Arial"/>
              <a:cs typeface="Arial"/>
            </a:endParaRPr>
          </a:p>
        </xdr:txBody>
      </xdr:sp>
      <xdr:sp macro="" textlink="$A$353">
        <xdr:nvSpPr>
          <xdr:cNvPr id="8" name="Text Box 4">
            <a:extLst>
              <a:ext uri="{FF2B5EF4-FFF2-40B4-BE49-F238E27FC236}">
                <a16:creationId xmlns:a16="http://schemas.microsoft.com/office/drawing/2014/main" id="{00000000-0008-0000-0300-000008000000}"/>
              </a:ext>
            </a:extLst>
          </xdr:cNvPr>
          <xdr:cNvSpPr txBox="1">
            <a:spLocks noChangeArrowheads="1" noTextEdit="1"/>
          </xdr:cNvSpPr>
        </xdr:nvSpPr>
        <xdr:spPr bwMode="auto">
          <a:xfrm>
            <a:off x="5314083" y="22860271"/>
            <a:ext cx="874568" cy="417511"/>
          </a:xfrm>
          <a:prstGeom prst="rect">
            <a:avLst/>
          </a:prstGeom>
          <a:noFill/>
          <a:ln w="9525">
            <a:noFill/>
            <a:miter lim="800000"/>
            <a:headEnd/>
            <a:tailEnd/>
          </a:ln>
        </xdr:spPr>
        <xdr:txBody>
          <a:bodyPr vertOverflow="clip" wrap="square" lIns="27432" tIns="22860" rIns="0" bIns="0" anchor="t" upright="1"/>
          <a:lstStyle/>
          <a:p>
            <a:pPr algn="l" rtl="0">
              <a:defRPr sz="1000"/>
            </a:pPr>
            <a:fld id="{899FBA2F-0000-4A1A-AACB-0C4C45759FAE}" type="TxLink">
              <a:rPr lang="en-US" sz="1000" b="1" i="0" u="none" strike="noStrike" baseline="0">
                <a:solidFill>
                  <a:srgbClr val="000000"/>
                </a:solidFill>
                <a:latin typeface="Arialri"/>
                <a:cs typeface="Arial"/>
              </a:rPr>
              <a:pPr algn="l" rtl="0">
                <a:defRPr sz="1000"/>
              </a:pPr>
              <a:t>RC1 = 1.47kΩ</a:t>
            </a:fld>
            <a:endParaRPr lang="el-GR" sz="1000" b="1" i="0" u="none" strike="noStrike" baseline="0">
              <a:solidFill>
                <a:srgbClr val="000000"/>
              </a:solidFill>
              <a:latin typeface="Arial"/>
              <a:cs typeface="Arial"/>
            </a:endParaRPr>
          </a:p>
        </xdr:txBody>
      </xdr:sp>
      <xdr:sp macro="" textlink="$A$343">
        <xdr:nvSpPr>
          <xdr:cNvPr id="9" name="Text Box 9">
            <a:extLst>
              <a:ext uri="{FF2B5EF4-FFF2-40B4-BE49-F238E27FC236}">
                <a16:creationId xmlns:a16="http://schemas.microsoft.com/office/drawing/2014/main" id="{00000000-0008-0000-0300-000009000000}"/>
              </a:ext>
            </a:extLst>
          </xdr:cNvPr>
          <xdr:cNvSpPr txBox="1">
            <a:spLocks noChangeArrowheads="1" noTextEdit="1"/>
          </xdr:cNvSpPr>
        </xdr:nvSpPr>
        <xdr:spPr bwMode="auto">
          <a:xfrm>
            <a:off x="7452880" y="19650076"/>
            <a:ext cx="1082386" cy="315453"/>
          </a:xfrm>
          <a:prstGeom prst="rect">
            <a:avLst/>
          </a:prstGeom>
          <a:noFill/>
          <a:ln w="9525">
            <a:noFill/>
            <a:miter lim="800000"/>
            <a:headEnd/>
            <a:tailEnd/>
          </a:ln>
        </xdr:spPr>
        <xdr:txBody>
          <a:bodyPr vertOverflow="clip" wrap="square" lIns="27432" tIns="22860" rIns="0" bIns="0" anchor="t" upright="1"/>
          <a:lstStyle/>
          <a:p>
            <a:pPr algn="r" rtl="0">
              <a:defRPr sz="1000"/>
            </a:pPr>
            <a:fld id="{97BF0309-416E-405E-B585-4983CCA02D3E}" type="TxLink">
              <a:rPr lang="en-US" sz="1000" b="1" i="0" u="none" strike="noStrike" baseline="0">
                <a:solidFill>
                  <a:srgbClr val="000000"/>
                </a:solidFill>
                <a:latin typeface="Arialri"/>
                <a:cs typeface="Arial"/>
              </a:rPr>
              <a:pPr algn="r" rtl="0">
                <a:defRPr sz="1000"/>
              </a:pPr>
              <a:t>VOUT = 5V</a:t>
            </a:fld>
            <a:endParaRPr lang="el-GR" sz="1000" b="1" i="0" u="none" strike="noStrike" baseline="0">
              <a:solidFill>
                <a:srgbClr val="000000"/>
              </a:solidFill>
              <a:latin typeface="Arial"/>
              <a:cs typeface="Arial"/>
            </a:endParaRPr>
          </a:p>
        </xdr:txBody>
      </xdr:sp>
    </xdr:grpSp>
    <xdr:clientData/>
  </xdr:twoCellAnchor>
  <xdr:twoCellAnchor>
    <xdr:from>
      <xdr:col>15</xdr:col>
      <xdr:colOff>209550</xdr:colOff>
      <xdr:row>18</xdr:row>
      <xdr:rowOff>76201</xdr:rowOff>
    </xdr:from>
    <xdr:to>
      <xdr:col>17</xdr:col>
      <xdr:colOff>9525</xdr:colOff>
      <xdr:row>21</xdr:row>
      <xdr:rowOff>19051</xdr:rowOff>
    </xdr:to>
    <xdr:sp macro="" textlink="$A$357">
      <xdr:nvSpPr>
        <xdr:cNvPr id="10" name="Text Box 4">
          <a:extLst>
            <a:ext uri="{FF2B5EF4-FFF2-40B4-BE49-F238E27FC236}">
              <a16:creationId xmlns:a16="http://schemas.microsoft.com/office/drawing/2014/main" id="{00000000-0008-0000-0300-00000A000000}"/>
            </a:ext>
          </a:extLst>
        </xdr:cNvPr>
        <xdr:cNvSpPr txBox="1">
          <a:spLocks noChangeArrowheads="1" noTextEdit="1"/>
        </xdr:cNvSpPr>
      </xdr:nvSpPr>
      <xdr:spPr bwMode="auto">
        <a:xfrm>
          <a:off x="15259050" y="3219451"/>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DCFBE156-977E-4C45-9B24-0A2E6E91FFAB}" type="TxLink">
            <a:rPr lang="en-US" sz="1000" b="1" i="0" u="none" strike="noStrike" baseline="0">
              <a:solidFill>
                <a:srgbClr val="000000"/>
              </a:solidFill>
              <a:latin typeface="Arialri"/>
              <a:cs typeface="Arial"/>
            </a:rPr>
            <a:pPr algn="r" rtl="0">
              <a:defRPr sz="1000"/>
            </a:pPr>
            <a:t>gm = 1.2mS</a:t>
          </a:fld>
          <a:endParaRPr lang="el-GR" sz="1000" b="1" i="0" u="none" strike="noStrike" baseline="0">
            <a:solidFill>
              <a:srgbClr val="000000"/>
            </a:solidFill>
            <a:latin typeface="Arial"/>
            <a:cs typeface="Arial"/>
          </a:endParaRPr>
        </a:p>
      </xdr:txBody>
    </xdr:sp>
    <xdr:clientData/>
  </xdr:twoCellAnchor>
  <xdr:twoCellAnchor>
    <xdr:from>
      <xdr:col>13</xdr:col>
      <xdr:colOff>266700</xdr:colOff>
      <xdr:row>20</xdr:row>
      <xdr:rowOff>0</xdr:rowOff>
    </xdr:from>
    <xdr:to>
      <xdr:col>15</xdr:col>
      <xdr:colOff>38100</xdr:colOff>
      <xdr:row>22</xdr:row>
      <xdr:rowOff>104775</xdr:rowOff>
    </xdr:to>
    <xdr:sp macro="" textlink="$A$358">
      <xdr:nvSpPr>
        <xdr:cNvPr id="11" name="Text Box 4">
          <a:extLst>
            <a:ext uri="{FF2B5EF4-FFF2-40B4-BE49-F238E27FC236}">
              <a16:creationId xmlns:a16="http://schemas.microsoft.com/office/drawing/2014/main" id="{00000000-0008-0000-0300-00000B000000}"/>
            </a:ext>
          </a:extLst>
        </xdr:cNvPr>
        <xdr:cNvSpPr txBox="1">
          <a:spLocks noChangeArrowheads="1" noTextEdit="1"/>
        </xdr:cNvSpPr>
      </xdr:nvSpPr>
      <xdr:spPr bwMode="auto">
        <a:xfrm>
          <a:off x="14125575" y="3467100"/>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4772262A-5BC4-4AF8-A8E2-DF3959B443C1}" type="TxLink">
            <a:rPr lang="en-US" sz="1000" b="1" i="0" u="none" strike="noStrike" baseline="0">
              <a:solidFill>
                <a:srgbClr val="000000"/>
              </a:solidFill>
              <a:latin typeface="Arialri"/>
              <a:cs typeface="Arial"/>
            </a:rPr>
            <a:pPr algn="r" rtl="0">
              <a:defRPr sz="1000"/>
            </a:pPr>
            <a:t>RoEA = 64MΩ</a:t>
          </a:fld>
          <a:endParaRPr lang="el-GR" sz="1000" b="1" i="0" u="none" strike="noStrike" baseline="0">
            <a:solidFill>
              <a:srgbClr val="000000"/>
            </a:solidFill>
            <a:latin typeface="Arial"/>
            <a:cs typeface="Arial"/>
          </a:endParaRPr>
        </a:p>
      </xdr:txBody>
    </xdr:sp>
    <xdr:clientData/>
  </xdr:twoCellAnchor>
  <xdr:twoCellAnchor>
    <xdr:from>
      <xdr:col>13</xdr:col>
      <xdr:colOff>238125</xdr:colOff>
      <xdr:row>18</xdr:row>
      <xdr:rowOff>95250</xdr:rowOff>
    </xdr:from>
    <xdr:to>
      <xdr:col>15</xdr:col>
      <xdr:colOff>9525</xdr:colOff>
      <xdr:row>20</xdr:row>
      <xdr:rowOff>38100</xdr:rowOff>
    </xdr:to>
    <xdr:sp macro="" textlink="$A$359">
      <xdr:nvSpPr>
        <xdr:cNvPr id="12" name="Text Box 4">
          <a:extLst>
            <a:ext uri="{FF2B5EF4-FFF2-40B4-BE49-F238E27FC236}">
              <a16:creationId xmlns:a16="http://schemas.microsoft.com/office/drawing/2014/main" id="{00000000-0008-0000-0300-00000C000000}"/>
            </a:ext>
          </a:extLst>
        </xdr:cNvPr>
        <xdr:cNvSpPr txBox="1">
          <a:spLocks noChangeArrowheads="1" noTextEdit="1"/>
        </xdr:cNvSpPr>
      </xdr:nvSpPr>
      <xdr:spPr bwMode="auto">
        <a:xfrm>
          <a:off x="14097000" y="3238500"/>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6540ECFD-AAA0-44C8-8BEA-3C65071BF767}" type="TxLink">
            <a:rPr lang="en-US" sz="1000" b="1" i="0" u="none" strike="noStrike" baseline="0">
              <a:solidFill>
                <a:srgbClr val="000000"/>
              </a:solidFill>
              <a:latin typeface="Arialri"/>
              <a:cs typeface="Arial"/>
            </a:rPr>
            <a:pPr algn="r" rtl="0">
              <a:defRPr sz="1000"/>
            </a:pPr>
            <a:t>GBW = 30MHz</a:t>
          </a:fld>
          <a:endParaRPr lang="el-GR" sz="1000" b="1" i="0" u="none" strike="noStrike" baseline="0">
            <a:solidFill>
              <a:srgbClr val="000000"/>
            </a:solidFill>
            <a:latin typeface="Arial"/>
            <a:cs typeface="Arial"/>
          </a:endParaRPr>
        </a:p>
      </xdr:txBody>
    </xdr:sp>
    <xdr:clientData/>
  </xdr:twoCellAnchor>
  <xdr:twoCellAnchor editAs="oneCell">
    <xdr:from>
      <xdr:col>10</xdr:col>
      <xdr:colOff>476250</xdr:colOff>
      <xdr:row>0</xdr:row>
      <xdr:rowOff>104775</xdr:rowOff>
    </xdr:from>
    <xdr:to>
      <xdr:col>16</xdr:col>
      <xdr:colOff>381000</xdr:colOff>
      <xdr:row>3</xdr:row>
      <xdr:rowOff>1960</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830050" y="104775"/>
          <a:ext cx="4152900" cy="57727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55244</xdr:colOff>
      <xdr:row>14</xdr:row>
      <xdr:rowOff>163829</xdr:rowOff>
    </xdr:from>
    <xdr:to>
      <xdr:col>12</xdr:col>
      <xdr:colOff>443864</xdr:colOff>
      <xdr:row>43</xdr:row>
      <xdr:rowOff>106679</xdr:rowOff>
    </xdr:to>
    <xdr:graphicFrame macro="">
      <xdr:nvGraphicFramePr>
        <xdr:cNvPr id="2" name="Chart 102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942975</xdr:colOff>
      <xdr:row>14</xdr:row>
      <xdr:rowOff>142875</xdr:rowOff>
    </xdr:from>
    <xdr:to>
      <xdr:col>10</xdr:col>
      <xdr:colOff>304800</xdr:colOff>
      <xdr:row>40</xdr:row>
      <xdr:rowOff>66675</xdr:rowOff>
    </xdr:to>
    <xdr:graphicFrame macro="">
      <xdr:nvGraphicFramePr>
        <xdr:cNvPr id="2" name="Chart 102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19050</xdr:colOff>
      <xdr:row>4</xdr:row>
      <xdr:rowOff>38100</xdr:rowOff>
    </xdr:from>
    <xdr:to>
      <xdr:col>1</xdr:col>
      <xdr:colOff>8614410</xdr:colOff>
      <xdr:row>4</xdr:row>
      <xdr:rowOff>5158740</xdr:rowOff>
    </xdr:to>
    <xdr:graphicFrame macro="">
      <xdr:nvGraphicFramePr>
        <xdr:cNvPr id="163" name="Chart 12">
          <a:extLst>
            <a:ext uri="{FF2B5EF4-FFF2-40B4-BE49-F238E27FC236}">
              <a16:creationId xmlns:a16="http://schemas.microsoft.com/office/drawing/2014/main" id="{00000000-0008-0000-0600-0000A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19050</xdr:colOff>
      <xdr:row>7</xdr:row>
      <xdr:rowOff>47625</xdr:rowOff>
    </xdr:from>
    <xdr:to>
      <xdr:col>1</xdr:col>
      <xdr:colOff>8614410</xdr:colOff>
      <xdr:row>7</xdr:row>
      <xdr:rowOff>5168265</xdr:rowOff>
    </xdr:to>
    <xdr:graphicFrame macro="">
      <xdr:nvGraphicFramePr>
        <xdr:cNvPr id="164" name="Chart 12">
          <a:extLst>
            <a:ext uri="{FF2B5EF4-FFF2-40B4-BE49-F238E27FC236}">
              <a16:creationId xmlns:a16="http://schemas.microsoft.com/office/drawing/2014/main" id="{00000000-0008-0000-06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0.08469</cdr:x>
      <cdr:y>0.61907</cdr:y>
    </cdr:from>
    <cdr:to>
      <cdr:x>0.9187</cdr:x>
      <cdr:y>0.62078</cdr:y>
    </cdr:to>
    <cdr:sp macro="" textlink="">
      <cdr:nvSpPr>
        <cdr:cNvPr id="8195" name="Line 3"/>
        <cdr:cNvSpPr>
          <a:spLocks xmlns:a="http://schemas.openxmlformats.org/drawingml/2006/main" noChangeShapeType="1"/>
        </cdr:cNvSpPr>
      </cdr:nvSpPr>
      <cdr:spPr bwMode="auto">
        <a:xfrm xmlns:a="http://schemas.openxmlformats.org/drawingml/2006/main">
          <a:off x="766339" y="3331338"/>
          <a:ext cx="7546748" cy="920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0.92497</cdr:x>
      <cdr:y>0.41585</cdr:y>
    </cdr:from>
    <cdr:to>
      <cdr:x>0.9716</cdr:x>
      <cdr:y>0.47175</cdr:y>
    </cdr:to>
    <cdr:sp macro="" textlink="'Variable Management'!$B$366">
      <cdr:nvSpPr>
        <cdr:cNvPr id="3" name="Text Box 24"/>
        <cdr:cNvSpPr txBox="1">
          <a:spLocks xmlns:a="http://schemas.openxmlformats.org/drawingml/2006/main" noChangeArrowheads="1" noTextEdit="1"/>
        </cdr:cNvSpPr>
      </cdr:nvSpPr>
      <cdr:spPr bwMode="auto">
        <a:xfrm xmlns:a="http://schemas.openxmlformats.org/drawingml/2006/main">
          <a:off x="8369846" y="2237779"/>
          <a:ext cx="421943" cy="300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115°</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9.xml><?xml version="1.0" encoding="utf-8"?>
<c:userShapes xmlns:c="http://schemas.openxmlformats.org/drawingml/2006/chart">
  <cdr:relSizeAnchor xmlns:cdr="http://schemas.openxmlformats.org/drawingml/2006/chartDrawing">
    <cdr:from>
      <cdr:x>0.08469</cdr:x>
      <cdr:y>0.61907</cdr:y>
    </cdr:from>
    <cdr:to>
      <cdr:x>0.9187</cdr:x>
      <cdr:y>0.62078</cdr:y>
    </cdr:to>
    <cdr:sp macro="" textlink="">
      <cdr:nvSpPr>
        <cdr:cNvPr id="8195" name="Line 3"/>
        <cdr:cNvSpPr>
          <a:spLocks xmlns:a="http://schemas.openxmlformats.org/drawingml/2006/main" noChangeShapeType="1"/>
        </cdr:cNvSpPr>
      </cdr:nvSpPr>
      <cdr:spPr bwMode="auto">
        <a:xfrm xmlns:a="http://schemas.openxmlformats.org/drawingml/2006/main">
          <a:off x="766339" y="3331338"/>
          <a:ext cx="7546748" cy="920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0.92497</cdr:x>
      <cdr:y>0.41585</cdr:y>
    </cdr:from>
    <cdr:to>
      <cdr:x>0.9716</cdr:x>
      <cdr:y>0.47175</cdr:y>
    </cdr:to>
    <cdr:sp macro="" textlink="'Variable Management'!$B$366">
      <cdr:nvSpPr>
        <cdr:cNvPr id="3" name="Text Box 24"/>
        <cdr:cNvSpPr txBox="1">
          <a:spLocks xmlns:a="http://schemas.openxmlformats.org/drawingml/2006/main" noChangeArrowheads="1" noTextEdit="1"/>
        </cdr:cNvSpPr>
      </cdr:nvSpPr>
      <cdr:spPr bwMode="auto">
        <a:xfrm xmlns:a="http://schemas.openxmlformats.org/drawingml/2006/main">
          <a:off x="8369846" y="2237779"/>
          <a:ext cx="421943" cy="300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115°</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30</xdr:col>
      <xdr:colOff>874395</xdr:colOff>
      <xdr:row>44</xdr:row>
      <xdr:rowOff>38100</xdr:rowOff>
    </xdr:from>
    <xdr:to>
      <xdr:col>41</xdr:col>
      <xdr:colOff>668655</xdr:colOff>
      <xdr:row>73</xdr:row>
      <xdr:rowOff>57150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880110</xdr:colOff>
      <xdr:row>13</xdr:row>
      <xdr:rowOff>78105</xdr:rowOff>
    </xdr:from>
    <xdr:to>
      <xdr:col>40</xdr:col>
      <xdr:colOff>579120</xdr:colOff>
      <xdr:row>42</xdr:row>
      <xdr:rowOff>106680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146685</xdr:colOff>
      <xdr:row>13</xdr:row>
      <xdr:rowOff>101992</xdr:rowOff>
    </xdr:from>
    <xdr:to>
      <xdr:col>29</xdr:col>
      <xdr:colOff>578972</xdr:colOff>
      <xdr:row>42</xdr:row>
      <xdr:rowOff>130567</xdr:rowOff>
    </xdr:to>
    <xdr:graphicFrame macro="">
      <xdr:nvGraphicFramePr>
        <xdr:cNvPr id="4" name="Chart 4">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628650</xdr:colOff>
      <xdr:row>2</xdr:row>
      <xdr:rowOff>152400</xdr:rowOff>
    </xdr:from>
    <xdr:to>
      <xdr:col>13</xdr:col>
      <xdr:colOff>336218</xdr:colOff>
      <xdr:row>4</xdr:row>
      <xdr:rowOff>57150</xdr:rowOff>
    </xdr:to>
    <xdr:sp macro="" textlink="'Variable Management'!$B$368">
      <xdr:nvSpPr>
        <xdr:cNvPr id="5" name="Text Box 24">
          <a:extLst>
            <a:ext uri="{FF2B5EF4-FFF2-40B4-BE49-F238E27FC236}">
              <a16:creationId xmlns:a16="http://schemas.microsoft.com/office/drawing/2014/main" id="{00000000-0008-0000-0700-000005000000}"/>
            </a:ext>
          </a:extLst>
        </xdr:cNvPr>
        <xdr:cNvSpPr txBox="1">
          <a:spLocks noChangeArrowheads="1" noTextEdit="1"/>
        </xdr:cNvSpPr>
      </xdr:nvSpPr>
      <xdr:spPr bwMode="auto">
        <a:xfrm>
          <a:off x="12392025" y="47625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83%</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30480</xdr:colOff>
      <xdr:row>1</xdr:row>
      <xdr:rowOff>95250</xdr:rowOff>
    </xdr:from>
    <xdr:to>
      <xdr:col>12</xdr:col>
      <xdr:colOff>452423</xdr:colOff>
      <xdr:row>3</xdr:row>
      <xdr:rowOff>0</xdr:rowOff>
    </xdr:to>
    <xdr:sp macro="" textlink="'Variable Management'!$B$369">
      <xdr:nvSpPr>
        <xdr:cNvPr id="6" name="Text Box 24">
          <a:extLst>
            <a:ext uri="{FF2B5EF4-FFF2-40B4-BE49-F238E27FC236}">
              <a16:creationId xmlns:a16="http://schemas.microsoft.com/office/drawing/2014/main" id="{00000000-0008-0000-0700-000006000000}"/>
            </a:ext>
          </a:extLst>
        </xdr:cNvPr>
        <xdr:cNvSpPr txBox="1">
          <a:spLocks noChangeArrowheads="1" noTextEdit="1"/>
        </xdr:cNvSpPr>
      </xdr:nvSpPr>
      <xdr:spPr bwMode="auto">
        <a:xfrm>
          <a:off x="11793855" y="25717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80.1%</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18</xdr:col>
      <xdr:colOff>586740</xdr:colOff>
      <xdr:row>44</xdr:row>
      <xdr:rowOff>7620</xdr:rowOff>
    </xdr:from>
    <xdr:to>
      <xdr:col>29</xdr:col>
      <xdr:colOff>575310</xdr:colOff>
      <xdr:row>72</xdr:row>
      <xdr:rowOff>112395</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29</xdr:col>
      <xdr:colOff>647700</xdr:colOff>
      <xdr:row>40</xdr:row>
      <xdr:rowOff>38100</xdr:rowOff>
    </xdr:from>
    <xdr:to>
      <xdr:col>40</xdr:col>
      <xdr:colOff>438150</xdr:colOff>
      <xdr:row>69</xdr:row>
      <xdr:rowOff>57150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619125</xdr:colOff>
      <xdr:row>10</xdr:row>
      <xdr:rowOff>19050</xdr:rowOff>
    </xdr:from>
    <xdr:to>
      <xdr:col>39</xdr:col>
      <xdr:colOff>466725</xdr:colOff>
      <xdr:row>39</xdr:row>
      <xdr:rowOff>47625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104775</xdr:colOff>
      <xdr:row>10</xdr:row>
      <xdr:rowOff>2932</xdr:rowOff>
    </xdr:from>
    <xdr:to>
      <xdr:col>29</xdr:col>
      <xdr:colOff>479912</xdr:colOff>
      <xdr:row>39</xdr:row>
      <xdr:rowOff>31507</xdr:rowOff>
    </xdr:to>
    <xdr:graphicFrame macro="">
      <xdr:nvGraphicFramePr>
        <xdr:cNvPr id="4" name="Chart 4">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4</xdr:row>
      <xdr:rowOff>12700</xdr:rowOff>
    </xdr:from>
    <xdr:to>
      <xdr:col>1</xdr:col>
      <xdr:colOff>8124825</xdr:colOff>
      <xdr:row>4</xdr:row>
      <xdr:rowOff>5165725</xdr:rowOff>
    </xdr:to>
    <xdr:graphicFrame macro="">
      <xdr:nvGraphicFramePr>
        <xdr:cNvPr id="8" name="Chart 253">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6</xdr:row>
      <xdr:rowOff>0</xdr:rowOff>
    </xdr:from>
    <xdr:to>
      <xdr:col>1</xdr:col>
      <xdr:colOff>8124825</xdr:colOff>
      <xdr:row>6</xdr:row>
      <xdr:rowOff>5153025</xdr:rowOff>
    </xdr:to>
    <xdr:graphicFrame macro="">
      <xdr:nvGraphicFramePr>
        <xdr:cNvPr id="6" name="Chart 253">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4</xdr:col>
      <xdr:colOff>174994</xdr:colOff>
      <xdr:row>4</xdr:row>
      <xdr:rowOff>1021934</xdr:rowOff>
    </xdr:from>
    <xdr:to>
      <xdr:col>4</xdr:col>
      <xdr:colOff>519382</xdr:colOff>
      <xdr:row>4</xdr:row>
      <xdr:rowOff>1280181</xdr:rowOff>
    </xdr:to>
    <xdr:sp macro="" textlink="">
      <xdr:nvSpPr>
        <xdr:cNvPr id="6" name="Text Box 225">
          <a:extLst>
            <a:ext uri="{FF2B5EF4-FFF2-40B4-BE49-F238E27FC236}">
              <a16:creationId xmlns:a16="http://schemas.microsoft.com/office/drawing/2014/main" id="{00000000-0008-0000-0A00-000006000000}"/>
            </a:ext>
          </a:extLst>
        </xdr:cNvPr>
        <xdr:cNvSpPr txBox="1">
          <a:spLocks noChangeArrowheads="1"/>
        </xdr:cNvSpPr>
      </xdr:nvSpPr>
      <xdr:spPr bwMode="auto">
        <a:xfrm>
          <a:off x="10727037" y="1684543"/>
          <a:ext cx="344388" cy="25824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editAs="absolute">
    <xdr:from>
      <xdr:col>4</xdr:col>
      <xdr:colOff>138496</xdr:colOff>
      <xdr:row>4</xdr:row>
      <xdr:rowOff>1612609</xdr:rowOff>
    </xdr:from>
    <xdr:to>
      <xdr:col>4</xdr:col>
      <xdr:colOff>535387</xdr:colOff>
      <xdr:row>4</xdr:row>
      <xdr:rowOff>1813486</xdr:rowOff>
    </xdr:to>
    <xdr:sp macro="" textlink="">
      <xdr:nvSpPr>
        <xdr:cNvPr id="19" name="Text Box 255">
          <a:extLst>
            <a:ext uri="{FF2B5EF4-FFF2-40B4-BE49-F238E27FC236}">
              <a16:creationId xmlns:a16="http://schemas.microsoft.com/office/drawing/2014/main" id="{00000000-0008-0000-0A00-000013000000}"/>
            </a:ext>
          </a:extLst>
        </xdr:cNvPr>
        <xdr:cNvSpPr txBox="1">
          <a:spLocks noChangeArrowheads="1"/>
        </xdr:cNvSpPr>
      </xdr:nvSpPr>
      <xdr:spPr bwMode="auto">
        <a:xfrm>
          <a:off x="10690539" y="2275218"/>
          <a:ext cx="396891" cy="200877"/>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editAs="absolute">
    <xdr:from>
      <xdr:col>4</xdr:col>
      <xdr:colOff>75295</xdr:colOff>
      <xdr:row>4</xdr:row>
      <xdr:rowOff>1815109</xdr:rowOff>
    </xdr:from>
    <xdr:to>
      <xdr:col>4</xdr:col>
      <xdr:colOff>593447</xdr:colOff>
      <xdr:row>4</xdr:row>
      <xdr:rowOff>1990573</xdr:rowOff>
    </xdr:to>
    <xdr:sp macro="" textlink="'Variable Management'!B364">
      <xdr:nvSpPr>
        <xdr:cNvPr id="26" name="Text Box 264">
          <a:extLst>
            <a:ext uri="{FF2B5EF4-FFF2-40B4-BE49-F238E27FC236}">
              <a16:creationId xmlns:a16="http://schemas.microsoft.com/office/drawing/2014/main" id="{00000000-0008-0000-0A00-00001A000000}"/>
            </a:ext>
          </a:extLst>
        </xdr:cNvPr>
        <xdr:cNvSpPr txBox="1">
          <a:spLocks noChangeArrowheads="1" noTextEdit="1"/>
        </xdr:cNvSpPr>
      </xdr:nvSpPr>
      <xdr:spPr bwMode="auto">
        <a:xfrm>
          <a:off x="10627338" y="2477718"/>
          <a:ext cx="518152" cy="175464"/>
        </a:xfrm>
        <a:prstGeom prst="rect">
          <a:avLst/>
        </a:prstGeom>
        <a:noFill/>
        <a:ln w="9525">
          <a:noFill/>
          <a:miter lim="800000"/>
          <a:headEnd/>
          <a:tailEnd/>
        </a:ln>
      </xdr:spPr>
      <xdr:txBody>
        <a:bodyPr vertOverflow="clip" wrap="square" lIns="27432" tIns="22860" rIns="0" bIns="0" anchor="ctr"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1.37kΩ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4</xdr:col>
      <xdr:colOff>183706</xdr:colOff>
      <xdr:row>4</xdr:row>
      <xdr:rowOff>1194204</xdr:rowOff>
    </xdr:from>
    <xdr:to>
      <xdr:col>5</xdr:col>
      <xdr:colOff>96224</xdr:colOff>
      <xdr:row>4</xdr:row>
      <xdr:rowOff>1487293</xdr:rowOff>
    </xdr:to>
    <xdr:sp macro="" textlink="'Variable Management'!B363">
      <xdr:nvSpPr>
        <xdr:cNvPr id="30" name="Text Box 268">
          <a:extLst>
            <a:ext uri="{FF2B5EF4-FFF2-40B4-BE49-F238E27FC236}">
              <a16:creationId xmlns:a16="http://schemas.microsoft.com/office/drawing/2014/main" id="{00000000-0008-0000-0A00-00001E000000}"/>
            </a:ext>
          </a:extLst>
        </xdr:cNvPr>
        <xdr:cNvSpPr txBox="1">
          <a:spLocks noChangeArrowheads="1" noTextEdit="1"/>
        </xdr:cNvSpPr>
      </xdr:nvSpPr>
      <xdr:spPr bwMode="auto">
        <a:xfrm>
          <a:off x="10735749" y="1856813"/>
          <a:ext cx="525432" cy="293089"/>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10kΩ</a:t>
          </a:fld>
          <a:endParaRPr lang="el-GR" sz="1000" b="0" i="0" strike="noStrike">
            <a:solidFill>
              <a:srgbClr val="000000"/>
            </a:solidFill>
            <a:latin typeface="Arial" pitchFamily="34" charset="0"/>
            <a:cs typeface="Arial" pitchFamily="34" charset="0"/>
          </a:endParaRPr>
        </a:p>
      </xdr:txBody>
    </xdr:sp>
    <xdr:clientData/>
  </xdr:twoCellAnchor>
  <xdr:twoCellAnchor editAs="oneCell">
    <xdr:from>
      <xdr:col>0</xdr:col>
      <xdr:colOff>704849</xdr:colOff>
      <xdr:row>7</xdr:row>
      <xdr:rowOff>3810</xdr:rowOff>
    </xdr:from>
    <xdr:to>
      <xdr:col>2</xdr:col>
      <xdr:colOff>8381</xdr:colOff>
      <xdr:row>8</xdr:row>
      <xdr:rowOff>62623</xdr:rowOff>
    </xdr:to>
    <xdr:pic>
      <xdr:nvPicPr>
        <xdr:cNvPr id="248" name="Picture 247">
          <a:extLst>
            <a:ext uri="{FF2B5EF4-FFF2-40B4-BE49-F238E27FC236}">
              <a16:creationId xmlns:a16="http://schemas.microsoft.com/office/drawing/2014/main" id="{00000000-0008-0000-0A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457950"/>
          <a:ext cx="8897112" cy="52556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3</xdr:row>
      <xdr:rowOff>161924</xdr:rowOff>
    </xdr:from>
    <xdr:to>
      <xdr:col>2</xdr:col>
      <xdr:colOff>20954</xdr:colOff>
      <xdr:row>5</xdr:row>
      <xdr:rowOff>70049</xdr:rowOff>
    </xdr:to>
    <xdr:pic>
      <xdr:nvPicPr>
        <xdr:cNvPr id="249" name="Picture 248">
          <a:extLst>
            <a:ext uri="{FF2B5EF4-FFF2-40B4-BE49-F238E27FC236}">
              <a16:creationId xmlns:a16="http://schemas.microsoft.com/office/drawing/2014/main" id="{00000000-0008-0000-0A00-0000F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47699"/>
          <a:ext cx="8641080" cy="527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8</xdr:row>
      <xdr:rowOff>161924</xdr:rowOff>
    </xdr:from>
    <xdr:to>
      <xdr:col>2</xdr:col>
      <xdr:colOff>20954</xdr:colOff>
      <xdr:row>10</xdr:row>
      <xdr:rowOff>70049</xdr:rowOff>
    </xdr:to>
    <xdr:pic>
      <xdr:nvPicPr>
        <xdr:cNvPr id="12" name="Picture 11">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4849" y="11801474"/>
          <a:ext cx="8641080" cy="527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printerSettings" Target="../printerSettings/printerSettings1.bin"/><Relationship Id="rId21" Type="http://schemas.openxmlformats.org/officeDocument/2006/relationships/comments" Target="../comments1.xm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hyperlink" Target="http://www.ti.com/pol" TargetMode="External"/><Relationship Id="rId16" Type="http://schemas.openxmlformats.org/officeDocument/2006/relationships/ctrlProp" Target="../ctrlProps/ctrlProp10.xml"/><Relationship Id="rId20" Type="http://schemas.openxmlformats.org/officeDocument/2006/relationships/ctrlProp" Target="../ctrlProps/ctrlProp14.xml"/><Relationship Id="rId1" Type="http://schemas.openxmlformats.org/officeDocument/2006/relationships/hyperlink" Target="http://www.ti.com/product/lm5175" TargetMode="External"/><Relationship Id="rId6" Type="http://schemas.openxmlformats.org/officeDocument/2006/relationships/vmlDrawing" Target="../drawings/vmlDrawing2.vml"/><Relationship Id="rId11" Type="http://schemas.openxmlformats.org/officeDocument/2006/relationships/ctrlProp" Target="../ctrlProps/ctrlProp5.xml"/><Relationship Id="rId5" Type="http://schemas.openxmlformats.org/officeDocument/2006/relationships/vmlDrawing" Target="../drawings/vmlDrawing1.vml"/><Relationship Id="rId15" Type="http://schemas.openxmlformats.org/officeDocument/2006/relationships/ctrlProp" Target="../ctrlProps/ctrlProp9.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ti.com/nexfet" TargetMode="Externa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I457"/>
  <sheetViews>
    <sheetView tabSelected="1" topLeftCell="A4" zoomScaleNormal="100" zoomScaleSheetLayoutView="100" workbookViewId="0">
      <selection activeCell="E11" sqref="E11"/>
    </sheetView>
  </sheetViews>
  <sheetFormatPr defaultColWidth="9.140625" defaultRowHeight="12.75" x14ac:dyDescent="0.2"/>
  <cols>
    <col min="1" max="1" width="8.28515625" style="189" customWidth="1"/>
    <col min="2" max="2" width="8.28515625" style="79" customWidth="1"/>
    <col min="3" max="3" width="13.5703125" style="79" customWidth="1"/>
    <col min="4" max="4" width="8.28515625" style="79" customWidth="1"/>
    <col min="5" max="5" width="6.85546875" style="79" customWidth="1"/>
    <col min="6" max="6" width="7.5703125" style="79" customWidth="1"/>
    <col min="7" max="7" width="12.5703125" style="79" customWidth="1"/>
    <col min="8" max="8" width="11.85546875" style="79" customWidth="1"/>
    <col min="9" max="9" width="9.140625" style="79" customWidth="1"/>
    <col min="10" max="10" width="6.85546875" style="79" customWidth="1"/>
    <col min="11" max="11" width="7.5703125" style="79" customWidth="1"/>
    <col min="12" max="12" width="12.42578125" style="79" bestFit="1" customWidth="1"/>
    <col min="13" max="15" width="9.140625" style="79"/>
    <col min="16" max="16" width="10.140625" style="79" customWidth="1"/>
    <col min="17" max="17" width="89" style="79" customWidth="1"/>
    <col min="18" max="18" width="3.140625" style="79" customWidth="1"/>
    <col min="19" max="19" width="10" style="79" bestFit="1" customWidth="1"/>
    <col min="20" max="16384" width="9.140625" style="79"/>
  </cols>
  <sheetData>
    <row r="1" spans="1:18" ht="47.25" customHeight="1" x14ac:dyDescent="0.2">
      <c r="A1" s="669" t="s">
        <v>850</v>
      </c>
      <c r="B1" s="670"/>
      <c r="C1" s="670"/>
      <c r="D1" s="670"/>
      <c r="E1" s="670"/>
      <c r="F1" s="670"/>
      <c r="G1" s="670"/>
      <c r="H1" s="670"/>
      <c r="I1" s="670"/>
      <c r="J1" s="670"/>
      <c r="K1" s="670"/>
      <c r="L1" s="670"/>
      <c r="M1" s="670"/>
      <c r="N1" s="670"/>
      <c r="O1" s="670"/>
      <c r="P1" s="670"/>
      <c r="Q1" s="670"/>
      <c r="R1" s="500"/>
    </row>
    <row r="2" spans="1:18" ht="14.1" customHeight="1" x14ac:dyDescent="0.45">
      <c r="A2" s="503"/>
      <c r="B2" s="504"/>
      <c r="C2" s="504"/>
      <c r="D2" s="504"/>
      <c r="E2" s="504"/>
      <c r="F2" s="504"/>
      <c r="G2" s="504"/>
      <c r="H2" s="504"/>
      <c r="I2" s="504"/>
      <c r="J2" s="504"/>
      <c r="K2" s="504"/>
      <c r="L2" s="504"/>
      <c r="M2" s="504"/>
      <c r="N2" s="504"/>
      <c r="O2" s="518" t="s">
        <v>614</v>
      </c>
      <c r="P2" s="504"/>
      <c r="Q2" s="504"/>
      <c r="R2" s="500"/>
    </row>
    <row r="3" spans="1:18" ht="15.95" customHeight="1" x14ac:dyDescent="0.45">
      <c r="A3" s="505" t="s">
        <v>237</v>
      </c>
      <c r="B3" s="506"/>
      <c r="C3" s="517" t="s">
        <v>238</v>
      </c>
      <c r="D3" s="507"/>
      <c r="E3" s="120"/>
      <c r="F3" s="511" t="s">
        <v>146</v>
      </c>
      <c r="G3" s="512"/>
      <c r="H3" s="504"/>
      <c r="I3" s="504"/>
      <c r="J3" s="512"/>
      <c r="K3" s="513"/>
      <c r="L3" s="514"/>
      <c r="M3" s="500"/>
      <c r="N3" s="500"/>
      <c r="O3" s="668" t="s">
        <v>51</v>
      </c>
      <c r="P3" s="668"/>
      <c r="Q3" s="500" t="s">
        <v>168</v>
      </c>
      <c r="R3" s="500"/>
    </row>
    <row r="4" spans="1:18" ht="13.5" customHeight="1" thickBot="1" x14ac:dyDescent="0.35">
      <c r="A4" s="508"/>
      <c r="B4" s="509"/>
      <c r="C4" s="510"/>
      <c r="D4" s="510"/>
      <c r="E4" s="510"/>
      <c r="F4" s="510"/>
      <c r="G4" s="510"/>
      <c r="H4" s="510"/>
      <c r="I4" s="510"/>
      <c r="J4" s="510"/>
      <c r="K4" s="510"/>
      <c r="L4" s="510"/>
      <c r="M4" s="515"/>
      <c r="N4" s="515"/>
      <c r="O4" s="515"/>
      <c r="P4" s="515"/>
      <c r="Q4" s="516"/>
      <c r="R4" s="500"/>
    </row>
    <row r="5" spans="1:18" ht="20.100000000000001" customHeight="1" thickBot="1" x14ac:dyDescent="0.35">
      <c r="A5" s="184" t="s">
        <v>225</v>
      </c>
      <c r="B5" s="119"/>
      <c r="C5" s="80"/>
      <c r="D5" s="80"/>
      <c r="E5" s="82"/>
      <c r="F5" s="80"/>
      <c r="G5" s="108"/>
      <c r="H5" s="83"/>
      <c r="I5" s="83"/>
      <c r="J5" s="83"/>
      <c r="K5" s="83"/>
      <c r="L5" s="83"/>
      <c r="M5" s="83"/>
      <c r="N5" s="83"/>
      <c r="O5" s="83"/>
      <c r="P5" s="83"/>
      <c r="Q5" s="107"/>
      <c r="R5" s="500"/>
    </row>
    <row r="6" spans="1:18" ht="15.75" customHeight="1" x14ac:dyDescent="0.2">
      <c r="A6" s="267"/>
      <c r="B6" s="268"/>
      <c r="C6" s="561"/>
      <c r="D6" s="561"/>
      <c r="E6" s="561"/>
      <c r="F6" s="562"/>
      <c r="G6" s="130"/>
      <c r="H6" s="128"/>
      <c r="I6" s="83"/>
      <c r="J6" s="83"/>
      <c r="K6" s="83"/>
      <c r="L6" s="83"/>
      <c r="M6" s="83"/>
      <c r="N6" s="83"/>
      <c r="O6" s="83"/>
      <c r="P6" s="83"/>
      <c r="Q6" s="107"/>
      <c r="R6" s="500"/>
    </row>
    <row r="7" spans="1:18" ht="13.5" customHeight="1" x14ac:dyDescent="0.2">
      <c r="A7" s="258"/>
      <c r="B7" s="257"/>
      <c r="C7" s="259"/>
      <c r="D7" s="271" t="s">
        <v>791</v>
      </c>
      <c r="E7" s="272">
        <v>20</v>
      </c>
      <c r="F7" s="273" t="s">
        <v>0</v>
      </c>
      <c r="G7" s="130"/>
      <c r="H7" s="128"/>
      <c r="I7" s="83"/>
      <c r="J7" s="83"/>
      <c r="K7" s="83"/>
      <c r="L7" s="83"/>
      <c r="M7" s="83"/>
      <c r="N7" s="83"/>
      <c r="O7" s="83"/>
      <c r="P7" s="83"/>
      <c r="Q7" s="107"/>
      <c r="R7" s="500"/>
    </row>
    <row r="8" spans="1:18" ht="13.5" customHeight="1" x14ac:dyDescent="0.2">
      <c r="A8" s="258"/>
      <c r="B8" s="257"/>
      <c r="C8" s="259"/>
      <c r="D8" s="271" t="s">
        <v>792</v>
      </c>
      <c r="E8" s="272">
        <v>21</v>
      </c>
      <c r="F8" s="287" t="s">
        <v>0</v>
      </c>
      <c r="G8" s="130"/>
      <c r="H8" s="128"/>
      <c r="I8" s="83"/>
      <c r="J8" s="83"/>
      <c r="K8" s="83"/>
      <c r="L8" s="83"/>
      <c r="M8" s="83"/>
      <c r="N8" s="83"/>
      <c r="O8" s="83"/>
      <c r="P8" s="83"/>
      <c r="Q8" s="107"/>
      <c r="R8" s="500"/>
    </row>
    <row r="9" spans="1:18" ht="13.5" customHeight="1" thickBot="1" x14ac:dyDescent="0.25">
      <c r="A9" s="258"/>
      <c r="B9" s="257"/>
      <c r="C9" s="259"/>
      <c r="D9" s="271" t="s">
        <v>793</v>
      </c>
      <c r="E9" s="272">
        <v>26</v>
      </c>
      <c r="F9" s="273" t="s">
        <v>0</v>
      </c>
      <c r="G9" s="130"/>
      <c r="H9" s="128"/>
      <c r="I9" s="83"/>
      <c r="J9" s="83"/>
      <c r="K9" s="83"/>
      <c r="L9" s="83"/>
      <c r="M9" s="83"/>
      <c r="N9" s="83"/>
      <c r="O9" s="83"/>
      <c r="P9" s="83"/>
      <c r="Q9" s="107"/>
      <c r="R9" s="500"/>
    </row>
    <row r="10" spans="1:18" ht="13.5" customHeight="1" x14ac:dyDescent="0.2">
      <c r="A10" s="258"/>
      <c r="B10" s="257"/>
      <c r="C10" s="259"/>
      <c r="D10" s="271" t="s">
        <v>803</v>
      </c>
      <c r="E10" s="272">
        <v>5</v>
      </c>
      <c r="F10" s="273" t="s">
        <v>0</v>
      </c>
      <c r="G10" s="566"/>
      <c r="H10" s="561"/>
      <c r="I10" s="567" t="s">
        <v>637</v>
      </c>
      <c r="J10" s="568">
        <v>20</v>
      </c>
      <c r="K10" s="569" t="s">
        <v>0</v>
      </c>
      <c r="L10" s="83"/>
      <c r="M10" s="83"/>
      <c r="N10" s="83"/>
      <c r="O10" s="83"/>
      <c r="P10" s="83"/>
      <c r="Q10" s="107"/>
      <c r="R10" s="500"/>
    </row>
    <row r="11" spans="1:18" ht="15.75" customHeight="1" thickBot="1" x14ac:dyDescent="0.25">
      <c r="A11" s="258"/>
      <c r="B11" s="257"/>
      <c r="C11" s="259"/>
      <c r="D11" s="271" t="s">
        <v>804</v>
      </c>
      <c r="E11" s="272">
        <v>5</v>
      </c>
      <c r="F11" s="273" t="s">
        <v>1</v>
      </c>
      <c r="G11" s="564"/>
      <c r="H11" s="570"/>
      <c r="I11" s="571" t="s">
        <v>638</v>
      </c>
      <c r="J11" s="572">
        <v>5</v>
      </c>
      <c r="K11" s="573" t="s">
        <v>1</v>
      </c>
      <c r="L11" s="83"/>
      <c r="M11" s="83"/>
      <c r="N11" s="83"/>
      <c r="O11" s="83"/>
      <c r="P11" s="83"/>
      <c r="Q11" s="107"/>
      <c r="R11" s="500"/>
    </row>
    <row r="12" spans="1:18" ht="13.5" customHeight="1" x14ac:dyDescent="0.2">
      <c r="A12" s="258"/>
      <c r="B12" s="257"/>
      <c r="C12" s="259"/>
      <c r="D12" s="271" t="s">
        <v>794</v>
      </c>
      <c r="E12" s="274">
        <v>2100</v>
      </c>
      <c r="F12" s="273" t="s">
        <v>2</v>
      </c>
      <c r="G12" s="130"/>
      <c r="H12" s="128"/>
      <c r="I12" s="83"/>
      <c r="J12" s="83"/>
      <c r="K12" s="83"/>
      <c r="L12" s="83"/>
      <c r="M12" s="83"/>
      <c r="N12" s="83"/>
      <c r="O12" s="83"/>
      <c r="P12" s="83"/>
      <c r="Q12" s="107"/>
      <c r="R12" s="500"/>
    </row>
    <row r="13" spans="1:18" ht="13.5" customHeight="1" x14ac:dyDescent="0.2">
      <c r="A13" s="609"/>
      <c r="B13" s="257"/>
      <c r="C13" s="259"/>
      <c r="D13" s="259" t="s">
        <v>281</v>
      </c>
      <c r="E13" s="259">
        <f>IF('Standard Value Calculator'!O4/1000&gt;288, "N/A",'Standard Value Calculator'!O4/1000)</f>
        <v>10.5</v>
      </c>
      <c r="F13" s="261" t="s">
        <v>50</v>
      </c>
      <c r="G13" s="130"/>
      <c r="H13" s="128"/>
      <c r="I13" s="83"/>
      <c r="J13" s="83"/>
      <c r="K13" s="83"/>
      <c r="L13" s="83"/>
      <c r="M13" s="83"/>
      <c r="N13" s="83"/>
      <c r="O13" s="83"/>
      <c r="P13" s="83"/>
      <c r="Q13" s="107"/>
      <c r="R13" s="500"/>
    </row>
    <row r="14" spans="1:18" ht="17.25" customHeight="1" thickBot="1" x14ac:dyDescent="0.25">
      <c r="A14" s="263"/>
      <c r="B14" s="264"/>
      <c r="C14" s="265"/>
      <c r="D14" s="611" t="s">
        <v>790</v>
      </c>
      <c r="E14" s="646">
        <v>25</v>
      </c>
      <c r="F14" s="610" t="s">
        <v>226</v>
      </c>
      <c r="G14" s="130"/>
      <c r="H14" s="128"/>
      <c r="I14" s="83"/>
      <c r="J14" s="83"/>
      <c r="K14" s="83"/>
      <c r="L14" s="83"/>
      <c r="M14" s="83"/>
      <c r="N14" s="83"/>
      <c r="O14" s="83"/>
      <c r="P14" s="83"/>
      <c r="Q14" s="107"/>
      <c r="R14" s="500"/>
    </row>
    <row r="15" spans="1:18" ht="17.25" customHeight="1" x14ac:dyDescent="0.2">
      <c r="A15" s="609"/>
      <c r="B15" s="257"/>
      <c r="C15" s="259"/>
      <c r="D15" s="647"/>
      <c r="E15" s="650"/>
      <c r="F15" s="649"/>
      <c r="G15" s="130"/>
      <c r="H15" s="128"/>
      <c r="I15" s="83"/>
      <c r="J15" s="83"/>
      <c r="K15" s="83"/>
      <c r="L15" s="83"/>
      <c r="M15" s="83"/>
      <c r="N15" s="83"/>
      <c r="O15" s="83"/>
      <c r="P15" s="83"/>
      <c r="Q15" s="107"/>
      <c r="R15" s="500"/>
    </row>
    <row r="16" spans="1:18" ht="20.100000000000001" customHeight="1" thickBot="1" x14ac:dyDescent="0.35">
      <c r="A16" s="184" t="s">
        <v>818</v>
      </c>
      <c r="B16" s="132"/>
      <c r="C16" s="128"/>
      <c r="D16" s="128"/>
      <c r="E16" s="128"/>
      <c r="F16" s="128"/>
      <c r="G16" s="130"/>
      <c r="H16" s="128"/>
      <c r="I16" s="83"/>
      <c r="J16" s="83"/>
      <c r="K16" s="83"/>
      <c r="L16" s="83"/>
      <c r="M16" s="83"/>
      <c r="N16" s="83"/>
      <c r="O16" s="83"/>
      <c r="P16" s="83"/>
      <c r="Q16" s="107"/>
      <c r="R16" s="500"/>
    </row>
    <row r="17" spans="1:18" ht="15" customHeight="1" x14ac:dyDescent="0.25">
      <c r="A17" s="267"/>
      <c r="B17" s="154"/>
      <c r="C17" s="154"/>
      <c r="D17" s="156" t="s">
        <v>653</v>
      </c>
      <c r="E17" s="302">
        <v>6</v>
      </c>
      <c r="F17" s="157" t="s">
        <v>1</v>
      </c>
      <c r="G17" s="566"/>
      <c r="H17" s="175"/>
      <c r="I17" s="156" t="s">
        <v>653</v>
      </c>
      <c r="J17" s="302">
        <v>6</v>
      </c>
      <c r="K17" s="157" t="s">
        <v>1</v>
      </c>
      <c r="L17" s="83"/>
      <c r="M17" s="83"/>
      <c r="N17" s="83"/>
      <c r="O17" s="83"/>
      <c r="P17" s="83"/>
      <c r="Q17" s="107"/>
      <c r="R17" s="500"/>
    </row>
    <row r="18" spans="1:18" ht="15" customHeight="1" x14ac:dyDescent="0.2">
      <c r="A18" s="258"/>
      <c r="B18" s="128"/>
      <c r="C18" s="128"/>
      <c r="D18" s="125" t="s">
        <v>308</v>
      </c>
      <c r="E18" s="304">
        <f>Rs_ideal*1000</f>
        <v>11.377849541637282</v>
      </c>
      <c r="F18" s="163" t="s">
        <v>49</v>
      </c>
      <c r="G18" s="130"/>
      <c r="H18" s="128"/>
      <c r="I18" s="125" t="s">
        <v>308</v>
      </c>
      <c r="J18" s="304">
        <f>Rs2_ideal*1000</f>
        <v>11.96109829359083</v>
      </c>
      <c r="K18" s="163" t="s">
        <v>49</v>
      </c>
      <c r="L18" s="83"/>
      <c r="M18" s="83"/>
      <c r="N18" s="83"/>
      <c r="O18" s="83"/>
      <c r="P18" s="83"/>
      <c r="Q18" s="107"/>
      <c r="R18" s="500"/>
    </row>
    <row r="19" spans="1:18" ht="13.7" customHeight="1" x14ac:dyDescent="0.25">
      <c r="A19" s="258"/>
      <c r="B19" s="128"/>
      <c r="C19" s="128"/>
      <c r="D19" s="153" t="s">
        <v>307</v>
      </c>
      <c r="E19" s="129">
        <v>10</v>
      </c>
      <c r="F19" s="158" t="s">
        <v>49</v>
      </c>
      <c r="G19" s="130"/>
      <c r="H19" s="128"/>
      <c r="I19" s="153" t="s">
        <v>676</v>
      </c>
      <c r="J19" s="129">
        <v>10</v>
      </c>
      <c r="K19" s="158" t="s">
        <v>49</v>
      </c>
      <c r="L19" s="83"/>
      <c r="M19" s="83"/>
      <c r="N19" s="83"/>
      <c r="O19" s="83"/>
      <c r="P19" s="83"/>
      <c r="Q19" s="107"/>
      <c r="R19" s="500"/>
    </row>
    <row r="20" spans="1:18" ht="13.5" customHeight="1" x14ac:dyDescent="0.3">
      <c r="A20" s="258"/>
      <c r="B20" s="128"/>
      <c r="C20" s="128"/>
      <c r="D20" s="529" t="s">
        <v>693</v>
      </c>
      <c r="E20" s="555">
        <f>'Variable Management'!B95</f>
        <v>7.3</v>
      </c>
      <c r="F20" s="163" t="s">
        <v>1</v>
      </c>
      <c r="G20" s="130"/>
      <c r="H20" s="128"/>
      <c r="I20" s="529" t="s">
        <v>673</v>
      </c>
      <c r="J20" s="555">
        <f>'Variable Management'!D95</f>
        <v>7.3</v>
      </c>
      <c r="K20" s="163" t="s">
        <v>1</v>
      </c>
      <c r="L20" s="83"/>
      <c r="M20" s="83"/>
      <c r="N20" s="83"/>
      <c r="O20" s="83"/>
      <c r="P20" s="83"/>
      <c r="Q20" s="107"/>
      <c r="R20" s="500"/>
    </row>
    <row r="21" spans="1:18" ht="13.7" customHeight="1" x14ac:dyDescent="0.3">
      <c r="A21" s="258"/>
      <c r="B21" s="128"/>
      <c r="C21" s="128"/>
      <c r="D21" s="529" t="s">
        <v>668</v>
      </c>
      <c r="E21" s="530">
        <f>'Variable Management'!B105</f>
        <v>0.47535874175628268</v>
      </c>
      <c r="F21" s="163" t="s">
        <v>116</v>
      </c>
      <c r="G21" s="130"/>
      <c r="H21" s="128"/>
      <c r="I21" s="529" t="s">
        <v>674</v>
      </c>
      <c r="J21" s="530">
        <f>'Variable Management'!D105</f>
        <v>0.52563333333333329</v>
      </c>
      <c r="K21" s="163" t="s">
        <v>116</v>
      </c>
      <c r="L21" s="83"/>
      <c r="M21" s="83"/>
      <c r="N21" s="83"/>
      <c r="O21" s="83"/>
      <c r="P21" s="83"/>
      <c r="Q21" s="107"/>
      <c r="R21" s="500"/>
    </row>
    <row r="22" spans="1:18" ht="13.7" customHeight="1" x14ac:dyDescent="0.3">
      <c r="A22" s="258"/>
      <c r="B22" s="128"/>
      <c r="C22" s="113"/>
      <c r="D22" s="303" t="s">
        <v>285</v>
      </c>
      <c r="E22" s="260">
        <f>'Variable Management'!B97</f>
        <v>6.8905730802862974</v>
      </c>
      <c r="F22" s="261" t="s">
        <v>1</v>
      </c>
      <c r="G22" s="130"/>
      <c r="H22" s="128"/>
      <c r="I22" s="303" t="s">
        <v>285</v>
      </c>
      <c r="J22" s="260">
        <f>'Variable Management'!D97</f>
        <v>7.25</v>
      </c>
      <c r="K22" s="261" t="s">
        <v>1</v>
      </c>
      <c r="L22" s="83"/>
      <c r="M22" s="83"/>
      <c r="N22" s="83"/>
      <c r="O22" s="83"/>
      <c r="P22" s="83"/>
      <c r="Q22" s="107"/>
      <c r="R22" s="500"/>
    </row>
    <row r="23" spans="1:18" ht="13.7" customHeight="1" x14ac:dyDescent="0.3">
      <c r="A23" s="258"/>
      <c r="B23" s="128"/>
      <c r="C23" s="125" t="s">
        <v>517</v>
      </c>
      <c r="D23" s="303" t="s">
        <v>286</v>
      </c>
      <c r="E23" s="260">
        <f>'Variable Management'!B98</f>
        <v>6.884024842932206</v>
      </c>
      <c r="F23" s="261" t="s">
        <v>1</v>
      </c>
      <c r="G23" s="130"/>
      <c r="H23" s="125" t="s">
        <v>672</v>
      </c>
      <c r="I23" s="303" t="s">
        <v>286</v>
      </c>
      <c r="J23" s="260">
        <f>'Variable Management'!D98</f>
        <v>7.1968815230691714</v>
      </c>
      <c r="K23" s="261" t="s">
        <v>1</v>
      </c>
      <c r="L23" s="83"/>
      <c r="M23" s="83"/>
      <c r="N23" s="83"/>
      <c r="O23" s="83"/>
      <c r="P23" s="83"/>
      <c r="Q23" s="107"/>
      <c r="R23" s="500"/>
    </row>
    <row r="24" spans="1:18" ht="13.5" customHeight="1" thickBot="1" x14ac:dyDescent="0.35">
      <c r="A24" s="282"/>
      <c r="B24" s="176"/>
      <c r="C24" s="176"/>
      <c r="D24" s="574" t="s">
        <v>287</v>
      </c>
      <c r="E24" s="575">
        <f>'Variable Management'!B99</f>
        <v>6.858824812423661</v>
      </c>
      <c r="F24" s="284" t="s">
        <v>1</v>
      </c>
      <c r="G24" s="564"/>
      <c r="H24" s="176"/>
      <c r="I24" s="574" t="s">
        <v>287</v>
      </c>
      <c r="J24" s="575">
        <f>'Variable Management'!D99</f>
        <v>6.8000436224044671</v>
      </c>
      <c r="K24" s="284" t="s">
        <v>1</v>
      </c>
      <c r="L24" s="83"/>
      <c r="M24" s="83"/>
      <c r="N24" s="83"/>
      <c r="O24" s="83"/>
      <c r="P24" s="83"/>
      <c r="Q24" s="107"/>
      <c r="R24" s="500"/>
    </row>
    <row r="25" spans="1:18" ht="17.25" customHeight="1" x14ac:dyDescent="0.2">
      <c r="A25" s="609"/>
      <c r="B25" s="257"/>
      <c r="C25" s="259"/>
      <c r="D25" s="647"/>
      <c r="E25" s="650"/>
      <c r="F25" s="649"/>
      <c r="G25" s="130"/>
      <c r="H25" s="128"/>
      <c r="I25" s="83"/>
      <c r="J25" s="83"/>
      <c r="K25" s="83"/>
      <c r="L25" s="83"/>
      <c r="M25" s="83"/>
      <c r="N25" s="83"/>
      <c r="O25" s="83"/>
      <c r="P25" s="83"/>
      <c r="Q25" s="107"/>
      <c r="R25" s="500"/>
    </row>
    <row r="26" spans="1:18" ht="19.5" customHeight="1" thickBot="1" x14ac:dyDescent="0.35">
      <c r="A26" s="184" t="s">
        <v>819</v>
      </c>
      <c r="B26" s="132"/>
      <c r="C26" s="133"/>
      <c r="D26" s="133"/>
      <c r="E26" s="134"/>
      <c r="F26" s="133"/>
      <c r="G26" s="130"/>
      <c r="H26" s="128"/>
      <c r="I26" s="83"/>
      <c r="J26" s="83"/>
      <c r="K26" s="83"/>
      <c r="L26" s="83"/>
      <c r="M26" s="83"/>
      <c r="N26" s="83"/>
      <c r="O26" s="83"/>
      <c r="P26" s="83"/>
      <c r="Q26" s="107"/>
      <c r="R26" s="500"/>
    </row>
    <row r="27" spans="1:18" ht="13.5" customHeight="1" x14ac:dyDescent="0.2">
      <c r="A27" s="185"/>
      <c r="B27" s="154"/>
      <c r="C27" s="155"/>
      <c r="D27" s="155" t="s">
        <v>702</v>
      </c>
      <c r="E27" s="560">
        <f>Lopt*1000000</f>
        <v>0.9920634920634922</v>
      </c>
      <c r="F27" s="162" t="s">
        <v>217</v>
      </c>
      <c r="G27" s="563"/>
      <c r="H27" s="175"/>
      <c r="I27" s="155" t="s">
        <v>632</v>
      </c>
      <c r="J27" s="560">
        <f>Lopt2*1000000</f>
        <v>3.9682539682539688</v>
      </c>
      <c r="K27" s="162" t="s">
        <v>217</v>
      </c>
      <c r="L27" s="83"/>
      <c r="M27" s="83"/>
      <c r="N27" s="83"/>
      <c r="O27" s="83"/>
      <c r="P27" s="83"/>
      <c r="Q27" s="107"/>
      <c r="R27" s="500"/>
    </row>
    <row r="28" spans="1:18" ht="13.5" customHeight="1" x14ac:dyDescent="0.25">
      <c r="A28" s="127"/>
      <c r="B28" s="128"/>
      <c r="C28" s="125"/>
      <c r="D28" s="153" t="s">
        <v>634</v>
      </c>
      <c r="E28" s="129">
        <v>2.2000000000000002</v>
      </c>
      <c r="F28" s="158" t="s">
        <v>217</v>
      </c>
      <c r="G28" s="130"/>
      <c r="H28" s="125"/>
      <c r="I28" s="153" t="s">
        <v>633</v>
      </c>
      <c r="J28" s="129">
        <v>2.2000000000000002</v>
      </c>
      <c r="K28" s="158" t="s">
        <v>217</v>
      </c>
      <c r="L28" s="83"/>
      <c r="M28" s="83"/>
      <c r="N28" s="83"/>
      <c r="O28" s="83"/>
      <c r="P28" s="83"/>
      <c r="Q28" s="107"/>
      <c r="R28" s="500"/>
    </row>
    <row r="29" spans="1:18" ht="13.5" customHeight="1" x14ac:dyDescent="0.2">
      <c r="A29" s="127"/>
      <c r="B29" s="128"/>
      <c r="C29" s="125"/>
      <c r="D29" s="153" t="s">
        <v>635</v>
      </c>
      <c r="E29" s="129">
        <v>1.35</v>
      </c>
      <c r="F29" s="158" t="s">
        <v>49</v>
      </c>
      <c r="G29" s="130"/>
      <c r="H29" s="125"/>
      <c r="I29" s="153" t="s">
        <v>636</v>
      </c>
      <c r="J29" s="129">
        <v>1.35</v>
      </c>
      <c r="K29" s="158" t="s">
        <v>49</v>
      </c>
      <c r="L29" s="83"/>
      <c r="M29" s="83"/>
      <c r="N29" s="83"/>
      <c r="O29" s="83"/>
      <c r="P29" s="83"/>
      <c r="Q29" s="107"/>
      <c r="R29" s="500"/>
    </row>
    <row r="30" spans="1:18" ht="16.5" customHeight="1" thickBot="1" x14ac:dyDescent="0.25">
      <c r="A30" s="282"/>
      <c r="B30" s="283"/>
      <c r="C30" s="281"/>
      <c r="D30" s="281" t="s">
        <v>306</v>
      </c>
      <c r="E30" s="565">
        <f>'Variable Management'!B68*100</f>
        <v>16.639006282711744</v>
      </c>
      <c r="F30" s="284" t="s">
        <v>156</v>
      </c>
      <c r="G30" s="564"/>
      <c r="H30" s="176"/>
      <c r="I30" s="281" t="s">
        <v>675</v>
      </c>
      <c r="J30" s="565">
        <f>'Variable Management'!D68*100</f>
        <v>4.1247390772331389</v>
      </c>
      <c r="K30" s="284" t="s">
        <v>156</v>
      </c>
      <c r="L30" s="83"/>
      <c r="M30" s="83"/>
      <c r="N30" s="83"/>
      <c r="O30" s="83"/>
      <c r="P30" s="83"/>
      <c r="Q30" s="107"/>
      <c r="R30" s="500"/>
    </row>
    <row r="31" spans="1:18" ht="14.1" customHeight="1" x14ac:dyDescent="0.2">
      <c r="A31" s="127"/>
      <c r="B31" s="128"/>
      <c r="C31" s="135"/>
      <c r="D31" s="135"/>
      <c r="E31" s="135"/>
      <c r="F31" s="135"/>
      <c r="G31" s="128"/>
      <c r="H31" s="128"/>
      <c r="I31" s="83"/>
      <c r="J31" s="83"/>
      <c r="K31" s="83"/>
      <c r="L31" s="83"/>
      <c r="M31" s="83"/>
      <c r="N31" s="83"/>
      <c r="O31" s="83"/>
      <c r="P31" s="83"/>
      <c r="Q31" s="107"/>
      <c r="R31" s="500"/>
    </row>
    <row r="32" spans="1:18" ht="19.5" thickBot="1" x14ac:dyDescent="0.35">
      <c r="A32" s="184" t="s">
        <v>616</v>
      </c>
      <c r="B32" s="132"/>
      <c r="C32" s="133"/>
      <c r="D32" s="133"/>
      <c r="E32" s="134"/>
      <c r="F32" s="133"/>
      <c r="G32" s="128"/>
      <c r="H32" s="128"/>
      <c r="I32" s="83"/>
      <c r="J32" s="83"/>
      <c r="K32" s="83"/>
      <c r="L32" s="83"/>
      <c r="M32" s="83"/>
      <c r="N32" s="83"/>
      <c r="O32" s="83"/>
      <c r="P32" s="83"/>
      <c r="Q32" s="107"/>
      <c r="R32" s="500"/>
    </row>
    <row r="33" spans="1:18" ht="15.75" customHeight="1" x14ac:dyDescent="0.25">
      <c r="A33" s="173"/>
      <c r="B33" s="164"/>
      <c r="C33" s="155"/>
      <c r="D33" s="165" t="str">
        <f>IF(MODE=1, "Ch1 Output Voltage Ripple Spec", "Output Voltage Ripple Spec")</f>
        <v>Ch1 Output Voltage Ripple Spec</v>
      </c>
      <c r="E33" s="166">
        <v>50</v>
      </c>
      <c r="F33" s="157" t="s">
        <v>230</v>
      </c>
      <c r="G33" s="585"/>
      <c r="H33" s="175"/>
      <c r="I33" s="165" t="s">
        <v>696</v>
      </c>
      <c r="J33" s="166">
        <v>50</v>
      </c>
      <c r="K33" s="157" t="s">
        <v>230</v>
      </c>
      <c r="L33" s="83"/>
      <c r="M33" s="83"/>
      <c r="N33" s="83"/>
      <c r="O33" s="83"/>
      <c r="P33" s="83"/>
      <c r="Q33" s="107"/>
      <c r="R33" s="500"/>
    </row>
    <row r="34" spans="1:18" ht="14.1" customHeight="1" x14ac:dyDescent="0.2">
      <c r="A34" s="127"/>
      <c r="B34" s="128"/>
      <c r="C34" s="125"/>
      <c r="D34" s="125" t="str">
        <f>IF(MODE=1, "Ch1 Minimum Output Capacitance", "Minimum Output Capacitance")</f>
        <v>Ch1 Minimum Output Capacitance</v>
      </c>
      <c r="E34" s="527">
        <f>'Variable Management'!B121</f>
        <v>2.2000000000000002</v>
      </c>
      <c r="F34" s="163" t="s">
        <v>218</v>
      </c>
      <c r="G34" s="128"/>
      <c r="H34" s="128"/>
      <c r="I34" s="125" t="s">
        <v>697</v>
      </c>
      <c r="J34" s="527">
        <f>'Variable Management'!D121</f>
        <v>2.2000000000000002</v>
      </c>
      <c r="K34" s="163" t="s">
        <v>218</v>
      </c>
      <c r="L34" s="83"/>
      <c r="M34" s="83"/>
      <c r="N34" s="83"/>
      <c r="O34" s="83"/>
      <c r="P34" s="83"/>
      <c r="Q34" s="107"/>
      <c r="R34" s="500"/>
    </row>
    <row r="35" spans="1:18" ht="14.1" customHeight="1" x14ac:dyDescent="0.25">
      <c r="A35" s="127"/>
      <c r="B35" s="128"/>
      <c r="C35" s="125"/>
      <c r="D35" s="124" t="s">
        <v>848</v>
      </c>
      <c r="E35" s="131">
        <v>4.7</v>
      </c>
      <c r="F35" s="158" t="s">
        <v>218</v>
      </c>
      <c r="G35" s="130"/>
      <c r="H35" s="128"/>
      <c r="I35" s="124" t="s">
        <v>849</v>
      </c>
      <c r="J35" s="131">
        <v>4.7</v>
      </c>
      <c r="K35" s="158" t="s">
        <v>218</v>
      </c>
      <c r="L35" s="673" t="str">
        <f>CHOOSE(SCH_MODE, "", "** For Single-Output Operation in 2-Phase Mode, tie MODE to VDDA and use FB1 to set VOUT **", "** For Single-Output Operation in 3-Phase Mode, tie both MODE pins to VDDA. Use FB1 of master IC to set VOUT. Connect FB2 of master IC to AGND. Connect FB2 of slave IC to VDDA to configure it as a slave **", "** For Single-Output Operation in 4-Phase Mode, tie both MODE pins to VDDA. Use FB1 of master IC to set VOUT. Connect FB2 of master IC to AGND. Connect FB2 of slave IC to VDDA to configure it as a slave **")</f>
        <v/>
      </c>
      <c r="M35" s="674"/>
      <c r="N35" s="674"/>
      <c r="O35" s="674"/>
      <c r="P35" s="674"/>
      <c r="Q35" s="675"/>
      <c r="R35" s="500"/>
    </row>
    <row r="36" spans="1:18" ht="14.1" customHeight="1" x14ac:dyDescent="0.2">
      <c r="A36" s="127"/>
      <c r="B36" s="128"/>
      <c r="C36" s="125"/>
      <c r="D36" s="125" t="str">
        <f>IF(MODE=1, "Ch1 Maximum Permitted ESR", "Maximum Permitted ESR")</f>
        <v>Ch1 Maximum Permitted ESR</v>
      </c>
      <c r="E36" s="595">
        <f>'Variable Management'!B125</f>
        <v>58.750199865649705</v>
      </c>
      <c r="F36" s="163" t="s">
        <v>49</v>
      </c>
      <c r="G36" s="130"/>
      <c r="H36" s="128"/>
      <c r="I36" s="125" t="s">
        <v>695</v>
      </c>
      <c r="J36" s="595">
        <f>'Variable Management'!D125</f>
        <v>242.10856184773635</v>
      </c>
      <c r="K36" s="163" t="s">
        <v>49</v>
      </c>
      <c r="L36" s="673"/>
      <c r="M36" s="674"/>
      <c r="N36" s="674"/>
      <c r="O36" s="674"/>
      <c r="P36" s="674"/>
      <c r="Q36" s="675"/>
      <c r="R36" s="500"/>
    </row>
    <row r="37" spans="1:18" ht="14.1" customHeight="1" x14ac:dyDescent="0.2">
      <c r="A37" s="127"/>
      <c r="B37" s="128"/>
      <c r="C37" s="125"/>
      <c r="D37" s="124" t="str">
        <f>IF(MODE=1, "Ch1 Output Capacitor ESR", "Output Capacitor ESR")</f>
        <v>Ch1 Output Capacitor ESR</v>
      </c>
      <c r="E37" s="131">
        <v>2</v>
      </c>
      <c r="F37" s="158" t="s">
        <v>49</v>
      </c>
      <c r="G37" s="130"/>
      <c r="H37" s="128"/>
      <c r="I37" s="124" t="s">
        <v>694</v>
      </c>
      <c r="J37" s="131">
        <v>2</v>
      </c>
      <c r="K37" s="158" t="s">
        <v>49</v>
      </c>
      <c r="L37" s="644" t="str">
        <f>CHOOSE(SCH_MODE,  "", "** Tie VCCX to GND if not used **", "** Slave controller (CNTRL2) not shown **","** Slave controller (CNTRL2) not shown **")</f>
        <v/>
      </c>
      <c r="M37" s="133"/>
      <c r="N37" s="83"/>
      <c r="O37" s="83"/>
      <c r="P37" s="83"/>
      <c r="Q37" s="645" t="str">
        <f>IF(SCH_MODE=1,  "** Tie VCCX to GND if not used **", "")</f>
        <v>** Tie VCCX to GND if not used **</v>
      </c>
      <c r="R37" s="500"/>
    </row>
    <row r="38" spans="1:18" ht="14.1" customHeight="1" x14ac:dyDescent="0.3">
      <c r="A38" s="127"/>
      <c r="B38" s="128"/>
      <c r="C38" s="128"/>
      <c r="D38" s="125" t="s">
        <v>559</v>
      </c>
      <c r="E38" s="152">
        <f>'Variable Management'!B127*1000</f>
        <v>10.666924024810166</v>
      </c>
      <c r="F38" s="163" t="s">
        <v>233</v>
      </c>
      <c r="G38" s="130"/>
      <c r="H38" s="128"/>
      <c r="I38" s="125" t="s">
        <v>559</v>
      </c>
      <c r="J38" s="152">
        <f>'Variable Management'!D127*1000</f>
        <v>2.6442852182060035</v>
      </c>
      <c r="K38" s="163" t="s">
        <v>233</v>
      </c>
      <c r="L38" s="279" t="str">
        <f>IF(OR(SCH_MODE=3, SCH_MODE=4),"** Tie VCCX to GND if not used **", "")</f>
        <v/>
      </c>
      <c r="M38" s="113"/>
      <c r="N38" s="83"/>
      <c r="O38" s="83"/>
      <c r="P38" s="83"/>
      <c r="Q38" s="107"/>
      <c r="R38" s="500"/>
    </row>
    <row r="39" spans="1:18" ht="14.1" customHeight="1" thickBot="1" x14ac:dyDescent="0.25">
      <c r="A39" s="159"/>
      <c r="B39" s="160"/>
      <c r="C39" s="160"/>
      <c r="D39" s="126" t="s">
        <v>560</v>
      </c>
      <c r="E39" s="590">
        <f>'Variable Management'!B114</f>
        <v>0.25471261330698308</v>
      </c>
      <c r="F39" s="161" t="s">
        <v>145</v>
      </c>
      <c r="G39" s="586"/>
      <c r="H39" s="176"/>
      <c r="I39" s="126" t="s">
        <v>560</v>
      </c>
      <c r="J39" s="590">
        <f>'Variable Management'!D114</f>
        <v>0.2886499491878512</v>
      </c>
      <c r="K39" s="161" t="s">
        <v>145</v>
      </c>
      <c r="L39" s="113"/>
      <c r="M39" s="83"/>
      <c r="N39" s="83"/>
      <c r="O39" s="83"/>
      <c r="P39" s="83"/>
      <c r="Q39" s="607"/>
      <c r="R39" s="500"/>
    </row>
    <row r="40" spans="1:18" ht="13.5" customHeight="1" x14ac:dyDescent="0.2">
      <c r="A40" s="186"/>
      <c r="B40" s="135"/>
      <c r="C40" s="135"/>
      <c r="D40" s="135"/>
      <c r="E40" s="135"/>
      <c r="F40" s="135"/>
      <c r="G40" s="128"/>
      <c r="H40" s="128"/>
      <c r="I40" s="83"/>
      <c r="J40" s="83"/>
      <c r="K40" s="83"/>
      <c r="L40" s="83"/>
      <c r="M40" s="113"/>
      <c r="N40" s="113"/>
      <c r="O40" s="113"/>
      <c r="P40" s="113"/>
      <c r="Q40" s="107"/>
      <c r="R40" s="500"/>
    </row>
    <row r="41" spans="1:18" ht="19.5" thickBot="1" x14ac:dyDescent="0.35">
      <c r="A41" s="184" t="s">
        <v>617</v>
      </c>
      <c r="B41" s="132"/>
      <c r="C41" s="133"/>
      <c r="D41" s="133"/>
      <c r="E41" s="128"/>
      <c r="F41" s="128"/>
      <c r="G41" s="128"/>
      <c r="H41" s="128"/>
      <c r="I41" s="83"/>
      <c r="J41" s="83"/>
      <c r="K41" s="83"/>
      <c r="L41" s="109"/>
      <c r="M41" s="113"/>
      <c r="N41" s="113"/>
      <c r="O41" s="83"/>
      <c r="P41" s="83"/>
      <c r="Q41" s="107"/>
      <c r="R41" s="500"/>
    </row>
    <row r="42" spans="1:18" ht="14.1" customHeight="1" x14ac:dyDescent="0.25">
      <c r="A42" s="173"/>
      <c r="B42" s="164"/>
      <c r="C42" s="154"/>
      <c r="D42" s="156" t="s">
        <v>565</v>
      </c>
      <c r="E42" s="166">
        <v>250</v>
      </c>
      <c r="F42" s="157" t="s">
        <v>230</v>
      </c>
      <c r="G42" s="128"/>
      <c r="H42" s="128"/>
      <c r="I42" s="83"/>
      <c r="J42" s="110"/>
      <c r="K42" s="83"/>
      <c r="L42" s="83"/>
      <c r="M42" s="83"/>
      <c r="N42" s="83"/>
      <c r="O42" s="83"/>
      <c r="P42" s="83"/>
      <c r="Q42" s="107"/>
      <c r="R42" s="500"/>
    </row>
    <row r="43" spans="1:18" ht="14.1" customHeight="1" x14ac:dyDescent="0.2">
      <c r="A43" s="136"/>
      <c r="B43" s="133"/>
      <c r="C43" s="128"/>
      <c r="D43" s="125" t="s">
        <v>566</v>
      </c>
      <c r="E43" s="595">
        <f>'Variable Management'!B145</f>
        <v>10</v>
      </c>
      <c r="F43" s="163" t="s">
        <v>218</v>
      </c>
      <c r="G43" s="128"/>
      <c r="H43" s="128"/>
      <c r="I43" s="83"/>
      <c r="J43" s="110"/>
      <c r="K43" s="83"/>
      <c r="L43" s="83"/>
      <c r="M43" s="271"/>
      <c r="N43" s="299"/>
      <c r="O43" s="83"/>
      <c r="P43" s="83"/>
      <c r="Q43" s="107"/>
      <c r="R43" s="500"/>
    </row>
    <row r="44" spans="1:18" ht="14.1" customHeight="1" x14ac:dyDescent="0.25">
      <c r="A44" s="127"/>
      <c r="B44" s="128"/>
      <c r="C44" s="133"/>
      <c r="D44" s="153" t="s">
        <v>282</v>
      </c>
      <c r="E44" s="129">
        <v>50</v>
      </c>
      <c r="F44" s="158" t="s">
        <v>218</v>
      </c>
      <c r="G44" s="128"/>
      <c r="H44" s="128"/>
      <c r="I44" s="83"/>
      <c r="J44" s="110"/>
      <c r="K44" s="83"/>
      <c r="L44" s="83"/>
      <c r="M44" s="83"/>
      <c r="N44" s="83"/>
      <c r="O44" s="83"/>
      <c r="P44" s="83"/>
      <c r="Q44" s="107"/>
      <c r="R44" s="500"/>
    </row>
    <row r="45" spans="1:18" ht="14.1" customHeight="1" x14ac:dyDescent="0.2">
      <c r="A45" s="127"/>
      <c r="B45" s="128"/>
      <c r="C45" s="133"/>
      <c r="D45" s="125" t="s">
        <v>833</v>
      </c>
      <c r="E45" s="526">
        <f>'Variable Management'!B150</f>
        <v>43.758054076052048</v>
      </c>
      <c r="F45" s="163" t="s">
        <v>49</v>
      </c>
      <c r="G45" s="128"/>
      <c r="H45" s="128"/>
      <c r="I45" s="83"/>
      <c r="J45" s="111"/>
      <c r="K45" s="83"/>
      <c r="L45" s="83"/>
      <c r="M45" s="83"/>
      <c r="N45" s="83"/>
      <c r="O45" s="83"/>
      <c r="P45" s="83"/>
      <c r="Q45" s="107" t="s">
        <v>178</v>
      </c>
      <c r="R45" s="500"/>
    </row>
    <row r="46" spans="1:18" ht="14.1" customHeight="1" x14ac:dyDescent="0.2">
      <c r="A46" s="127"/>
      <c r="B46" s="128"/>
      <c r="C46" s="133"/>
      <c r="D46" s="153" t="s">
        <v>480</v>
      </c>
      <c r="E46" s="129">
        <v>1</v>
      </c>
      <c r="F46" s="158" t="s">
        <v>49</v>
      </c>
      <c r="G46" s="128"/>
      <c r="H46" s="128"/>
      <c r="I46" s="83"/>
      <c r="J46" s="111"/>
      <c r="K46" s="83"/>
      <c r="L46" s="83"/>
      <c r="M46" s="83"/>
      <c r="N46" s="83"/>
      <c r="O46" s="83"/>
      <c r="P46" s="83"/>
      <c r="Q46" s="107"/>
      <c r="R46" s="500"/>
    </row>
    <row r="47" spans="1:18" ht="14.1" customHeight="1" x14ac:dyDescent="0.3">
      <c r="A47" s="127"/>
      <c r="B47" s="128"/>
      <c r="C47" s="133"/>
      <c r="D47" s="259" t="s">
        <v>834</v>
      </c>
      <c r="E47" s="152">
        <f>'Variable Management'!B155*1000</f>
        <v>17.345937092338243</v>
      </c>
      <c r="F47" s="163" t="s">
        <v>233</v>
      </c>
      <c r="G47" s="128"/>
      <c r="H47" s="128"/>
      <c r="I47" s="83"/>
      <c r="J47" s="111"/>
      <c r="K47" s="83"/>
      <c r="L47" s="83"/>
      <c r="M47" s="83"/>
      <c r="N47" s="83"/>
      <c r="O47" s="83"/>
      <c r="P47" s="83"/>
      <c r="Q47" s="107"/>
      <c r="R47" s="500"/>
    </row>
    <row r="48" spans="1:18" ht="15.75" customHeight="1" thickBot="1" x14ac:dyDescent="0.25">
      <c r="A48" s="159"/>
      <c r="B48" s="160"/>
      <c r="C48" s="160"/>
      <c r="D48" s="265" t="s">
        <v>561</v>
      </c>
      <c r="E48" s="660" t="e">
        <f>'Variable Management'!B138</f>
        <v>#NUM!</v>
      </c>
      <c r="F48" s="266" t="s">
        <v>145</v>
      </c>
      <c r="G48" s="128"/>
      <c r="H48" s="128"/>
      <c r="I48" s="83"/>
      <c r="J48" s="83"/>
      <c r="K48" s="83"/>
      <c r="L48" s="83"/>
      <c r="M48" s="83"/>
      <c r="N48" s="83"/>
      <c r="O48" s="83"/>
      <c r="P48" s="83"/>
      <c r="Q48" s="107"/>
      <c r="R48" s="500"/>
    </row>
    <row r="49" spans="1:35" ht="14.1" customHeight="1" x14ac:dyDescent="0.2">
      <c r="A49" s="127"/>
      <c r="B49" s="128"/>
      <c r="C49" s="128"/>
      <c r="D49" s="125"/>
      <c r="E49" s="128"/>
      <c r="F49" s="128"/>
      <c r="G49" s="128"/>
      <c r="H49" s="128"/>
      <c r="I49" s="83"/>
      <c r="J49" s="83"/>
      <c r="K49" s="83"/>
      <c r="L49" s="83"/>
      <c r="M49" s="83"/>
      <c r="N49" s="83"/>
      <c r="O49" s="83"/>
      <c r="P49" s="83"/>
      <c r="Q49" s="107"/>
      <c r="R49" s="500"/>
    </row>
    <row r="50" spans="1:35" ht="19.5" thickBot="1" x14ac:dyDescent="0.35">
      <c r="A50" s="184" t="s">
        <v>692</v>
      </c>
      <c r="B50" s="132"/>
      <c r="C50" s="128"/>
      <c r="D50" s="125"/>
      <c r="E50" s="128"/>
      <c r="F50" s="128"/>
      <c r="G50" s="128"/>
      <c r="H50" s="137"/>
      <c r="I50" s="113"/>
      <c r="J50" s="113"/>
      <c r="K50" s="113"/>
      <c r="L50" s="113"/>
      <c r="M50" s="113"/>
      <c r="N50" s="83"/>
      <c r="O50" s="83"/>
      <c r="P50" s="83"/>
      <c r="Q50" s="107"/>
      <c r="R50" s="500"/>
    </row>
    <row r="51" spans="1:35" ht="13.7" customHeight="1" x14ac:dyDescent="0.2">
      <c r="A51" s="267"/>
      <c r="B51" s="268"/>
      <c r="C51" s="268"/>
      <c r="D51" s="275" t="s">
        <v>284</v>
      </c>
      <c r="E51" s="276">
        <v>3</v>
      </c>
      <c r="F51" s="270" t="s">
        <v>149</v>
      </c>
      <c r="G51" s="128"/>
      <c r="H51" s="135"/>
      <c r="I51" s="113"/>
      <c r="J51" s="113"/>
      <c r="K51" s="113"/>
      <c r="L51" s="113"/>
      <c r="M51" s="113"/>
      <c r="N51" s="83"/>
      <c r="O51" s="83"/>
      <c r="P51" s="83"/>
      <c r="Q51" s="107"/>
      <c r="R51" s="500"/>
    </row>
    <row r="52" spans="1:35" ht="13.7" customHeight="1" x14ac:dyDescent="0.2">
      <c r="A52" s="258"/>
      <c r="B52" s="257"/>
      <c r="C52" s="257"/>
      <c r="D52" s="259" t="s">
        <v>283</v>
      </c>
      <c r="E52" s="277">
        <f>IF(Tss&gt;0.5/1000,Css_u*1000000000,"N/A")</f>
        <v>100</v>
      </c>
      <c r="F52" s="261" t="s">
        <v>141</v>
      </c>
      <c r="G52" s="128"/>
      <c r="H52" s="135"/>
      <c r="I52" s="113"/>
      <c r="J52" s="113"/>
      <c r="K52" s="113"/>
      <c r="L52" s="113"/>
      <c r="M52" s="113"/>
      <c r="N52" s="83"/>
      <c r="O52" s="83"/>
      <c r="P52" s="83"/>
      <c r="Q52" s="107"/>
      <c r="R52" s="500"/>
    </row>
    <row r="53" spans="1:35" ht="13.7" customHeight="1" x14ac:dyDescent="0.2">
      <c r="A53" s="258"/>
      <c r="B53" s="257"/>
      <c r="C53" s="279"/>
      <c r="D53" s="278" t="s">
        <v>698</v>
      </c>
      <c r="E53" s="272">
        <v>30</v>
      </c>
      <c r="F53" s="273" t="s">
        <v>149</v>
      </c>
      <c r="G53" s="128"/>
      <c r="H53" s="135"/>
      <c r="I53" s="113"/>
      <c r="J53" s="113"/>
      <c r="K53" s="113"/>
      <c r="L53" s="113"/>
      <c r="M53" s="113"/>
      <c r="N53" s="83"/>
      <c r="O53" s="83"/>
      <c r="P53" s="83"/>
      <c r="Q53" s="107"/>
      <c r="R53" s="500"/>
    </row>
    <row r="54" spans="1:35" ht="13.7" customHeight="1" x14ac:dyDescent="0.2">
      <c r="A54" s="258"/>
      <c r="B54" s="257"/>
      <c r="C54" s="257"/>
      <c r="D54" s="259" t="s">
        <v>684</v>
      </c>
      <c r="E54" s="277">
        <f>IF(Tres&gt;1/1000,Cres_u*1000000000,"N/A")</f>
        <v>470</v>
      </c>
      <c r="F54" s="261" t="s">
        <v>141</v>
      </c>
      <c r="G54" s="128"/>
      <c r="H54" s="135"/>
      <c r="I54" s="113"/>
      <c r="J54" s="113"/>
      <c r="K54" s="113"/>
      <c r="L54" s="113"/>
      <c r="M54" s="113"/>
      <c r="N54" s="83"/>
      <c r="O54" s="83"/>
      <c r="P54" s="83"/>
      <c r="Q54" s="107"/>
      <c r="R54" s="500"/>
    </row>
    <row r="55" spans="1:35" ht="15.75" customHeight="1" x14ac:dyDescent="0.2">
      <c r="A55" s="258"/>
      <c r="B55" s="257"/>
      <c r="C55" s="257"/>
      <c r="D55" s="278" t="s">
        <v>613</v>
      </c>
      <c r="E55" s="554">
        <v>9</v>
      </c>
      <c r="F55" s="273" t="str">
        <f>IF(DITHER=1, "kHz", "")</f>
        <v/>
      </c>
      <c r="G55" s="128"/>
      <c r="H55" s="128"/>
      <c r="I55" s="83"/>
      <c r="J55" s="81"/>
      <c r="K55" s="123"/>
      <c r="L55" s="83"/>
      <c r="M55" s="113"/>
      <c r="N55" s="83"/>
      <c r="O55" s="83"/>
      <c r="P55" s="83"/>
      <c r="Q55" s="107"/>
      <c r="R55" s="500"/>
    </row>
    <row r="56" spans="1:35" ht="13.7" customHeight="1" x14ac:dyDescent="0.2">
      <c r="A56" s="258"/>
      <c r="B56" s="257"/>
      <c r="C56" s="257"/>
      <c r="D56" s="259" t="str">
        <f>IF(DITHER=1, "DITH Capacitance, Cd", "*Tie DITH to VDDA")</f>
        <v>*Tie DITH to VDDA</v>
      </c>
      <c r="E56" s="259" t="str">
        <f>IF(DITHER=1,IF(E55&gt;0,'Standard Value Calculator'!O22*1000000000,"N/A"),"")</f>
        <v/>
      </c>
      <c r="F56" s="261" t="str">
        <f>IF(DITHER=1, "nF", "")</f>
        <v/>
      </c>
      <c r="G56" s="128"/>
      <c r="H56" s="128"/>
      <c r="I56" s="83"/>
      <c r="J56" s="81"/>
      <c r="K56" s="123"/>
      <c r="L56" s="83"/>
      <c r="M56" s="113"/>
      <c r="N56" s="83"/>
      <c r="O56" s="83"/>
      <c r="P56" s="83"/>
      <c r="Q56" s="107"/>
      <c r="R56" s="500"/>
    </row>
    <row r="57" spans="1:35" ht="15.75" customHeight="1" x14ac:dyDescent="0.2">
      <c r="A57" s="258"/>
      <c r="B57" s="257"/>
      <c r="C57" s="279"/>
      <c r="D57" s="588" t="str">
        <f>IF(DEMB=1, "* Tie DEMB to VDDA", "*Tie DEMB to AGND")</f>
        <v>*Tie DEMB to AGND</v>
      </c>
      <c r="E57" s="647"/>
      <c r="F57" s="261"/>
      <c r="G57" s="128"/>
      <c r="H57" s="128"/>
      <c r="I57" s="83"/>
      <c r="J57" s="81"/>
      <c r="K57" s="123"/>
      <c r="L57" s="83"/>
      <c r="M57" s="113"/>
      <c r="N57" s="83"/>
      <c r="O57" s="83"/>
      <c r="P57" s="83"/>
      <c r="Q57" s="107"/>
      <c r="R57" s="500"/>
    </row>
    <row r="58" spans="1:35" ht="15" customHeight="1" thickBot="1" x14ac:dyDescent="0.25">
      <c r="A58" s="282"/>
      <c r="B58" s="283"/>
      <c r="C58" s="283"/>
      <c r="D58" s="593" t="str">
        <f>IF(MODE=2, "* Tie MODE to VDDA", "* Tie MODE to AGND")</f>
        <v>* Tie MODE to AGND</v>
      </c>
      <c r="E58" s="587"/>
      <c r="F58" s="284"/>
      <c r="G58" s="128"/>
      <c r="H58" s="128"/>
      <c r="I58" s="83"/>
      <c r="J58" s="81"/>
      <c r="K58" s="123"/>
      <c r="L58" s="83"/>
      <c r="M58" s="113"/>
      <c r="N58" s="83"/>
      <c r="O58" s="83"/>
      <c r="P58" s="83"/>
      <c r="Q58" s="107"/>
      <c r="R58" s="500"/>
    </row>
    <row r="59" spans="1:35" ht="14.1" customHeight="1" x14ac:dyDescent="0.2">
      <c r="A59" s="127"/>
      <c r="B59" s="128"/>
      <c r="C59" s="128"/>
      <c r="D59" s="125"/>
      <c r="E59" s="138"/>
      <c r="F59" s="128"/>
      <c r="G59" s="128"/>
      <c r="H59" s="128"/>
      <c r="I59" s="83"/>
      <c r="J59" s="81"/>
      <c r="K59" s="123"/>
      <c r="L59" s="83"/>
      <c r="M59" s="113"/>
      <c r="N59" s="83"/>
      <c r="O59" s="83"/>
      <c r="P59" s="83"/>
      <c r="Q59" s="107"/>
      <c r="R59" s="500"/>
    </row>
    <row r="60" spans="1:35" ht="19.5" customHeight="1" thickBot="1" x14ac:dyDescent="0.25">
      <c r="A60" s="184" t="s">
        <v>235</v>
      </c>
      <c r="B60" s="140"/>
      <c r="C60" s="133"/>
      <c r="D60" s="556"/>
      <c r="E60" s="134"/>
      <c r="F60" s="133"/>
      <c r="G60" s="128"/>
      <c r="H60" s="128"/>
      <c r="I60" s="83"/>
      <c r="J60" s="83"/>
      <c r="K60" s="83"/>
      <c r="L60" s="83"/>
      <c r="M60" s="83"/>
      <c r="N60" s="83"/>
      <c r="O60" s="83"/>
      <c r="P60" s="83"/>
      <c r="Q60" s="107"/>
      <c r="R60" s="499"/>
      <c r="S60" s="54"/>
      <c r="T60" s="54"/>
      <c r="W60" s="54"/>
      <c r="X60" s="54"/>
      <c r="Y60" s="54"/>
      <c r="AB60" s="54"/>
      <c r="AC60" s="54"/>
      <c r="AD60" s="54"/>
      <c r="AG60" s="54"/>
      <c r="AH60" s="54"/>
      <c r="AI60" s="54"/>
    </row>
    <row r="61" spans="1:35" ht="15" customHeight="1" x14ac:dyDescent="0.2">
      <c r="A61" s="267"/>
      <c r="B61" s="268"/>
      <c r="C61" s="269"/>
      <c r="D61" s="269" t="str">
        <f>IF(MODE=1, "Ch1 Load Pole Frequency", "Load Pole Frequency")</f>
        <v>Ch1 Load Pole Frequency</v>
      </c>
      <c r="E61" s="368">
        <f>Fp_dominant</f>
        <v>39664.985700375459</v>
      </c>
      <c r="F61" s="285" t="s">
        <v>9</v>
      </c>
      <c r="G61" s="585"/>
      <c r="H61" s="175"/>
      <c r="I61" s="269" t="s">
        <v>704</v>
      </c>
      <c r="J61" s="368">
        <f>Fp_dominant_Ch2</f>
        <v>9020.2484763247376</v>
      </c>
      <c r="K61" s="285" t="s">
        <v>9</v>
      </c>
      <c r="L61" s="83"/>
      <c r="M61" s="83"/>
      <c r="N61" s="83"/>
      <c r="O61" s="83"/>
      <c r="P61" s="83"/>
      <c r="Q61" s="107"/>
      <c r="R61" s="499"/>
      <c r="S61" s="54"/>
      <c r="T61" s="54"/>
      <c r="W61" s="54"/>
      <c r="X61" s="54"/>
      <c r="Y61" s="54"/>
      <c r="AB61" s="54"/>
      <c r="AC61" s="54"/>
      <c r="AD61" s="54"/>
      <c r="AG61" s="54"/>
      <c r="AH61" s="54"/>
      <c r="AI61" s="54"/>
    </row>
    <row r="62" spans="1:35" ht="15" customHeight="1" x14ac:dyDescent="0.2">
      <c r="A62" s="258"/>
      <c r="B62" s="257"/>
      <c r="C62" s="259"/>
      <c r="D62" s="259" t="str">
        <f>IF(MODE=1, "Ch1 ESR Zero Frequency", "ESR Zero Frequency")</f>
        <v>Ch1 ESR Zero Frequency</v>
      </c>
      <c r="E62" s="262">
        <f>Fesr/1000</f>
        <v>16931.376944016636</v>
      </c>
      <c r="F62" s="261" t="s">
        <v>2</v>
      </c>
      <c r="G62" s="128"/>
      <c r="H62" s="128"/>
      <c r="I62" s="259" t="s">
        <v>707</v>
      </c>
      <c r="J62" s="262">
        <f>Fesr_Ch2/1000</f>
        <v>16931.376944016636</v>
      </c>
      <c r="K62" s="261" t="s">
        <v>2</v>
      </c>
      <c r="L62" s="83"/>
      <c r="M62" s="83"/>
      <c r="N62" s="83"/>
      <c r="O62" s="83"/>
      <c r="P62" s="83"/>
      <c r="Q62" s="107"/>
      <c r="R62" s="499"/>
      <c r="S62" s="54"/>
      <c r="T62" s="54"/>
      <c r="W62" s="54"/>
      <c r="X62" s="54"/>
      <c r="Y62" s="54"/>
      <c r="AB62" s="54"/>
      <c r="AC62" s="54"/>
      <c r="AD62" s="54"/>
      <c r="AG62" s="54"/>
      <c r="AH62" s="54"/>
      <c r="AI62" s="54"/>
    </row>
    <row r="63" spans="1:35" ht="15" customHeight="1" x14ac:dyDescent="0.2">
      <c r="A63" s="258"/>
      <c r="B63" s="257"/>
      <c r="C63" s="259"/>
      <c r="D63" s="280" t="str">
        <f>IF(MODE=1, "Ch1 Desired Crossover Frequency", "Desired Crossover Frequency")</f>
        <v>Ch1 Desired Crossover Frequency</v>
      </c>
      <c r="E63" s="286">
        <v>60</v>
      </c>
      <c r="F63" s="287" t="str">
        <f>"     kHz "</f>
        <v xml:space="preserve">     kHz </v>
      </c>
      <c r="G63" s="128"/>
      <c r="H63" s="128"/>
      <c r="I63" s="280" t="s">
        <v>706</v>
      </c>
      <c r="J63" s="286">
        <v>60</v>
      </c>
      <c r="K63" s="287" t="str">
        <f>"     kHz "</f>
        <v xml:space="preserve">     kHz </v>
      </c>
      <c r="L63" s="83"/>
      <c r="M63" s="83"/>
      <c r="N63" s="83"/>
      <c r="O63" s="83"/>
      <c r="P63" s="83"/>
      <c r="Q63" s="107"/>
      <c r="R63" s="499"/>
      <c r="S63" s="54"/>
      <c r="T63" s="54"/>
      <c r="W63" s="54"/>
      <c r="X63" s="54"/>
      <c r="Y63" s="54"/>
      <c r="AB63" s="54"/>
      <c r="AC63" s="54"/>
      <c r="AD63" s="54"/>
      <c r="AG63" s="54"/>
      <c r="AH63" s="54"/>
      <c r="AI63" s="54"/>
    </row>
    <row r="64" spans="1:35" ht="15" customHeight="1" x14ac:dyDescent="0.2">
      <c r="A64" s="258"/>
      <c r="B64" s="257"/>
      <c r="C64" s="259"/>
      <c r="D64" s="259" t="str">
        <f>IF(MODE=1, "Ch1 Error Amp Pole Frequency", "Error Amp Pole Frequency")</f>
        <v>Ch1 Error Amp Pole Frequency</v>
      </c>
      <c r="E64" s="260">
        <f>Fp1_u</f>
        <v>0.13815215952049953</v>
      </c>
      <c r="F64" s="261" t="s">
        <v>9</v>
      </c>
      <c r="G64" s="128"/>
      <c r="H64" s="128"/>
      <c r="I64" s="259" t="s">
        <v>705</v>
      </c>
      <c r="J64" s="260">
        <f>Fp1_u_Ch2</f>
        <v>0.52905675708072641</v>
      </c>
      <c r="K64" s="261" t="s">
        <v>9</v>
      </c>
      <c r="L64" s="83"/>
      <c r="M64" s="83"/>
      <c r="N64" s="83"/>
      <c r="O64" s="83"/>
      <c r="P64" s="83"/>
      <c r="Q64" s="107"/>
      <c r="R64" s="499"/>
      <c r="S64" s="54"/>
      <c r="T64" s="54"/>
      <c r="W64" s="54"/>
      <c r="X64" s="54"/>
      <c r="Y64" s="54"/>
      <c r="AB64" s="54"/>
      <c r="AC64" s="54"/>
      <c r="AD64" s="54"/>
      <c r="AG64" s="54"/>
      <c r="AH64" s="54"/>
      <c r="AI64" s="54"/>
    </row>
    <row r="65" spans="1:35" ht="15" customHeight="1" x14ac:dyDescent="0.2">
      <c r="A65" s="258"/>
      <c r="B65" s="257"/>
      <c r="C65" s="259"/>
      <c r="D65" s="280" t="str">
        <f>CHOOSE(Ch1_VOUT, "* Tie FB1 to VDDA for Ch1 3.3V Out", "* Tie FB1 to AGND for Ch1 5V Out", IF(MODE=1, "Ch1 Upper Feedback Resistor", "Upper Feedback Resistor"))</f>
        <v>* Tie FB1 to AGND for Ch1 5V Out</v>
      </c>
      <c r="E65" s="288">
        <v>10</v>
      </c>
      <c r="F65" s="273" t="s">
        <v>50</v>
      </c>
      <c r="G65" s="128"/>
      <c r="H65" s="128"/>
      <c r="I65" s="280" t="str">
        <f>CHOOSE(Ch2_VOUT, "* Tie FB2 to VDDA for Ch2 3.3V Out", "* Tie FB2 to AGND for Ch2 5V Out", "Ch2 Upper Feedback Resistor")</f>
        <v>Ch2 Upper Feedback Resistor</v>
      </c>
      <c r="J65" s="288">
        <v>10</v>
      </c>
      <c r="K65" s="273" t="s">
        <v>50</v>
      </c>
      <c r="L65" s="83"/>
      <c r="M65" s="83"/>
      <c r="N65" s="83"/>
      <c r="O65" s="83"/>
      <c r="P65" s="83"/>
      <c r="Q65" s="107"/>
      <c r="R65" s="499"/>
      <c r="S65" s="54"/>
      <c r="T65" s="54"/>
      <c r="W65" s="54"/>
      <c r="X65" s="54"/>
      <c r="Y65" s="54"/>
      <c r="AB65" s="54"/>
      <c r="AC65" s="54"/>
      <c r="AD65" s="54"/>
      <c r="AG65" s="54"/>
      <c r="AH65" s="54"/>
      <c r="AI65" s="54"/>
    </row>
    <row r="66" spans="1:35" ht="17.25" customHeight="1" thickBot="1" x14ac:dyDescent="0.25">
      <c r="A66" s="263"/>
      <c r="B66" s="264"/>
      <c r="C66" s="265"/>
      <c r="D66" s="281" t="str">
        <f>IF(Ch1_VOUT=3, IF(MODE=1,"Ch1 Lower Feedback Resistor","Lower Feedback Resistor"),"")</f>
        <v/>
      </c>
      <c r="E66" s="265">
        <f>IF(Vout=Vref,"OPEN",Rfb2_u/1000)</f>
        <v>1.37</v>
      </c>
      <c r="F66" s="266" t="str">
        <f>IF(Vout=Vref,"","kΩ")</f>
        <v>kΩ</v>
      </c>
      <c r="G66" s="195"/>
      <c r="H66" s="176"/>
      <c r="I66" s="281" t="str">
        <f>IF(Ch2_VOUT=3, "Ch2 Lower Feedback Resistor","")</f>
        <v>Ch2 Lower Feedback Resistor</v>
      </c>
      <c r="J66" s="265">
        <f>IF(Vout2=Vref,"OPEN",Rfb4_u/1000)</f>
        <v>0.309</v>
      </c>
      <c r="K66" s="266" t="str">
        <f>IF(Vout=Vref,"","kΩ")</f>
        <v>kΩ</v>
      </c>
      <c r="L66" s="83"/>
      <c r="M66" s="83"/>
      <c r="N66" s="83"/>
      <c r="O66" s="83"/>
      <c r="P66" s="83"/>
      <c r="Q66" s="107"/>
      <c r="R66" s="499"/>
      <c r="S66" s="54"/>
      <c r="T66" s="54"/>
      <c r="W66" s="54"/>
      <c r="X66" s="54"/>
      <c r="Y66" s="54"/>
      <c r="AB66" s="54"/>
      <c r="AC66" s="54"/>
      <c r="AD66" s="54"/>
      <c r="AG66" s="54"/>
      <c r="AH66" s="54"/>
      <c r="AI66" s="54"/>
    </row>
    <row r="67" spans="1:35" ht="13.5" customHeight="1" x14ac:dyDescent="0.2">
      <c r="A67" s="187"/>
      <c r="B67" s="549"/>
      <c r="C67" s="146"/>
      <c r="D67" s="135"/>
      <c r="E67" s="135"/>
      <c r="F67" s="135"/>
      <c r="G67" s="145"/>
      <c r="H67" s="144"/>
      <c r="I67" s="83"/>
      <c r="J67" s="83"/>
      <c r="K67" s="83"/>
      <c r="L67" s="83"/>
      <c r="M67" s="83"/>
      <c r="N67" s="83"/>
      <c r="O67" s="83"/>
      <c r="P67" s="83"/>
      <c r="Q67" s="107"/>
      <c r="R67" s="499"/>
      <c r="S67" s="54"/>
      <c r="T67" s="54"/>
      <c r="W67" s="54"/>
      <c r="X67" s="54"/>
      <c r="Y67" s="54"/>
      <c r="AB67" s="54"/>
      <c r="AC67" s="54"/>
      <c r="AD67" s="54"/>
      <c r="AG67" s="54"/>
      <c r="AH67" s="54"/>
      <c r="AI67" s="54"/>
    </row>
    <row r="68" spans="1:35" ht="15.75" customHeight="1" x14ac:dyDescent="0.25">
      <c r="A68" s="475" t="s">
        <v>228</v>
      </c>
      <c r="B68" s="147"/>
      <c r="C68" s="125"/>
      <c r="D68" s="141"/>
      <c r="E68" s="142"/>
      <c r="F68" s="143"/>
      <c r="G68" s="148"/>
      <c r="H68" s="128"/>
      <c r="I68" s="83"/>
      <c r="J68" s="83"/>
      <c r="K68" s="83"/>
      <c r="L68" s="83"/>
      <c r="M68" s="83"/>
      <c r="N68" s="83"/>
      <c r="O68" s="83"/>
      <c r="P68" s="83"/>
      <c r="Q68" s="107"/>
      <c r="R68" s="499"/>
      <c r="S68" s="190"/>
      <c r="T68" s="190"/>
      <c r="U68" s="191"/>
      <c r="V68" s="191"/>
      <c r="W68" s="190"/>
      <c r="X68" s="190"/>
      <c r="Y68" s="190"/>
      <c r="Z68" s="191"/>
      <c r="AA68" s="191"/>
      <c r="AB68" s="190"/>
      <c r="AC68" s="190"/>
      <c r="AD68" s="190"/>
      <c r="AE68" s="191"/>
      <c r="AF68" s="191"/>
      <c r="AG68" s="54"/>
      <c r="AH68" s="54"/>
      <c r="AI68" s="54"/>
    </row>
    <row r="69" spans="1:35" s="203" customFormat="1" ht="13.5" customHeight="1" thickBot="1" x14ac:dyDescent="0.25">
      <c r="A69" s="208"/>
      <c r="B69" s="209" t="s">
        <v>236</v>
      </c>
      <c r="C69" s="210" t="s">
        <v>227</v>
      </c>
      <c r="D69" s="612" t="str">
        <f t="shared" ref="D69" si="0">C69</f>
        <v>Std Values</v>
      </c>
      <c r="E69" s="556"/>
      <c r="F69" s="667" t="s">
        <v>229</v>
      </c>
      <c r="G69" s="667"/>
      <c r="H69" s="667"/>
      <c r="I69" s="198"/>
      <c r="J69" s="198"/>
      <c r="K69" s="198"/>
      <c r="L69" s="198"/>
      <c r="M69" s="198"/>
      <c r="N69" s="198"/>
      <c r="O69" s="198"/>
      <c r="P69" s="198"/>
      <c r="Q69" s="199"/>
      <c r="R69" s="501"/>
      <c r="S69" s="200"/>
      <c r="T69" s="200"/>
      <c r="U69" s="201"/>
      <c r="V69" s="201"/>
      <c r="W69" s="200"/>
      <c r="X69" s="200"/>
      <c r="Y69" s="200"/>
      <c r="Z69" s="201"/>
      <c r="AA69" s="201"/>
      <c r="AB69" s="200"/>
      <c r="AC69" s="200"/>
      <c r="AD69" s="200"/>
      <c r="AE69" s="201"/>
      <c r="AF69" s="201"/>
      <c r="AG69" s="202"/>
      <c r="AH69" s="202"/>
      <c r="AI69" s="202"/>
    </row>
    <row r="70" spans="1:35" ht="15.75" x14ac:dyDescent="0.3">
      <c r="A70" s="171" t="s">
        <v>708</v>
      </c>
      <c r="B70" s="182">
        <f>Rcea1/1000</f>
        <v>1.4765485455</v>
      </c>
      <c r="C70" s="167">
        <f>'Standard Value Calculator'!O30</f>
        <v>1.47</v>
      </c>
      <c r="D70" s="168">
        <f t="shared" ref="D70:D75" si="1">C70</f>
        <v>1.47</v>
      </c>
      <c r="E70" s="169" t="s">
        <v>50</v>
      </c>
      <c r="F70" s="519">
        <f>Fp1_u</f>
        <v>0.13815215952049953</v>
      </c>
      <c r="G70" s="431" t="s">
        <v>720</v>
      </c>
      <c r="H70" s="135"/>
      <c r="I70" s="125"/>
      <c r="J70" s="494"/>
      <c r="K70" s="128"/>
      <c r="L70" s="83"/>
      <c r="M70" s="83"/>
      <c r="N70" s="83"/>
      <c r="O70" s="83"/>
      <c r="P70" s="83"/>
      <c r="Q70" s="107"/>
      <c r="R70" s="499"/>
      <c r="S70" s="190"/>
      <c r="T70" s="190"/>
      <c r="U70" s="191"/>
      <c r="V70" s="191"/>
      <c r="W70" s="190"/>
      <c r="X70" s="190"/>
      <c r="Y70" s="190"/>
      <c r="Z70" s="191"/>
      <c r="AA70" s="191"/>
      <c r="AB70" s="190"/>
      <c r="AC70" s="190"/>
      <c r="AD70" s="190"/>
      <c r="AE70" s="191"/>
      <c r="AF70" s="191"/>
      <c r="AG70" s="54"/>
      <c r="AH70" s="54"/>
      <c r="AI70" s="54"/>
    </row>
    <row r="71" spans="1:35" ht="15.75" x14ac:dyDescent="0.3">
      <c r="A71" s="172" t="s">
        <v>231</v>
      </c>
      <c r="B71" s="484">
        <f>Cc1ea*1000000000</f>
        <v>17.964748913810364</v>
      </c>
      <c r="C71" s="144">
        <f>'Standard Value Calculator'!O31</f>
        <v>18</v>
      </c>
      <c r="D71" s="149">
        <f t="shared" si="1"/>
        <v>18</v>
      </c>
      <c r="E71" s="170" t="s">
        <v>141</v>
      </c>
      <c r="F71" s="432">
        <f>Fz1_u/1000</f>
        <v>6.014926049650656</v>
      </c>
      <c r="G71" s="433" t="s">
        <v>511</v>
      </c>
      <c r="H71" s="135"/>
      <c r="I71" s="125"/>
      <c r="J71" s="494"/>
      <c r="K71" s="128"/>
      <c r="L71" s="83"/>
      <c r="M71" s="83"/>
      <c r="N71" s="83"/>
      <c r="O71" s="83"/>
      <c r="P71" s="83"/>
      <c r="Q71" s="107"/>
      <c r="R71" s="499"/>
      <c r="S71" s="190"/>
      <c r="T71" s="190"/>
      <c r="U71" s="191"/>
      <c r="V71" s="191"/>
      <c r="W71" s="190"/>
      <c r="X71" s="190"/>
      <c r="Y71" s="190"/>
      <c r="Z71" s="191"/>
      <c r="AA71" s="191"/>
      <c r="AB71" s="190"/>
      <c r="AC71" s="190"/>
      <c r="AD71" s="190"/>
      <c r="AE71" s="191"/>
      <c r="AF71" s="191"/>
      <c r="AG71" s="54"/>
      <c r="AH71" s="54"/>
      <c r="AI71" s="54"/>
    </row>
    <row r="72" spans="1:35" ht="16.5" thickBot="1" x14ac:dyDescent="0.35">
      <c r="A72" s="369" t="s">
        <v>232</v>
      </c>
      <c r="B72" s="183">
        <f>IF(Cc2ea&lt;0, "N/A", Cc2ea*1000000000000)</f>
        <v>96.2895103479661</v>
      </c>
      <c r="C72" s="179">
        <f>'Standard Value Calculator'!O32</f>
        <v>100</v>
      </c>
      <c r="D72" s="180">
        <f t="shared" si="1"/>
        <v>100</v>
      </c>
      <c r="E72" s="181" t="s">
        <v>30</v>
      </c>
      <c r="F72" s="436">
        <f>Fp2_u/1000</f>
        <v>1017.8860502993048</v>
      </c>
      <c r="G72" s="434" t="s">
        <v>512</v>
      </c>
      <c r="H72" s="135"/>
      <c r="I72" s="83"/>
      <c r="J72" s="83"/>
      <c r="K72" s="83"/>
      <c r="L72" s="83"/>
      <c r="M72" s="83"/>
      <c r="N72" s="83"/>
      <c r="O72" s="83"/>
      <c r="P72" s="83"/>
      <c r="Q72" s="107"/>
      <c r="R72" s="499"/>
      <c r="S72" s="190"/>
      <c r="T72" s="190"/>
      <c r="U72" s="191"/>
      <c r="V72" s="191"/>
      <c r="W72" s="190"/>
      <c r="X72" s="190"/>
      <c r="Y72" s="190"/>
      <c r="Z72" s="191"/>
      <c r="AA72" s="191"/>
      <c r="AB72" s="190"/>
      <c r="AC72" s="190"/>
      <c r="AD72" s="190"/>
      <c r="AE72" s="191"/>
      <c r="AF72" s="191"/>
      <c r="AG72" s="54"/>
      <c r="AH72" s="54"/>
      <c r="AI72" s="54"/>
    </row>
    <row r="73" spans="1:35" ht="15.75" x14ac:dyDescent="0.3">
      <c r="A73" s="171" t="s">
        <v>709</v>
      </c>
      <c r="B73" s="182">
        <f>Rcea2/1000</f>
        <v>5.9061941820000001</v>
      </c>
      <c r="C73" s="144">
        <f>'Standard Value Calculator'!O34</f>
        <v>5.9</v>
      </c>
      <c r="D73" s="149">
        <f t="shared" si="1"/>
        <v>5.9</v>
      </c>
      <c r="E73" s="169" t="s">
        <v>50</v>
      </c>
      <c r="F73" s="519">
        <f>Fp1_u_Ch2</f>
        <v>0.52905675708072641</v>
      </c>
      <c r="G73" s="431" t="s">
        <v>719</v>
      </c>
      <c r="H73" s="135"/>
      <c r="I73" s="83"/>
      <c r="J73" s="83"/>
      <c r="K73" s="83"/>
      <c r="L73" s="83"/>
      <c r="M73" s="83"/>
      <c r="N73" s="83"/>
      <c r="O73" s="83"/>
      <c r="P73" s="83"/>
      <c r="Q73" s="107"/>
      <c r="R73" s="499"/>
      <c r="S73" s="190"/>
      <c r="T73" s="190"/>
      <c r="U73" s="191"/>
      <c r="V73" s="191"/>
      <c r="W73" s="190"/>
      <c r="X73" s="190"/>
      <c r="Y73" s="190"/>
      <c r="Z73" s="191"/>
      <c r="AA73" s="191"/>
      <c r="AB73" s="190"/>
      <c r="AC73" s="190"/>
      <c r="AD73" s="190"/>
      <c r="AE73" s="191"/>
      <c r="AF73" s="191"/>
      <c r="AG73" s="54"/>
      <c r="AH73" s="54"/>
      <c r="AI73" s="54"/>
    </row>
    <row r="74" spans="1:35" ht="15.75" x14ac:dyDescent="0.3">
      <c r="A74" s="172" t="s">
        <v>710</v>
      </c>
      <c r="B74" s="484">
        <f>Cc3ea*1000000000</f>
        <v>4.4911872284525911</v>
      </c>
      <c r="C74" s="144">
        <f>'Standard Value Calculator'!O35</f>
        <v>4.7</v>
      </c>
      <c r="D74" s="149">
        <f t="shared" si="1"/>
        <v>4.7</v>
      </c>
      <c r="E74" s="170" t="s">
        <v>141</v>
      </c>
      <c r="F74" s="432">
        <f>Fz1_u_Ch2/1000</f>
        <v>5.7394498115310624</v>
      </c>
      <c r="G74" s="433" t="s">
        <v>717</v>
      </c>
      <c r="H74" s="135"/>
      <c r="I74" s="83"/>
      <c r="J74" s="83"/>
      <c r="K74" s="83"/>
      <c r="L74" s="83"/>
      <c r="M74" s="83"/>
      <c r="N74" s="83"/>
      <c r="O74" s="83"/>
      <c r="P74" s="83"/>
      <c r="Q74" s="107"/>
      <c r="R74" s="499"/>
      <c r="S74" s="190"/>
      <c r="T74" s="190"/>
      <c r="U74" s="191"/>
      <c r="V74" s="191"/>
      <c r="W74" s="190"/>
      <c r="X74" s="190"/>
      <c r="Y74" s="190"/>
      <c r="Z74" s="191"/>
      <c r="AA74" s="191"/>
      <c r="AB74" s="190"/>
      <c r="AC74" s="190"/>
      <c r="AD74" s="190"/>
      <c r="AE74" s="191"/>
      <c r="AF74" s="191"/>
      <c r="AG74" s="54"/>
      <c r="AH74" s="54"/>
      <c r="AI74" s="54"/>
    </row>
    <row r="75" spans="1:35" ht="16.5" thickBot="1" x14ac:dyDescent="0.35">
      <c r="A75" s="369" t="s">
        <v>711</v>
      </c>
      <c r="B75" s="183">
        <f>IF(Cc4ea&lt;0, "N/A", Cc4ea*1000000000000)</f>
        <v>19.297729288778836</v>
      </c>
      <c r="C75" s="179">
        <f>IF(1, 'Standard Value Calculator'!O36)</f>
        <v>18</v>
      </c>
      <c r="D75" s="180">
        <f t="shared" si="1"/>
        <v>18</v>
      </c>
      <c r="E75" s="181" t="s">
        <v>30</v>
      </c>
      <c r="F75" s="436">
        <f>Fp2_u_Ch2/1000</f>
        <v>1107.0834445347821</v>
      </c>
      <c r="G75" s="434" t="s">
        <v>718</v>
      </c>
      <c r="H75" s="135"/>
      <c r="I75" s="83"/>
      <c r="J75" s="83"/>
      <c r="K75" s="83"/>
      <c r="L75" s="83"/>
      <c r="M75" s="83"/>
      <c r="N75" s="124" t="s">
        <v>750</v>
      </c>
      <c r="O75" s="129">
        <v>0.3</v>
      </c>
      <c r="P75" s="133" t="s">
        <v>116</v>
      </c>
      <c r="Q75" s="107"/>
      <c r="R75" s="499"/>
      <c r="S75" s="190"/>
      <c r="T75" s="190"/>
      <c r="U75" s="191"/>
      <c r="V75" s="191"/>
      <c r="W75" s="190"/>
      <c r="X75" s="190"/>
      <c r="Y75" s="190"/>
      <c r="Z75" s="191"/>
      <c r="AA75" s="191"/>
      <c r="AB75" s="190"/>
      <c r="AC75" s="190"/>
      <c r="AD75" s="190"/>
      <c r="AE75" s="191"/>
      <c r="AF75" s="191"/>
      <c r="AG75" s="54"/>
      <c r="AH75" s="54"/>
      <c r="AI75" s="54"/>
    </row>
    <row r="76" spans="1:35" ht="13.5" thickBot="1" x14ac:dyDescent="0.25">
      <c r="A76" s="127"/>
      <c r="B76" s="125"/>
      <c r="C76" s="125"/>
      <c r="D76" s="128"/>
      <c r="E76" s="128"/>
      <c r="F76" s="128"/>
      <c r="G76" s="128"/>
      <c r="H76" s="128"/>
      <c r="I76" s="83"/>
      <c r="J76" s="83"/>
      <c r="K76" s="83"/>
      <c r="L76" s="83"/>
      <c r="M76" s="83"/>
      <c r="N76" s="83"/>
      <c r="O76" s="83"/>
      <c r="P76" s="83"/>
      <c r="Q76" s="107"/>
      <c r="R76" s="499"/>
      <c r="S76" s="190"/>
      <c r="T76" s="190"/>
      <c r="U76" s="191"/>
      <c r="V76" s="191"/>
      <c r="W76" s="190"/>
      <c r="X76" s="190"/>
      <c r="Y76" s="190"/>
      <c r="Z76" s="191"/>
      <c r="AA76" s="191"/>
      <c r="AB76" s="190"/>
      <c r="AC76" s="190"/>
      <c r="AD76" s="190"/>
      <c r="AE76" s="191"/>
      <c r="AF76" s="191"/>
      <c r="AG76" s="54"/>
      <c r="AH76" s="54"/>
      <c r="AI76" s="54"/>
    </row>
    <row r="77" spans="1:35" s="86" customFormat="1" ht="18.75" thickBot="1" x14ac:dyDescent="0.3">
      <c r="A77" s="188" t="s">
        <v>234</v>
      </c>
      <c r="B77" s="139"/>
      <c r="C77" s="150"/>
      <c r="D77" s="150"/>
      <c r="E77" s="150"/>
      <c r="F77" s="150"/>
      <c r="G77" s="150"/>
      <c r="H77" s="150"/>
      <c r="I77" s="84"/>
      <c r="J77" s="84"/>
      <c r="K77" s="84"/>
      <c r="L77" s="84"/>
      <c r="M77" s="84"/>
      <c r="N77" s="84"/>
      <c r="O77" s="84"/>
      <c r="P77" s="84"/>
      <c r="Q77" s="85"/>
      <c r="R77" s="502"/>
      <c r="S77" s="192"/>
      <c r="T77" s="192"/>
      <c r="U77" s="193"/>
      <c r="V77" s="193"/>
      <c r="W77" s="192"/>
      <c r="X77" s="192"/>
      <c r="Y77" s="192"/>
      <c r="Z77" s="193"/>
      <c r="AA77" s="193"/>
      <c r="AB77" s="192"/>
      <c r="AC77" s="192"/>
      <c r="AD77" s="192"/>
      <c r="AE77" s="193"/>
      <c r="AF77" s="193"/>
      <c r="AG77" s="55"/>
      <c r="AH77" s="55"/>
      <c r="AI77" s="55"/>
    </row>
    <row r="78" spans="1:35" x14ac:dyDescent="0.2">
      <c r="A78" s="186"/>
      <c r="B78" s="135"/>
      <c r="C78" s="128"/>
      <c r="D78" s="128"/>
      <c r="E78" s="128"/>
      <c r="F78" s="128"/>
      <c r="G78" s="128"/>
      <c r="H78" s="128"/>
      <c r="I78" s="83"/>
      <c r="J78" s="83"/>
      <c r="K78" s="83"/>
      <c r="L78" s="83"/>
      <c r="M78" s="83"/>
      <c r="N78" s="83"/>
      <c r="O78" s="83"/>
      <c r="P78" s="83"/>
      <c r="Q78" s="107"/>
      <c r="R78" s="499"/>
      <c r="S78" s="190"/>
      <c r="T78" s="190"/>
      <c r="U78" s="191"/>
      <c r="V78" s="191"/>
      <c r="W78" s="190"/>
      <c r="X78" s="190"/>
      <c r="Y78" s="190"/>
      <c r="Z78" s="191"/>
      <c r="AA78" s="191"/>
      <c r="AB78" s="190"/>
      <c r="AC78" s="190"/>
      <c r="AD78" s="190"/>
      <c r="AE78" s="191"/>
      <c r="AF78" s="191"/>
      <c r="AG78" s="54"/>
      <c r="AH78" s="54"/>
      <c r="AI78" s="54"/>
    </row>
    <row r="79" spans="1:35" ht="19.5" thickBot="1" x14ac:dyDescent="0.35">
      <c r="A79" s="151" t="s">
        <v>193</v>
      </c>
      <c r="B79" s="132"/>
      <c r="C79" s="128"/>
      <c r="D79" s="128"/>
      <c r="E79" s="128"/>
      <c r="F79" s="128"/>
      <c r="G79" s="128"/>
      <c r="H79" s="128"/>
      <c r="I79" s="83"/>
      <c r="J79" s="83"/>
      <c r="K79" s="83"/>
      <c r="L79" s="83"/>
      <c r="M79" s="83"/>
      <c r="N79" s="83"/>
      <c r="O79" s="83"/>
      <c r="P79" s="83"/>
      <c r="Q79" s="107"/>
      <c r="R79" s="499"/>
      <c r="S79" s="190"/>
      <c r="T79" s="190"/>
      <c r="U79" s="191"/>
      <c r="V79" s="191"/>
      <c r="W79" s="190"/>
      <c r="X79" s="190"/>
      <c r="Y79" s="190"/>
      <c r="Z79" s="191"/>
      <c r="AA79" s="191"/>
      <c r="AB79" s="190"/>
      <c r="AC79" s="190"/>
      <c r="AD79" s="190"/>
      <c r="AE79" s="191"/>
      <c r="AF79" s="191"/>
      <c r="AG79" s="54"/>
      <c r="AH79" s="54"/>
      <c r="AI79" s="54"/>
    </row>
    <row r="80" spans="1:35" ht="18" customHeight="1" x14ac:dyDescent="0.25">
      <c r="A80" s="173"/>
      <c r="B80" s="174"/>
      <c r="C80" s="561"/>
      <c r="D80" s="561"/>
      <c r="E80" s="561"/>
      <c r="F80" s="204" t="str">
        <f>IF(MODE=1, "Ch1 Power MOSFETs", "Power MOSFETs")</f>
        <v>Ch1 Power MOSFETs</v>
      </c>
      <c r="G80" s="636" t="s">
        <v>778</v>
      </c>
      <c r="H80" s="561"/>
      <c r="I80" s="204" t="str">
        <f>IF(MODE=1, "Ch2 Power MOSFETs ", "Power MOSFETs ")</f>
        <v xml:space="preserve">Ch2 Power MOSFETs </v>
      </c>
      <c r="J80" s="637" t="s">
        <v>779</v>
      </c>
      <c r="K80" s="83"/>
      <c r="L80" s="83"/>
      <c r="M80" s="83"/>
      <c r="N80" s="83"/>
      <c r="O80" s="83"/>
      <c r="P80" s="83"/>
      <c r="Q80" s="107"/>
      <c r="R80" s="499"/>
      <c r="S80" s="190"/>
      <c r="T80" s="121"/>
      <c r="U80" s="121"/>
      <c r="V80" s="191"/>
      <c r="W80" s="190"/>
      <c r="X80" s="190"/>
      <c r="Y80" s="190"/>
      <c r="Z80" s="191"/>
      <c r="AA80" s="191"/>
      <c r="AB80" s="190"/>
      <c r="AC80" s="190"/>
      <c r="AD80" s="190"/>
      <c r="AE80" s="191"/>
      <c r="AF80" s="191"/>
      <c r="AG80" s="54"/>
      <c r="AH80" s="54"/>
      <c r="AI80" s="54"/>
    </row>
    <row r="81" spans="1:35" ht="14.25" customHeight="1" x14ac:dyDescent="0.2">
      <c r="A81" s="632"/>
      <c r="B81" s="133"/>
      <c r="C81" s="633"/>
      <c r="D81" s="634"/>
      <c r="E81" s="635" t="s">
        <v>862</v>
      </c>
      <c r="F81" s="128"/>
      <c r="G81" s="163"/>
      <c r="H81" s="665" t="s">
        <v>862</v>
      </c>
      <c r="I81" s="666"/>
      <c r="J81" s="163"/>
      <c r="K81" s="83"/>
      <c r="L81" s="83"/>
      <c r="M81" s="83"/>
      <c r="N81" s="83"/>
      <c r="O81" s="83"/>
      <c r="P81" s="83"/>
      <c r="Q81" s="107"/>
      <c r="R81" s="499"/>
      <c r="S81" s="190"/>
      <c r="T81" s="121"/>
      <c r="U81" s="121"/>
      <c r="V81" s="191"/>
      <c r="W81" s="190"/>
      <c r="X81" s="190"/>
      <c r="Y81" s="190"/>
      <c r="Z81" s="191"/>
      <c r="AA81" s="191"/>
      <c r="AB81" s="190"/>
      <c r="AC81" s="190"/>
      <c r="AD81" s="190"/>
      <c r="AE81" s="191"/>
      <c r="AF81" s="191"/>
      <c r="AG81" s="54"/>
      <c r="AH81" s="54"/>
      <c r="AI81" s="54"/>
    </row>
    <row r="82" spans="1:35" ht="14.45" customHeight="1" x14ac:dyDescent="0.2">
      <c r="A82" s="482"/>
      <c r="B82" s="113"/>
      <c r="C82" s="113"/>
      <c r="D82" s="113"/>
      <c r="E82" s="483" t="s">
        <v>754</v>
      </c>
      <c r="F82" s="671" t="s">
        <v>547</v>
      </c>
      <c r="G82" s="672"/>
      <c r="H82" s="491" t="s">
        <v>754</v>
      </c>
      <c r="I82" s="490" t="s">
        <v>547</v>
      </c>
      <c r="J82" s="261"/>
      <c r="K82" s="83"/>
      <c r="L82" s="83"/>
      <c r="M82" s="83"/>
      <c r="N82" s="83"/>
      <c r="O82" s="83"/>
      <c r="P82" s="83"/>
      <c r="Q82" s="107"/>
      <c r="R82" s="499"/>
      <c r="S82" s="190"/>
      <c r="T82" s="121"/>
      <c r="U82" s="121"/>
      <c r="V82" s="191"/>
      <c r="W82" s="190"/>
      <c r="X82" s="190"/>
      <c r="Y82" s="190"/>
      <c r="Z82" s="191"/>
      <c r="AA82" s="191"/>
      <c r="AB82" s="190"/>
      <c r="AC82" s="190"/>
      <c r="AD82" s="190"/>
      <c r="AE82" s="191"/>
      <c r="AF82" s="191"/>
      <c r="AG82" s="54"/>
      <c r="AH82" s="54"/>
      <c r="AI82" s="54"/>
    </row>
    <row r="83" spans="1:35" ht="14.45" customHeight="1" x14ac:dyDescent="0.25">
      <c r="A83" s="127"/>
      <c r="B83" s="128"/>
      <c r="C83" s="133"/>
      <c r="D83" s="124" t="s">
        <v>272</v>
      </c>
      <c r="E83" s="254">
        <v>6</v>
      </c>
      <c r="F83" s="254">
        <v>2.5</v>
      </c>
      <c r="G83" s="163" t="s">
        <v>49</v>
      </c>
      <c r="H83" s="129">
        <v>6</v>
      </c>
      <c r="I83" s="129">
        <v>2.5</v>
      </c>
      <c r="J83" s="163" t="s">
        <v>49</v>
      </c>
      <c r="K83" s="83"/>
      <c r="L83" s="83"/>
      <c r="M83" s="83"/>
      <c r="N83" s="83"/>
      <c r="O83" s="83"/>
      <c r="P83" s="83"/>
      <c r="Q83" s="107"/>
      <c r="R83" s="499"/>
      <c r="S83" s="190"/>
      <c r="T83" s="121"/>
      <c r="U83" s="121"/>
      <c r="V83" s="191"/>
      <c r="W83" s="190"/>
      <c r="X83" s="190"/>
      <c r="Y83" s="190"/>
      <c r="Z83" s="191"/>
      <c r="AA83" s="191"/>
      <c r="AB83" s="190"/>
      <c r="AC83" s="190"/>
      <c r="AD83" s="190"/>
      <c r="AE83" s="191"/>
      <c r="AF83" s="191"/>
      <c r="AG83" s="54"/>
      <c r="AH83" s="54"/>
      <c r="AI83" s="54"/>
    </row>
    <row r="84" spans="1:35" ht="14.45" customHeight="1" x14ac:dyDescent="0.25">
      <c r="A84" s="127"/>
      <c r="B84" s="128"/>
      <c r="C84" s="133"/>
      <c r="D84" s="124" t="s">
        <v>273</v>
      </c>
      <c r="E84" s="129">
        <v>8</v>
      </c>
      <c r="F84" s="129">
        <v>25</v>
      </c>
      <c r="G84" s="163" t="s">
        <v>65</v>
      </c>
      <c r="H84" s="129">
        <v>8</v>
      </c>
      <c r="I84" s="129">
        <v>25</v>
      </c>
      <c r="J84" s="163" t="s">
        <v>65</v>
      </c>
      <c r="K84" s="83"/>
      <c r="L84" s="83"/>
      <c r="M84" s="83"/>
      <c r="N84" s="83"/>
      <c r="O84" s="83"/>
      <c r="P84" s="83"/>
      <c r="Q84" s="107"/>
      <c r="R84" s="499"/>
      <c r="S84" s="190"/>
      <c r="T84" s="121"/>
      <c r="U84" s="121"/>
      <c r="V84" s="191"/>
      <c r="W84" s="190"/>
      <c r="X84" s="190"/>
      <c r="Y84" s="190"/>
      <c r="Z84" s="191"/>
      <c r="AA84" s="191"/>
      <c r="AB84" s="190"/>
      <c r="AC84" s="190"/>
      <c r="AD84" s="190"/>
      <c r="AE84" s="191"/>
      <c r="AF84" s="191"/>
      <c r="AG84" s="54"/>
      <c r="AH84" s="54"/>
      <c r="AI84" s="54"/>
    </row>
    <row r="85" spans="1:35" ht="14.45" customHeight="1" x14ac:dyDescent="0.25">
      <c r="A85" s="127"/>
      <c r="B85" s="128"/>
      <c r="C85" s="133"/>
      <c r="D85" s="124" t="s">
        <v>274</v>
      </c>
      <c r="E85" s="129">
        <v>1.4</v>
      </c>
      <c r="F85" s="129">
        <v>4.5</v>
      </c>
      <c r="G85" s="163" t="s">
        <v>65</v>
      </c>
      <c r="H85" s="129">
        <v>1.4</v>
      </c>
      <c r="I85" s="129">
        <v>4.5</v>
      </c>
      <c r="J85" s="163" t="s">
        <v>65</v>
      </c>
      <c r="K85" s="83"/>
      <c r="L85" s="83"/>
      <c r="M85" s="83"/>
      <c r="N85" s="83"/>
      <c r="O85" s="83"/>
      <c r="P85" s="83"/>
      <c r="Q85" s="107"/>
      <c r="R85" s="499"/>
      <c r="S85" s="190"/>
      <c r="T85" s="121"/>
      <c r="U85" s="121"/>
      <c r="V85" s="191"/>
      <c r="W85" s="190"/>
      <c r="X85" s="190"/>
      <c r="Y85" s="190"/>
      <c r="Z85" s="191"/>
      <c r="AA85" s="191"/>
      <c r="AB85" s="190"/>
      <c r="AC85" s="190"/>
      <c r="AD85" s="190"/>
      <c r="AE85" s="191"/>
      <c r="AF85" s="191"/>
      <c r="AG85" s="54"/>
      <c r="AH85" s="54"/>
      <c r="AI85" s="54"/>
    </row>
    <row r="86" spans="1:35" ht="14.45" customHeight="1" x14ac:dyDescent="0.25">
      <c r="A86" s="127"/>
      <c r="B86" s="128"/>
      <c r="C86" s="133"/>
      <c r="D86" s="124" t="s">
        <v>275</v>
      </c>
      <c r="E86" s="129">
        <v>3.8</v>
      </c>
      <c r="F86" s="129">
        <v>12</v>
      </c>
      <c r="G86" s="163" t="s">
        <v>65</v>
      </c>
      <c r="H86" s="129">
        <v>3.8</v>
      </c>
      <c r="I86" s="129">
        <v>12</v>
      </c>
      <c r="J86" s="163" t="s">
        <v>65</v>
      </c>
      <c r="K86" s="83"/>
      <c r="L86" s="83"/>
      <c r="M86" s="83"/>
      <c r="N86" s="83"/>
      <c r="O86" s="83"/>
      <c r="P86" s="83"/>
      <c r="Q86" s="107"/>
      <c r="R86" s="499"/>
      <c r="S86" s="190"/>
      <c r="T86" s="121"/>
      <c r="U86" s="121"/>
      <c r="V86" s="191"/>
      <c r="W86" s="190"/>
      <c r="X86" s="190"/>
      <c r="Y86" s="190"/>
      <c r="Z86" s="191"/>
      <c r="AA86" s="191"/>
      <c r="AB86" s="190"/>
      <c r="AC86" s="190"/>
      <c r="AD86" s="190"/>
      <c r="AE86" s="191"/>
      <c r="AF86" s="191"/>
      <c r="AG86" s="54"/>
      <c r="AH86" s="54"/>
      <c r="AI86" s="54"/>
    </row>
    <row r="87" spans="1:35" ht="14.45" customHeight="1" x14ac:dyDescent="0.25">
      <c r="A87" s="482"/>
      <c r="B87" s="113"/>
      <c r="C87" s="113"/>
      <c r="D87" s="124" t="s">
        <v>821</v>
      </c>
      <c r="E87" s="639"/>
      <c r="F87" s="129">
        <v>30</v>
      </c>
      <c r="G87" s="163" t="s">
        <v>65</v>
      </c>
      <c r="H87" s="639"/>
      <c r="I87" s="129">
        <v>30</v>
      </c>
      <c r="J87" s="163" t="s">
        <v>65</v>
      </c>
      <c r="K87" s="83"/>
      <c r="L87" s="83"/>
      <c r="M87" s="83"/>
      <c r="N87" s="83"/>
      <c r="O87" s="83"/>
      <c r="P87" s="83"/>
      <c r="Q87" s="107"/>
      <c r="R87" s="499"/>
      <c r="S87" s="190"/>
      <c r="T87" s="121"/>
      <c r="U87" s="121"/>
      <c r="V87" s="191"/>
      <c r="W87" s="190"/>
      <c r="X87" s="190"/>
      <c r="Y87" s="190"/>
      <c r="Z87" s="191"/>
      <c r="AA87" s="191"/>
      <c r="AB87" s="190"/>
      <c r="AC87" s="190"/>
      <c r="AD87" s="190"/>
      <c r="AE87" s="191"/>
      <c r="AF87" s="191"/>
      <c r="AG87" s="54"/>
      <c r="AH87" s="54"/>
      <c r="AI87" s="54"/>
    </row>
    <row r="88" spans="1:35" ht="14.45" customHeight="1" x14ac:dyDescent="0.25">
      <c r="A88" s="482"/>
      <c r="B88" s="113"/>
      <c r="C88" s="113"/>
      <c r="D88" s="124" t="s">
        <v>820</v>
      </c>
      <c r="E88" s="129">
        <v>213</v>
      </c>
      <c r="F88" s="129">
        <v>1700</v>
      </c>
      <c r="G88" s="163" t="s">
        <v>30</v>
      </c>
      <c r="H88" s="129">
        <v>213</v>
      </c>
      <c r="I88" s="129">
        <v>1700</v>
      </c>
      <c r="J88" s="163" t="s">
        <v>30</v>
      </c>
      <c r="K88" s="83"/>
      <c r="L88" s="83"/>
      <c r="M88" s="83"/>
      <c r="N88" s="83"/>
      <c r="O88" s="83"/>
      <c r="P88" s="83"/>
      <c r="Q88" s="107"/>
      <c r="R88" s="499"/>
      <c r="S88" s="190"/>
      <c r="T88" s="121"/>
      <c r="U88" s="121"/>
      <c r="V88" s="191"/>
      <c r="W88" s="190"/>
      <c r="X88" s="190"/>
      <c r="Y88" s="190"/>
      <c r="Z88" s="191"/>
      <c r="AA88" s="191"/>
      <c r="AB88" s="190"/>
      <c r="AC88" s="190"/>
      <c r="AD88" s="190"/>
      <c r="AE88" s="191"/>
      <c r="AF88" s="191"/>
      <c r="AG88" s="54"/>
      <c r="AH88" s="54"/>
      <c r="AI88" s="54"/>
    </row>
    <row r="89" spans="1:35" ht="14.45" customHeight="1" x14ac:dyDescent="0.25">
      <c r="A89" s="127"/>
      <c r="B89" s="128"/>
      <c r="C89" s="133"/>
      <c r="D89" s="124" t="s">
        <v>276</v>
      </c>
      <c r="E89" s="129">
        <v>0.5</v>
      </c>
      <c r="F89" s="129">
        <v>0.5</v>
      </c>
      <c r="G89" s="163" t="s">
        <v>138</v>
      </c>
      <c r="H89" s="129">
        <v>0.5</v>
      </c>
      <c r="I89" s="129">
        <v>0.5</v>
      </c>
      <c r="J89" s="163" t="s">
        <v>138</v>
      </c>
      <c r="K89" s="83"/>
      <c r="L89" s="83"/>
      <c r="M89" s="83"/>
      <c r="N89" s="83"/>
      <c r="O89" s="83"/>
      <c r="P89" s="83"/>
      <c r="Q89" s="107"/>
      <c r="R89" s="499"/>
      <c r="S89" s="190"/>
      <c r="T89" s="121"/>
      <c r="U89" s="121"/>
      <c r="V89" s="191"/>
      <c r="W89" s="190"/>
      <c r="X89" s="190"/>
      <c r="Y89" s="190"/>
      <c r="Z89" s="191"/>
      <c r="AA89" s="191"/>
      <c r="AB89" s="190"/>
      <c r="AC89" s="190"/>
      <c r="AD89" s="190"/>
      <c r="AE89" s="191"/>
      <c r="AF89" s="191"/>
      <c r="AG89" s="54"/>
      <c r="AH89" s="54"/>
      <c r="AI89" s="54"/>
    </row>
    <row r="90" spans="1:35" ht="14.45" customHeight="1" x14ac:dyDescent="0.25">
      <c r="A90" s="127"/>
      <c r="B90" s="128"/>
      <c r="C90" s="133"/>
      <c r="D90" s="124" t="s">
        <v>277</v>
      </c>
      <c r="E90" s="129">
        <v>64</v>
      </c>
      <c r="F90" s="129">
        <v>280</v>
      </c>
      <c r="G90" s="163" t="s">
        <v>66</v>
      </c>
      <c r="H90" s="129">
        <v>64</v>
      </c>
      <c r="I90" s="129">
        <v>280</v>
      </c>
      <c r="J90" s="163" t="s">
        <v>66</v>
      </c>
      <c r="K90" s="83"/>
      <c r="L90" s="83"/>
      <c r="M90" s="83"/>
      <c r="N90" s="83"/>
      <c r="O90" s="83"/>
      <c r="P90" s="83"/>
      <c r="Q90" s="107"/>
      <c r="R90" s="499"/>
      <c r="S90" s="190"/>
      <c r="T90" s="121"/>
      <c r="U90" s="121"/>
      <c r="V90" s="191"/>
      <c r="W90" s="190"/>
      <c r="X90" s="190"/>
      <c r="Y90" s="190"/>
      <c r="Z90" s="191"/>
      <c r="AA90" s="191"/>
      <c r="AB90" s="190"/>
      <c r="AC90" s="190"/>
      <c r="AD90" s="190"/>
      <c r="AE90" s="191"/>
      <c r="AF90" s="191"/>
      <c r="AG90" s="54"/>
      <c r="AH90" s="54"/>
      <c r="AI90" s="54"/>
    </row>
    <row r="91" spans="1:35" ht="14.45" customHeight="1" x14ac:dyDescent="0.25">
      <c r="A91" s="127"/>
      <c r="B91" s="128"/>
      <c r="C91" s="133"/>
      <c r="D91" s="124" t="s">
        <v>545</v>
      </c>
      <c r="E91" s="129">
        <v>2.9</v>
      </c>
      <c r="F91" s="129">
        <v>3</v>
      </c>
      <c r="G91" s="163" t="s">
        <v>0</v>
      </c>
      <c r="H91" s="129">
        <v>2.9</v>
      </c>
      <c r="I91" s="129">
        <v>3</v>
      </c>
      <c r="J91" s="163" t="s">
        <v>0</v>
      </c>
      <c r="K91" s="83"/>
      <c r="L91" s="83"/>
      <c r="M91" s="83"/>
      <c r="N91" s="83"/>
      <c r="O91" s="83"/>
      <c r="P91" s="83"/>
      <c r="Q91" s="107"/>
      <c r="R91" s="499"/>
      <c r="S91" s="190"/>
      <c r="T91" s="121"/>
      <c r="U91" s="121"/>
      <c r="V91" s="191"/>
      <c r="W91" s="190"/>
      <c r="X91" s="190"/>
      <c r="Y91" s="190"/>
      <c r="Z91" s="191"/>
      <c r="AA91" s="191"/>
      <c r="AB91" s="190"/>
      <c r="AC91" s="190"/>
      <c r="AD91" s="190"/>
      <c r="AE91" s="191"/>
      <c r="AF91" s="191"/>
      <c r="AG91" s="54"/>
      <c r="AH91" s="54"/>
      <c r="AI91" s="54"/>
    </row>
    <row r="92" spans="1:35" ht="14.45" customHeight="1" x14ac:dyDescent="0.25">
      <c r="A92" s="127"/>
      <c r="B92" s="128"/>
      <c r="C92" s="133"/>
      <c r="D92" s="124" t="s">
        <v>542</v>
      </c>
      <c r="E92" s="129">
        <v>0.7</v>
      </c>
      <c r="F92" s="129">
        <v>0.7</v>
      </c>
      <c r="G92" s="163" t="s">
        <v>0</v>
      </c>
      <c r="H92" s="129">
        <v>0.7</v>
      </c>
      <c r="I92" s="129">
        <v>0.7</v>
      </c>
      <c r="J92" s="163" t="s">
        <v>0</v>
      </c>
      <c r="K92" s="83"/>
      <c r="L92" s="83"/>
      <c r="M92" s="83"/>
      <c r="N92" s="83"/>
      <c r="O92" s="83"/>
      <c r="P92" s="83"/>
      <c r="Q92" s="107"/>
      <c r="R92" s="499"/>
      <c r="S92" s="190"/>
      <c r="T92" s="121"/>
      <c r="U92" s="121"/>
      <c r="V92" s="191"/>
      <c r="W92" s="190"/>
      <c r="X92" s="190"/>
      <c r="Y92" s="190"/>
      <c r="Z92" s="191"/>
      <c r="AA92" s="191"/>
      <c r="AB92" s="190"/>
      <c r="AC92" s="190"/>
      <c r="AD92" s="190"/>
      <c r="AE92" s="191"/>
      <c r="AF92" s="191"/>
      <c r="AG92" s="54"/>
      <c r="AH92" s="54"/>
      <c r="AI92" s="54"/>
    </row>
    <row r="93" spans="1:35" ht="14.25" customHeight="1" x14ac:dyDescent="0.25">
      <c r="A93" s="127"/>
      <c r="B93" s="128"/>
      <c r="C93" s="128"/>
      <c r="D93" s="124" t="s">
        <v>544</v>
      </c>
      <c r="E93" s="2"/>
      <c r="F93" s="129">
        <v>60</v>
      </c>
      <c r="G93" s="163" t="s">
        <v>65</v>
      </c>
      <c r="H93" s="113"/>
      <c r="I93" s="129">
        <v>60</v>
      </c>
      <c r="J93" s="163" t="s">
        <v>65</v>
      </c>
      <c r="K93" s="83"/>
      <c r="L93" s="83"/>
      <c r="M93" s="83"/>
      <c r="N93" s="83"/>
      <c r="O93" s="83"/>
      <c r="P93" s="83"/>
      <c r="Q93" s="107"/>
      <c r="R93" s="499"/>
      <c r="S93" s="190"/>
      <c r="T93" s="121"/>
      <c r="U93" s="121"/>
      <c r="V93" s="191"/>
      <c r="W93" s="190"/>
      <c r="X93" s="190"/>
      <c r="Y93" s="190"/>
      <c r="Z93" s="191"/>
      <c r="AA93" s="191"/>
      <c r="AB93" s="190"/>
      <c r="AC93" s="190"/>
      <c r="AD93" s="190"/>
      <c r="AE93" s="191"/>
      <c r="AF93" s="191"/>
      <c r="AG93" s="54"/>
      <c r="AH93" s="54"/>
      <c r="AI93" s="54"/>
    </row>
    <row r="94" spans="1:35" ht="14.45" customHeight="1" thickBot="1" x14ac:dyDescent="0.3">
      <c r="A94" s="195"/>
      <c r="B94" s="176"/>
      <c r="C94" s="196"/>
      <c r="D94" s="177" t="s">
        <v>278</v>
      </c>
      <c r="E94" s="250">
        <v>50</v>
      </c>
      <c r="F94" s="250">
        <v>38</v>
      </c>
      <c r="G94" s="178" t="s">
        <v>205</v>
      </c>
      <c r="H94" s="250">
        <v>50</v>
      </c>
      <c r="I94" s="250">
        <v>38</v>
      </c>
      <c r="J94" s="178" t="s">
        <v>205</v>
      </c>
      <c r="K94" s="83"/>
      <c r="L94" s="83"/>
      <c r="M94" s="83"/>
      <c r="N94" s="83"/>
      <c r="O94" s="83"/>
      <c r="P94" s="83"/>
      <c r="Q94" s="107"/>
      <c r="R94" s="499"/>
      <c r="S94" s="190"/>
      <c r="T94" s="121"/>
      <c r="U94" s="121"/>
      <c r="V94" s="191"/>
      <c r="W94" s="190"/>
      <c r="X94" s="190"/>
      <c r="Y94" s="190"/>
      <c r="Z94" s="191"/>
      <c r="AA94" s="191"/>
      <c r="AB94" s="190"/>
      <c r="AC94" s="190"/>
      <c r="AD94" s="190"/>
      <c r="AE94" s="191"/>
      <c r="AF94" s="191"/>
      <c r="AG94" s="54"/>
      <c r="AH94" s="54"/>
      <c r="AI94" s="54"/>
    </row>
    <row r="95" spans="1:35" ht="14.45" customHeight="1" thickBot="1" x14ac:dyDescent="0.25">
      <c r="A95" s="127"/>
      <c r="B95" s="128"/>
      <c r="C95" s="133"/>
      <c r="D95" s="124"/>
      <c r="E95" s="194"/>
      <c r="F95" s="197"/>
      <c r="G95" s="128"/>
      <c r="H95" s="128"/>
      <c r="I95" s="83"/>
      <c r="J95" s="83"/>
      <c r="K95" s="83"/>
      <c r="L95" s="83"/>
      <c r="M95" s="83"/>
      <c r="N95" s="83"/>
      <c r="O95" s="83"/>
      <c r="P95" s="83"/>
      <c r="Q95" s="107"/>
      <c r="R95" s="499"/>
      <c r="S95" s="190"/>
      <c r="T95" s="121"/>
      <c r="U95" s="121"/>
      <c r="V95" s="191"/>
      <c r="W95" s="190"/>
      <c r="X95" s="190"/>
      <c r="Y95" s="190"/>
      <c r="Z95" s="191"/>
      <c r="AA95" s="191"/>
      <c r="AB95" s="190"/>
      <c r="AC95" s="190"/>
      <c r="AD95" s="190"/>
      <c r="AE95" s="191"/>
      <c r="AF95" s="191"/>
      <c r="AG95" s="54"/>
      <c r="AH95" s="54"/>
      <c r="AI95" s="54"/>
    </row>
    <row r="96" spans="1:35" ht="14.45" customHeight="1" x14ac:dyDescent="0.2">
      <c r="A96" s="608" t="s">
        <v>510</v>
      </c>
      <c r="B96" s="472"/>
      <c r="C96" s="473"/>
      <c r="D96" s="485"/>
      <c r="E96" s="601" t="str">
        <f>CHOOSE(MODE, "Ch1", "")</f>
        <v>Ch1</v>
      </c>
      <c r="F96" s="602" t="str">
        <f>CHOOSE(MODE, "Ch2", "")</f>
        <v>Ch2</v>
      </c>
      <c r="G96" s="474"/>
      <c r="H96" s="128"/>
      <c r="I96" s="83"/>
      <c r="J96" s="83"/>
      <c r="K96" s="83"/>
      <c r="L96" s="83"/>
      <c r="M96" s="83"/>
      <c r="N96" s="83"/>
      <c r="O96" s="83"/>
      <c r="P96" s="83"/>
      <c r="Q96" s="107"/>
      <c r="R96" s="499"/>
      <c r="S96" s="190"/>
      <c r="T96" s="121"/>
      <c r="U96" s="121"/>
      <c r="V96" s="191"/>
      <c r="W96" s="190"/>
      <c r="X96" s="190"/>
      <c r="Y96" s="190"/>
      <c r="Z96" s="191"/>
      <c r="AA96" s="191"/>
      <c r="AB96" s="190"/>
      <c r="AC96" s="190"/>
      <c r="AD96" s="190"/>
      <c r="AE96" s="191"/>
      <c r="AF96" s="191"/>
      <c r="AG96" s="54"/>
      <c r="AH96" s="54"/>
      <c r="AI96" s="54"/>
    </row>
    <row r="97" spans="1:35" ht="14.45" customHeight="1" x14ac:dyDescent="0.25">
      <c r="A97" s="127"/>
      <c r="B97" s="128"/>
      <c r="C97" s="128"/>
      <c r="D97" s="124" t="s">
        <v>546</v>
      </c>
      <c r="E97" s="251">
        <v>0</v>
      </c>
      <c r="F97" s="251">
        <v>0</v>
      </c>
      <c r="G97" s="163" t="s">
        <v>0</v>
      </c>
      <c r="H97" s="128"/>
      <c r="I97" s="83"/>
      <c r="J97" s="83"/>
      <c r="K97" s="83"/>
      <c r="L97" s="83"/>
      <c r="M97" s="83"/>
      <c r="N97" s="83"/>
      <c r="O97" s="83"/>
      <c r="P97" s="83"/>
      <c r="Q97" s="107"/>
      <c r="R97" s="499"/>
      <c r="S97" s="190"/>
      <c r="T97" s="121"/>
      <c r="U97" s="121"/>
      <c r="V97" s="191"/>
      <c r="W97" s="190"/>
      <c r="X97" s="190"/>
      <c r="Y97" s="190"/>
      <c r="Z97" s="191"/>
      <c r="AA97" s="191"/>
      <c r="AB97" s="190"/>
      <c r="AC97" s="190"/>
      <c r="AD97" s="190"/>
      <c r="AE97" s="191"/>
      <c r="AF97" s="191"/>
      <c r="AG97" s="54"/>
      <c r="AH97" s="54"/>
      <c r="AI97" s="54"/>
    </row>
    <row r="98" spans="1:35" ht="14.45" customHeight="1" thickBot="1" x14ac:dyDescent="0.3">
      <c r="A98" s="195"/>
      <c r="B98" s="176"/>
      <c r="C98" s="176"/>
      <c r="D98" s="177" t="s">
        <v>543</v>
      </c>
      <c r="E98" s="252">
        <v>0</v>
      </c>
      <c r="F98" s="252">
        <v>0</v>
      </c>
      <c r="G98" s="178" t="s">
        <v>65</v>
      </c>
      <c r="H98" s="128"/>
      <c r="I98" s="83"/>
      <c r="J98" s="83"/>
      <c r="K98" s="83"/>
      <c r="L98" s="83"/>
      <c r="M98" s="83"/>
      <c r="N98" s="83"/>
      <c r="O98" s="83"/>
      <c r="P98" s="83"/>
      <c r="Q98" s="107"/>
      <c r="R98" s="499"/>
      <c r="S98" s="190"/>
      <c r="T98" s="121"/>
      <c r="U98" s="121"/>
      <c r="V98" s="191"/>
      <c r="W98" s="190"/>
      <c r="X98" s="190"/>
      <c r="Y98" s="190"/>
      <c r="Z98" s="191"/>
      <c r="AA98" s="191"/>
      <c r="AB98" s="190"/>
      <c r="AC98" s="190"/>
      <c r="AD98" s="190"/>
      <c r="AE98" s="191"/>
      <c r="AF98" s="191"/>
      <c r="AG98" s="54"/>
      <c r="AH98" s="54"/>
      <c r="AI98" s="54"/>
    </row>
    <row r="99" spans="1:35" ht="14.45" customHeight="1" x14ac:dyDescent="0.2">
      <c r="A99" s="186"/>
      <c r="B99" s="135"/>
      <c r="C99" s="135"/>
      <c r="D99" s="638"/>
      <c r="E99" s="113"/>
      <c r="F99" s="113"/>
      <c r="G99" s="113"/>
      <c r="H99" s="128"/>
      <c r="I99" s="83"/>
      <c r="J99" s="83"/>
      <c r="K99" s="83"/>
      <c r="L99" s="83"/>
      <c r="M99" s="83"/>
      <c r="N99" s="83"/>
      <c r="O99" s="83"/>
      <c r="P99" s="83"/>
      <c r="Q99" s="107"/>
      <c r="R99" s="499"/>
      <c r="S99" s="190"/>
      <c r="T99" s="121"/>
      <c r="U99" s="121"/>
      <c r="V99" s="191"/>
      <c r="W99" s="190"/>
      <c r="X99" s="190"/>
      <c r="Y99" s="190"/>
      <c r="Z99" s="191"/>
      <c r="AA99" s="191"/>
      <c r="AB99" s="190"/>
      <c r="AC99" s="190"/>
      <c r="AD99" s="190"/>
      <c r="AE99" s="191"/>
      <c r="AF99" s="191"/>
      <c r="AG99" s="54"/>
      <c r="AH99" s="54"/>
      <c r="AI99" s="54"/>
    </row>
    <row r="100" spans="1:35" ht="19.5" customHeight="1" x14ac:dyDescent="0.2">
      <c r="A100" s="186"/>
      <c r="B100" s="135"/>
      <c r="C100" s="639"/>
      <c r="D100" s="638"/>
      <c r="E100" s="113"/>
      <c r="F100" s="113"/>
      <c r="G100" s="113"/>
      <c r="H100" s="128"/>
      <c r="I100" s="83"/>
      <c r="J100" s="83"/>
      <c r="K100" s="83"/>
      <c r="L100" s="83"/>
      <c r="M100" s="83"/>
      <c r="N100" s="83"/>
      <c r="O100" s="83"/>
      <c r="P100" s="83"/>
      <c r="Q100" s="107"/>
      <c r="R100" s="499"/>
      <c r="S100" s="190"/>
      <c r="T100" s="121"/>
      <c r="U100" s="121"/>
      <c r="V100" s="191"/>
      <c r="W100" s="190"/>
      <c r="X100" s="190"/>
      <c r="Y100" s="190"/>
      <c r="Z100" s="191"/>
      <c r="AA100" s="191"/>
      <c r="AB100" s="190"/>
      <c r="AC100" s="190"/>
      <c r="AD100" s="190"/>
      <c r="AE100" s="191"/>
      <c r="AF100" s="191"/>
      <c r="AG100" s="54"/>
      <c r="AH100" s="54"/>
      <c r="AI100" s="54"/>
    </row>
    <row r="101" spans="1:35" ht="15" customHeight="1" x14ac:dyDescent="0.2">
      <c r="A101" s="186"/>
      <c r="B101" s="135"/>
      <c r="C101" s="639"/>
      <c r="D101" s="638"/>
      <c r="E101" s="113"/>
      <c r="F101" s="113"/>
      <c r="G101" s="113"/>
      <c r="H101" s="128"/>
      <c r="I101" s="83"/>
      <c r="J101" s="83"/>
      <c r="K101" s="83"/>
      <c r="L101" s="83"/>
      <c r="M101" s="83"/>
      <c r="N101" s="83"/>
      <c r="O101" s="83"/>
      <c r="P101" s="83"/>
      <c r="Q101" s="107"/>
      <c r="R101" s="499"/>
      <c r="S101" s="54"/>
      <c r="T101" s="6"/>
      <c r="U101" s="6"/>
      <c r="W101" s="54"/>
      <c r="X101" s="54"/>
      <c r="Y101" s="54"/>
      <c r="AB101" s="54"/>
      <c r="AC101" s="54"/>
      <c r="AD101" s="54"/>
      <c r="AG101" s="54"/>
      <c r="AH101" s="54"/>
      <c r="AI101" s="54"/>
    </row>
    <row r="102" spans="1:35" ht="19.5" customHeight="1" thickBot="1" x14ac:dyDescent="0.3">
      <c r="A102" s="151" t="s">
        <v>805</v>
      </c>
      <c r="B102" s="135"/>
      <c r="C102" s="639"/>
      <c r="D102" s="638"/>
      <c r="E102" s="113"/>
      <c r="F102" s="113"/>
      <c r="G102" s="113"/>
      <c r="H102" s="128"/>
      <c r="I102" s="83"/>
      <c r="J102" s="83"/>
      <c r="K102" s="83"/>
      <c r="L102" s="83"/>
      <c r="M102" s="83"/>
      <c r="N102" s="83"/>
      <c r="O102" s="83"/>
      <c r="P102" s="83"/>
      <c r="Q102" s="107"/>
      <c r="R102" s="499"/>
      <c r="S102" s="54"/>
      <c r="T102" s="54"/>
      <c r="W102" s="54"/>
      <c r="X102" s="54"/>
      <c r="Y102" s="54"/>
      <c r="AB102" s="54"/>
      <c r="AC102" s="54"/>
      <c r="AD102" s="54"/>
      <c r="AG102" s="54"/>
      <c r="AH102" s="54"/>
      <c r="AI102" s="54"/>
    </row>
    <row r="103" spans="1:35" ht="15.75" customHeight="1" x14ac:dyDescent="0.2">
      <c r="A103" s="185"/>
      <c r="B103" s="154"/>
      <c r="C103" s="155"/>
      <c r="D103" s="155" t="s">
        <v>817</v>
      </c>
      <c r="E103" s="560">
        <f>'Variable Management'!B322</f>
        <v>0.69300000000000006</v>
      </c>
      <c r="F103" s="162" t="s">
        <v>116</v>
      </c>
      <c r="G103" s="113"/>
      <c r="H103" s="128"/>
      <c r="I103" s="83"/>
      <c r="J103" s="83"/>
      <c r="K103" s="83"/>
      <c r="L103" s="83"/>
      <c r="M103" s="83"/>
      <c r="N103" s="83"/>
      <c r="O103" s="83"/>
      <c r="P103" s="83"/>
      <c r="Q103" s="107"/>
      <c r="R103" s="499"/>
      <c r="S103" s="54"/>
      <c r="T103" s="54"/>
      <c r="W103" s="54"/>
      <c r="X103" s="54"/>
      <c r="Y103" s="54"/>
      <c r="AB103" s="54"/>
      <c r="AC103" s="54"/>
      <c r="AD103" s="54"/>
      <c r="AG103" s="54"/>
      <c r="AH103" s="54"/>
      <c r="AI103" s="54"/>
    </row>
    <row r="104" spans="1:35" ht="14.45" customHeight="1" thickBot="1" x14ac:dyDescent="0.25">
      <c r="A104" s="159"/>
      <c r="B104" s="160"/>
      <c r="C104" s="160"/>
      <c r="D104" s="265" t="s">
        <v>806</v>
      </c>
      <c r="E104" s="597">
        <f>'Variable Management'!B324</f>
        <v>49.116399999999999</v>
      </c>
      <c r="F104" s="284" t="s">
        <v>226</v>
      </c>
      <c r="G104" s="113"/>
      <c r="H104" s="128"/>
      <c r="I104" s="83"/>
      <c r="J104" s="83"/>
      <c r="K104" s="83"/>
      <c r="L104" s="83"/>
      <c r="M104" s="83"/>
      <c r="N104" s="83"/>
      <c r="O104" s="83"/>
      <c r="P104" s="83"/>
      <c r="Q104" s="107"/>
      <c r="R104" s="499"/>
      <c r="S104" s="54"/>
      <c r="T104" s="54"/>
      <c r="W104" s="54"/>
      <c r="X104" s="54"/>
      <c r="Y104" s="54"/>
      <c r="AB104" s="54"/>
      <c r="AC104" s="54"/>
      <c r="AD104" s="54"/>
      <c r="AG104" s="54"/>
      <c r="AH104" s="54"/>
      <c r="AI104" s="54"/>
    </row>
    <row r="105" spans="1:35" ht="14.25" customHeight="1" x14ac:dyDescent="0.2">
      <c r="A105" s="640"/>
      <c r="B105" s="135"/>
      <c r="C105" s="135"/>
      <c r="D105" s="638"/>
      <c r="E105" s="113"/>
      <c r="F105" s="113"/>
      <c r="G105" s="113"/>
      <c r="H105" s="128"/>
      <c r="I105" s="83"/>
      <c r="J105" s="83"/>
      <c r="K105" s="83"/>
      <c r="L105" s="83"/>
      <c r="M105" s="83"/>
      <c r="N105" s="83"/>
      <c r="O105" s="83"/>
      <c r="P105" s="83"/>
      <c r="Q105" s="107"/>
      <c r="R105" s="499"/>
      <c r="S105" s="54"/>
      <c r="T105" s="54"/>
      <c r="W105" s="54"/>
      <c r="X105" s="54"/>
      <c r="Y105" s="54"/>
      <c r="AB105" s="54"/>
      <c r="AC105" s="54"/>
      <c r="AD105" s="54"/>
      <c r="AG105" s="54"/>
      <c r="AH105" s="54"/>
      <c r="AI105" s="54"/>
    </row>
    <row r="106" spans="1:35" ht="14.45" customHeight="1" x14ac:dyDescent="0.2">
      <c r="A106" s="641"/>
      <c r="B106" s="128"/>
      <c r="C106" s="128"/>
      <c r="D106" s="124"/>
      <c r="E106" s="471"/>
      <c r="F106" s="128"/>
      <c r="G106" s="128"/>
      <c r="H106" s="128"/>
      <c r="I106" s="87"/>
      <c r="J106" s="88"/>
      <c r="K106" s="83"/>
      <c r="L106" s="83"/>
      <c r="M106" s="83"/>
      <c r="N106" s="83"/>
      <c r="O106" s="83"/>
      <c r="P106" s="83"/>
      <c r="Q106" s="107"/>
      <c r="R106" s="499"/>
      <c r="S106" s="54"/>
      <c r="T106" s="54"/>
      <c r="W106" s="54"/>
      <c r="X106" s="54"/>
      <c r="Y106" s="54"/>
      <c r="AB106" s="54"/>
      <c r="AC106" s="54"/>
      <c r="AD106" s="54"/>
      <c r="AG106" s="54"/>
      <c r="AH106" s="54"/>
      <c r="AI106" s="54"/>
    </row>
    <row r="107" spans="1:35" ht="14.45" customHeight="1" x14ac:dyDescent="0.2">
      <c r="A107" s="648"/>
      <c r="B107" s="113"/>
      <c r="C107" s="113"/>
      <c r="D107" s="113"/>
      <c r="E107" s="113"/>
      <c r="F107" s="113"/>
      <c r="G107" s="113"/>
      <c r="H107" s="128"/>
      <c r="I107" s="83"/>
      <c r="J107" s="83"/>
      <c r="K107" s="83"/>
      <c r="L107" s="83"/>
      <c r="M107" s="83"/>
      <c r="N107" s="83"/>
      <c r="O107" s="83"/>
      <c r="P107" s="83"/>
      <c r="Q107" s="107"/>
      <c r="R107" s="499"/>
      <c r="S107" s="54"/>
      <c r="T107" s="54"/>
      <c r="W107" s="54"/>
      <c r="X107" s="54"/>
      <c r="Y107" s="54"/>
      <c r="AB107" s="54"/>
      <c r="AC107" s="54"/>
      <c r="AD107" s="54"/>
      <c r="AG107" s="54"/>
      <c r="AH107" s="54"/>
      <c r="AI107" s="54"/>
    </row>
    <row r="108" spans="1:35" ht="14.45" customHeight="1" x14ac:dyDescent="0.2">
      <c r="A108" s="648"/>
      <c r="B108" s="113"/>
      <c r="C108" s="113"/>
      <c r="D108" s="113"/>
      <c r="E108" s="113"/>
      <c r="F108" s="113"/>
      <c r="G108" s="113"/>
      <c r="H108" s="128"/>
      <c r="I108" s="83"/>
      <c r="J108" s="83"/>
      <c r="K108" s="83"/>
      <c r="L108" s="83"/>
      <c r="M108" s="83"/>
      <c r="N108" s="83"/>
      <c r="O108" s="83"/>
      <c r="P108" s="83"/>
      <c r="Q108" s="107"/>
      <c r="R108" s="499"/>
      <c r="S108" s="54"/>
      <c r="T108" s="54"/>
      <c r="W108" s="54"/>
      <c r="X108" s="54"/>
      <c r="Y108" s="54"/>
      <c r="AB108" s="54"/>
      <c r="AC108" s="54"/>
      <c r="AD108" s="54"/>
      <c r="AG108" s="54"/>
      <c r="AH108" s="54"/>
      <c r="AI108" s="54"/>
    </row>
    <row r="109" spans="1:35" ht="13.5" thickBot="1" x14ac:dyDescent="0.25">
      <c r="A109" s="159"/>
      <c r="B109" s="160"/>
      <c r="C109" s="160"/>
      <c r="D109" s="160"/>
      <c r="E109" s="205"/>
      <c r="F109" s="160"/>
      <c r="G109" s="160"/>
      <c r="H109" s="160"/>
      <c r="I109" s="206"/>
      <c r="J109" s="206"/>
      <c r="K109" s="206"/>
      <c r="L109" s="206"/>
      <c r="M109" s="206"/>
      <c r="N109" s="206"/>
      <c r="O109" s="206"/>
      <c r="P109" s="206"/>
      <c r="Q109" s="207"/>
      <c r="R109" s="499"/>
      <c r="S109" s="54"/>
      <c r="T109" s="54"/>
      <c r="W109" s="54"/>
      <c r="X109" s="54"/>
      <c r="Y109" s="54"/>
      <c r="AB109" s="54"/>
      <c r="AC109" s="54"/>
      <c r="AD109" s="54"/>
      <c r="AG109" s="54"/>
      <c r="AH109" s="54"/>
      <c r="AI109" s="54"/>
    </row>
    <row r="110" spans="1:35" x14ac:dyDescent="0.2">
      <c r="A110" s="496"/>
      <c r="B110" s="497"/>
      <c r="C110" s="498"/>
      <c r="D110" s="498"/>
      <c r="E110" s="498"/>
      <c r="F110" s="498"/>
      <c r="G110" s="498"/>
      <c r="H110" s="498"/>
      <c r="I110" s="498"/>
      <c r="J110" s="498"/>
      <c r="K110" s="498"/>
      <c r="L110" s="498"/>
      <c r="M110" s="498"/>
      <c r="N110" s="498"/>
      <c r="O110" s="498"/>
      <c r="P110" s="498"/>
      <c r="Q110" s="498"/>
      <c r="R110" s="499"/>
      <c r="S110" s="54"/>
      <c r="T110" s="54"/>
      <c r="W110" s="54"/>
      <c r="X110" s="54"/>
      <c r="Y110" s="54"/>
      <c r="AB110" s="54"/>
      <c r="AC110" s="54"/>
      <c r="AD110" s="54"/>
      <c r="AG110" s="54"/>
      <c r="AH110" s="54"/>
      <c r="AI110" s="54"/>
    </row>
    <row r="111" spans="1:35" x14ac:dyDescent="0.2">
      <c r="A111" s="79"/>
      <c r="R111" s="54"/>
      <c r="S111" s="54"/>
      <c r="T111" s="54"/>
      <c r="W111" s="54"/>
      <c r="X111" s="54"/>
      <c r="Y111" s="54"/>
      <c r="AB111" s="54"/>
      <c r="AC111" s="54"/>
      <c r="AD111" s="54"/>
      <c r="AG111" s="54"/>
      <c r="AH111" s="54"/>
      <c r="AI111" s="54"/>
    </row>
    <row r="112" spans="1:35" x14ac:dyDescent="0.2">
      <c r="R112" s="54"/>
      <c r="S112" s="54"/>
      <c r="T112" s="54"/>
      <c r="W112" s="54"/>
      <c r="X112" s="54"/>
      <c r="Y112" s="54"/>
      <c r="AB112" s="54"/>
      <c r="AC112" s="54"/>
      <c r="AD112" s="54"/>
      <c r="AG112" s="54"/>
      <c r="AH112" s="54"/>
      <c r="AI112" s="54"/>
    </row>
    <row r="113" spans="18:35" x14ac:dyDescent="0.2">
      <c r="R113" s="54"/>
      <c r="S113" s="54"/>
      <c r="T113" s="54"/>
      <c r="W113" s="54"/>
      <c r="X113" s="54"/>
      <c r="Y113" s="54"/>
      <c r="AB113" s="54"/>
      <c r="AC113" s="54"/>
      <c r="AD113" s="54"/>
      <c r="AG113" s="54"/>
      <c r="AH113" s="54"/>
      <c r="AI113" s="54"/>
    </row>
    <row r="114" spans="18:35" x14ac:dyDescent="0.2">
      <c r="R114" s="54"/>
      <c r="S114" s="54"/>
      <c r="T114" s="54"/>
      <c r="W114" s="54"/>
      <c r="X114" s="54"/>
      <c r="Y114" s="54"/>
      <c r="AB114" s="54"/>
      <c r="AC114" s="54"/>
      <c r="AD114" s="54"/>
      <c r="AG114" s="54"/>
      <c r="AH114" s="54"/>
      <c r="AI114" s="54"/>
    </row>
    <row r="115" spans="18:35" x14ac:dyDescent="0.2">
      <c r="R115" s="54"/>
      <c r="S115" s="54"/>
      <c r="T115" s="54"/>
      <c r="W115" s="54"/>
      <c r="X115" s="54"/>
      <c r="Y115" s="54"/>
      <c r="AB115" s="54"/>
      <c r="AC115" s="54"/>
      <c r="AD115" s="54"/>
      <c r="AG115" s="54"/>
      <c r="AH115" s="54"/>
      <c r="AI115" s="54"/>
    </row>
    <row r="116" spans="18:35" x14ac:dyDescent="0.2">
      <c r="R116" s="54"/>
      <c r="S116" s="54"/>
      <c r="T116" s="54"/>
      <c r="W116" s="54"/>
      <c r="X116" s="54"/>
      <c r="Y116" s="54"/>
      <c r="AB116" s="54"/>
      <c r="AC116" s="54"/>
      <c r="AD116" s="54"/>
      <c r="AG116" s="54"/>
      <c r="AH116" s="54"/>
      <c r="AI116" s="54"/>
    </row>
    <row r="117" spans="18:35" x14ac:dyDescent="0.2">
      <c r="R117" s="54"/>
      <c r="S117" s="54"/>
      <c r="T117" s="54"/>
      <c r="W117" s="54"/>
      <c r="X117" s="54"/>
      <c r="Y117" s="54"/>
      <c r="AB117" s="54"/>
      <c r="AC117" s="54"/>
      <c r="AD117" s="54"/>
      <c r="AG117" s="54"/>
      <c r="AH117" s="54"/>
      <c r="AI117" s="54"/>
    </row>
    <row r="118" spans="18:35" x14ac:dyDescent="0.2">
      <c r="R118" s="54"/>
      <c r="S118" s="54"/>
      <c r="T118" s="54"/>
      <c r="W118" s="54"/>
      <c r="X118" s="54"/>
      <c r="Y118" s="54"/>
      <c r="AB118" s="54"/>
      <c r="AC118" s="54"/>
      <c r="AD118" s="54"/>
      <c r="AG118" s="54"/>
      <c r="AH118" s="54"/>
      <c r="AI118" s="54"/>
    </row>
    <row r="119" spans="18:35" x14ac:dyDescent="0.2">
      <c r="R119" s="54"/>
      <c r="S119" s="54"/>
      <c r="T119" s="54"/>
      <c r="W119" s="54"/>
      <c r="X119" s="54"/>
      <c r="Y119" s="54"/>
      <c r="AB119" s="54"/>
      <c r="AC119" s="54"/>
      <c r="AD119" s="54"/>
      <c r="AG119" s="54"/>
      <c r="AH119" s="54"/>
      <c r="AI119" s="54"/>
    </row>
    <row r="120" spans="18:35" x14ac:dyDescent="0.2">
      <c r="R120" s="54"/>
      <c r="S120" s="54"/>
      <c r="T120" s="54"/>
      <c r="W120" s="54"/>
      <c r="X120" s="54"/>
      <c r="Y120" s="54"/>
      <c r="AB120" s="54"/>
      <c r="AC120" s="54"/>
      <c r="AD120" s="54"/>
      <c r="AG120" s="54"/>
      <c r="AH120" s="54"/>
      <c r="AI120" s="54"/>
    </row>
    <row r="121" spans="18:35" x14ac:dyDescent="0.2">
      <c r="R121" s="54"/>
      <c r="S121" s="54"/>
      <c r="T121" s="54"/>
      <c r="W121" s="54"/>
      <c r="X121" s="54"/>
      <c r="Y121" s="54"/>
      <c r="AB121" s="54"/>
      <c r="AC121" s="54"/>
      <c r="AD121" s="54"/>
      <c r="AG121" s="54"/>
      <c r="AH121" s="54"/>
      <c r="AI121" s="54"/>
    </row>
    <row r="122" spans="18:35" x14ac:dyDescent="0.2">
      <c r="R122" s="54"/>
      <c r="S122" s="54"/>
      <c r="T122" s="54"/>
      <c r="W122" s="54"/>
      <c r="X122" s="54"/>
      <c r="Y122" s="54"/>
      <c r="AB122" s="54"/>
      <c r="AC122" s="54"/>
      <c r="AD122" s="54"/>
      <c r="AG122" s="54"/>
      <c r="AH122" s="54"/>
      <c r="AI122" s="54"/>
    </row>
    <row r="123" spans="18:35" x14ac:dyDescent="0.2">
      <c r="R123" s="54"/>
      <c r="S123" s="54"/>
      <c r="T123" s="54"/>
      <c r="W123" s="54"/>
      <c r="X123" s="54"/>
      <c r="Y123" s="54"/>
      <c r="AB123" s="54"/>
      <c r="AC123" s="54"/>
      <c r="AD123" s="54"/>
      <c r="AG123" s="54"/>
      <c r="AH123" s="54"/>
      <c r="AI123" s="54"/>
    </row>
    <row r="124" spans="18:35" x14ac:dyDescent="0.2">
      <c r="R124" s="54"/>
      <c r="S124" s="54"/>
      <c r="T124" s="54"/>
      <c r="W124" s="54"/>
      <c r="X124" s="54"/>
      <c r="Y124" s="54"/>
      <c r="AB124" s="54"/>
      <c r="AC124" s="54"/>
      <c r="AD124" s="54"/>
      <c r="AG124" s="54"/>
      <c r="AH124" s="54"/>
      <c r="AI124" s="54"/>
    </row>
    <row r="125" spans="18:35" x14ac:dyDescent="0.2">
      <c r="R125" s="54"/>
      <c r="S125" s="54"/>
      <c r="T125" s="54"/>
      <c r="W125" s="54"/>
      <c r="X125" s="54"/>
      <c r="Y125" s="54"/>
      <c r="AB125" s="54"/>
      <c r="AC125" s="54"/>
      <c r="AD125" s="54"/>
      <c r="AG125" s="54"/>
      <c r="AH125" s="54"/>
      <c r="AI125" s="54"/>
    </row>
    <row r="126" spans="18:35" x14ac:dyDescent="0.2">
      <c r="R126" s="54"/>
      <c r="S126" s="54"/>
      <c r="T126" s="54"/>
      <c r="W126" s="54"/>
      <c r="X126" s="54"/>
      <c r="Y126" s="54"/>
      <c r="AB126" s="54"/>
      <c r="AC126" s="54"/>
      <c r="AD126" s="54"/>
      <c r="AG126" s="54"/>
      <c r="AH126" s="54"/>
      <c r="AI126" s="54"/>
    </row>
    <row r="127" spans="18:35" x14ac:dyDescent="0.2">
      <c r="R127" s="54"/>
      <c r="S127" s="54"/>
      <c r="T127" s="54"/>
      <c r="W127" s="54"/>
      <c r="X127" s="54"/>
      <c r="Y127" s="54"/>
      <c r="AB127" s="54"/>
      <c r="AC127" s="54"/>
      <c r="AD127" s="54"/>
      <c r="AG127" s="54"/>
      <c r="AH127" s="54"/>
      <c r="AI127" s="54"/>
    </row>
    <row r="128" spans="18:35" x14ac:dyDescent="0.2">
      <c r="R128" s="54"/>
      <c r="S128" s="54"/>
      <c r="T128" s="54"/>
      <c r="W128" s="54"/>
      <c r="X128" s="54"/>
      <c r="Y128" s="54"/>
      <c r="AB128" s="54"/>
      <c r="AC128" s="54"/>
      <c r="AD128" s="54"/>
      <c r="AG128" s="54"/>
      <c r="AH128" s="54"/>
      <c r="AI128" s="54"/>
    </row>
    <row r="129" spans="18:35" x14ac:dyDescent="0.2">
      <c r="R129" s="54"/>
      <c r="S129" s="54"/>
      <c r="T129" s="54"/>
      <c r="W129" s="54"/>
      <c r="X129" s="54"/>
      <c r="Y129" s="54"/>
      <c r="AB129" s="54"/>
      <c r="AC129" s="54"/>
      <c r="AD129" s="54"/>
      <c r="AG129" s="54"/>
      <c r="AH129" s="54"/>
      <c r="AI129" s="54"/>
    </row>
    <row r="130" spans="18:35" x14ac:dyDescent="0.2">
      <c r="R130" s="54"/>
      <c r="S130" s="54"/>
      <c r="T130" s="54"/>
      <c r="W130" s="54"/>
      <c r="X130" s="54"/>
      <c r="Y130" s="54"/>
      <c r="AB130" s="54"/>
      <c r="AC130" s="54"/>
      <c r="AD130" s="54"/>
      <c r="AG130" s="54"/>
      <c r="AH130" s="54"/>
      <c r="AI130" s="54"/>
    </row>
    <row r="131" spans="18:35" x14ac:dyDescent="0.2">
      <c r="R131" s="54"/>
      <c r="S131" s="54"/>
      <c r="T131" s="54"/>
      <c r="W131" s="54"/>
      <c r="X131" s="54"/>
      <c r="Y131" s="54"/>
      <c r="AB131" s="54"/>
      <c r="AC131" s="54"/>
      <c r="AD131" s="54"/>
      <c r="AG131" s="54"/>
      <c r="AH131" s="54"/>
      <c r="AI131" s="54"/>
    </row>
    <row r="132" spans="18:35" x14ac:dyDescent="0.2">
      <c r="R132" s="54"/>
      <c r="S132" s="54"/>
      <c r="T132" s="54"/>
      <c r="W132" s="54"/>
      <c r="X132" s="54"/>
      <c r="Y132" s="54"/>
      <c r="AB132" s="54"/>
      <c r="AC132" s="54"/>
      <c r="AD132" s="54"/>
      <c r="AG132" s="54"/>
      <c r="AH132" s="54"/>
      <c r="AI132" s="54"/>
    </row>
    <row r="133" spans="18:35" x14ac:dyDescent="0.2">
      <c r="R133" s="54"/>
      <c r="S133" s="54"/>
      <c r="T133" s="54"/>
      <c r="W133" s="54"/>
      <c r="X133" s="54"/>
      <c r="Y133" s="54"/>
      <c r="AB133" s="54"/>
      <c r="AC133" s="54"/>
      <c r="AD133" s="54"/>
      <c r="AG133" s="54"/>
      <c r="AH133" s="54"/>
      <c r="AI133" s="54"/>
    </row>
    <row r="134" spans="18:35" x14ac:dyDescent="0.2">
      <c r="R134" s="54"/>
      <c r="S134" s="54"/>
      <c r="T134" s="54"/>
      <c r="W134" s="54"/>
      <c r="X134" s="54"/>
      <c r="Y134" s="54"/>
      <c r="AB134" s="54"/>
      <c r="AC134" s="54"/>
      <c r="AD134" s="54"/>
      <c r="AG134" s="54"/>
      <c r="AH134" s="54"/>
      <c r="AI134" s="54"/>
    </row>
    <row r="135" spans="18:35" x14ac:dyDescent="0.2">
      <c r="R135" s="54"/>
      <c r="S135" s="54"/>
      <c r="T135" s="54"/>
      <c r="W135" s="54"/>
      <c r="X135" s="54"/>
      <c r="Y135" s="54"/>
      <c r="AB135" s="54"/>
      <c r="AC135" s="54"/>
      <c r="AD135" s="54"/>
      <c r="AG135" s="54"/>
      <c r="AH135" s="54"/>
      <c r="AI135" s="54"/>
    </row>
    <row r="136" spans="18:35" x14ac:dyDescent="0.2">
      <c r="R136" s="54"/>
      <c r="S136" s="54"/>
      <c r="T136" s="54"/>
      <c r="W136" s="54"/>
      <c r="X136" s="54"/>
      <c r="Y136" s="54"/>
      <c r="AB136" s="54"/>
      <c r="AC136" s="54"/>
      <c r="AD136" s="54"/>
      <c r="AG136" s="54"/>
      <c r="AH136" s="54"/>
      <c r="AI136" s="54"/>
    </row>
    <row r="137" spans="18:35" x14ac:dyDescent="0.2">
      <c r="R137" s="54"/>
      <c r="S137" s="54"/>
      <c r="T137" s="54"/>
      <c r="W137" s="54"/>
      <c r="X137" s="54"/>
      <c r="Y137" s="54"/>
      <c r="AB137" s="54"/>
      <c r="AC137" s="54"/>
      <c r="AD137" s="54"/>
      <c r="AG137" s="54"/>
      <c r="AH137" s="54"/>
      <c r="AI137" s="54"/>
    </row>
    <row r="138" spans="18:35" x14ac:dyDescent="0.2">
      <c r="R138" s="54"/>
      <c r="S138" s="54"/>
      <c r="T138" s="54"/>
      <c r="W138" s="54"/>
      <c r="X138" s="54"/>
      <c r="Y138" s="54"/>
      <c r="AB138" s="54"/>
      <c r="AC138" s="54"/>
      <c r="AD138" s="54"/>
      <c r="AG138" s="54"/>
      <c r="AH138" s="54"/>
      <c r="AI138" s="54"/>
    </row>
    <row r="139" spans="18:35" x14ac:dyDescent="0.2">
      <c r="R139" s="54"/>
      <c r="S139" s="54"/>
      <c r="T139" s="54"/>
      <c r="W139" s="54"/>
      <c r="X139" s="54"/>
      <c r="Y139" s="54"/>
      <c r="AB139" s="54"/>
      <c r="AC139" s="54"/>
      <c r="AD139" s="54"/>
      <c r="AG139" s="54"/>
      <c r="AH139" s="54"/>
      <c r="AI139" s="54"/>
    </row>
    <row r="140" spans="18:35" x14ac:dyDescent="0.2">
      <c r="R140" s="54"/>
      <c r="S140" s="54"/>
      <c r="T140" s="54"/>
      <c r="W140" s="54"/>
      <c r="X140" s="54"/>
      <c r="Y140" s="54"/>
      <c r="AB140" s="54"/>
      <c r="AC140" s="54"/>
      <c r="AD140" s="54"/>
      <c r="AG140" s="54"/>
      <c r="AH140" s="54"/>
      <c r="AI140" s="54"/>
    </row>
    <row r="141" spans="18:35" x14ac:dyDescent="0.2">
      <c r="R141" s="54"/>
      <c r="S141" s="54"/>
      <c r="T141" s="54"/>
      <c r="W141" s="54"/>
      <c r="X141" s="54"/>
      <c r="Y141" s="54"/>
      <c r="AB141" s="54"/>
      <c r="AC141" s="54"/>
      <c r="AD141" s="54"/>
      <c r="AG141" s="54"/>
      <c r="AH141" s="54"/>
      <c r="AI141" s="54"/>
    </row>
    <row r="142" spans="18:35" x14ac:dyDescent="0.2">
      <c r="R142" s="54"/>
      <c r="S142" s="54"/>
      <c r="T142" s="54"/>
      <c r="W142" s="54"/>
      <c r="X142" s="54"/>
      <c r="Y142" s="54"/>
      <c r="AB142" s="54"/>
      <c r="AC142" s="54"/>
      <c r="AD142" s="54"/>
      <c r="AG142" s="54"/>
      <c r="AH142" s="54"/>
      <c r="AI142" s="54"/>
    </row>
    <row r="143" spans="18:35" x14ac:dyDescent="0.2">
      <c r="R143" s="54"/>
      <c r="S143" s="54"/>
      <c r="T143" s="54"/>
      <c r="W143" s="54"/>
      <c r="X143" s="54"/>
      <c r="Y143" s="54"/>
      <c r="AB143" s="54"/>
      <c r="AC143" s="54"/>
      <c r="AD143" s="54"/>
      <c r="AG143" s="54"/>
      <c r="AH143" s="54"/>
      <c r="AI143" s="54"/>
    </row>
    <row r="144" spans="18:35" x14ac:dyDescent="0.2">
      <c r="R144" s="54"/>
      <c r="S144" s="54"/>
      <c r="T144" s="54"/>
      <c r="W144" s="54"/>
      <c r="X144" s="54"/>
      <c r="Y144" s="54"/>
      <c r="AB144" s="54"/>
      <c r="AC144" s="54"/>
      <c r="AD144" s="54"/>
      <c r="AG144" s="54"/>
      <c r="AH144" s="54"/>
      <c r="AI144" s="54"/>
    </row>
    <row r="145" spans="18:35" x14ac:dyDescent="0.2">
      <c r="R145" s="54"/>
      <c r="S145" s="54"/>
      <c r="T145" s="54"/>
      <c r="W145" s="54"/>
      <c r="X145" s="54"/>
      <c r="Y145" s="54"/>
      <c r="AB145" s="54"/>
      <c r="AC145" s="54"/>
      <c r="AD145" s="54"/>
      <c r="AG145" s="54"/>
      <c r="AH145" s="54"/>
      <c r="AI145" s="54"/>
    </row>
    <row r="146" spans="18:35" x14ac:dyDescent="0.2">
      <c r="R146" s="54"/>
      <c r="S146" s="54"/>
      <c r="T146" s="54"/>
      <c r="W146" s="54"/>
      <c r="X146" s="54"/>
      <c r="Y146" s="54"/>
      <c r="AB146" s="54"/>
      <c r="AC146" s="54"/>
      <c r="AD146" s="54"/>
      <c r="AG146" s="54"/>
      <c r="AH146" s="54"/>
      <c r="AI146" s="54"/>
    </row>
    <row r="147" spans="18:35" x14ac:dyDescent="0.2">
      <c r="R147" s="54"/>
      <c r="S147" s="54"/>
      <c r="T147" s="54"/>
      <c r="W147" s="54"/>
      <c r="X147" s="54"/>
      <c r="Y147" s="54"/>
      <c r="AB147" s="54"/>
      <c r="AC147" s="54"/>
      <c r="AD147" s="54"/>
      <c r="AG147" s="54"/>
      <c r="AH147" s="54"/>
      <c r="AI147" s="54"/>
    </row>
    <row r="148" spans="18:35" x14ac:dyDescent="0.2">
      <c r="R148" s="54"/>
      <c r="S148" s="54"/>
      <c r="T148" s="54"/>
      <c r="W148" s="54"/>
      <c r="X148" s="54"/>
      <c r="Y148" s="54"/>
      <c r="AB148" s="54"/>
      <c r="AC148" s="54"/>
      <c r="AD148" s="54"/>
      <c r="AG148" s="54"/>
      <c r="AH148" s="54"/>
      <c r="AI148" s="54"/>
    </row>
    <row r="149" spans="18:35" x14ac:dyDescent="0.2">
      <c r="R149" s="54"/>
      <c r="S149" s="54"/>
      <c r="T149" s="54"/>
      <c r="W149" s="54"/>
      <c r="X149" s="54"/>
      <c r="Y149" s="54"/>
      <c r="AB149" s="54"/>
      <c r="AC149" s="54"/>
      <c r="AD149" s="54"/>
      <c r="AG149" s="54"/>
      <c r="AH149" s="54"/>
      <c r="AI149" s="54"/>
    </row>
    <row r="150" spans="18:35" x14ac:dyDescent="0.2">
      <c r="R150" s="54"/>
      <c r="S150" s="54"/>
      <c r="T150" s="54"/>
      <c r="W150" s="54"/>
      <c r="X150" s="54"/>
      <c r="Y150" s="54"/>
      <c r="AB150" s="54"/>
      <c r="AC150" s="54"/>
      <c r="AD150" s="54"/>
      <c r="AG150" s="54"/>
      <c r="AH150" s="54"/>
      <c r="AI150" s="54"/>
    </row>
    <row r="151" spans="18:35" x14ac:dyDescent="0.2">
      <c r="R151" s="54"/>
      <c r="S151" s="54"/>
      <c r="T151" s="54"/>
      <c r="W151" s="54"/>
      <c r="X151" s="54"/>
      <c r="Y151" s="54"/>
      <c r="AB151" s="54"/>
      <c r="AC151" s="54"/>
      <c r="AD151" s="54"/>
      <c r="AG151" s="54"/>
      <c r="AH151" s="54"/>
      <c r="AI151" s="54"/>
    </row>
    <row r="152" spans="18:35" x14ac:dyDescent="0.2">
      <c r="R152" s="54"/>
      <c r="S152" s="54"/>
      <c r="T152" s="54"/>
      <c r="W152" s="54"/>
      <c r="X152" s="54"/>
      <c r="Y152" s="54"/>
      <c r="AB152" s="54"/>
      <c r="AC152" s="54"/>
      <c r="AD152" s="54"/>
      <c r="AG152" s="54"/>
      <c r="AH152" s="54"/>
      <c r="AI152" s="54"/>
    </row>
    <row r="153" spans="18:35" x14ac:dyDescent="0.2">
      <c r="R153" s="54"/>
      <c r="S153" s="54"/>
      <c r="T153" s="54"/>
      <c r="W153" s="54"/>
      <c r="X153" s="54"/>
      <c r="Y153" s="54"/>
      <c r="AB153" s="54"/>
      <c r="AC153" s="54"/>
      <c r="AD153" s="54"/>
      <c r="AG153" s="54"/>
      <c r="AH153" s="54"/>
      <c r="AI153" s="54"/>
    </row>
    <row r="154" spans="18:35" x14ac:dyDescent="0.2">
      <c r="R154" s="54"/>
      <c r="S154" s="54"/>
      <c r="T154" s="54"/>
      <c r="W154" s="54"/>
      <c r="X154" s="54"/>
      <c r="Y154" s="54"/>
      <c r="AB154" s="54"/>
      <c r="AC154" s="54"/>
      <c r="AD154" s="54"/>
      <c r="AG154" s="54"/>
      <c r="AH154" s="54"/>
      <c r="AI154" s="54"/>
    </row>
    <row r="155" spans="18:35" x14ac:dyDescent="0.2">
      <c r="R155" s="54"/>
      <c r="S155" s="54"/>
      <c r="T155" s="54"/>
      <c r="W155" s="54"/>
      <c r="X155" s="54"/>
      <c r="Y155" s="54"/>
      <c r="AB155" s="54"/>
      <c r="AC155" s="54"/>
      <c r="AD155" s="54"/>
      <c r="AG155" s="54"/>
      <c r="AH155" s="54"/>
      <c r="AI155" s="54"/>
    </row>
    <row r="156" spans="18:35" x14ac:dyDescent="0.2">
      <c r="R156" s="54"/>
      <c r="S156" s="54"/>
      <c r="T156" s="54"/>
      <c r="W156" s="54"/>
      <c r="X156" s="54"/>
      <c r="Y156" s="54"/>
      <c r="AB156" s="54"/>
      <c r="AC156" s="54"/>
      <c r="AD156" s="54"/>
      <c r="AG156" s="54"/>
      <c r="AH156" s="54"/>
      <c r="AI156" s="54"/>
    </row>
    <row r="157" spans="18:35" x14ac:dyDescent="0.2">
      <c r="R157" s="54"/>
      <c r="S157" s="54"/>
      <c r="T157" s="54"/>
      <c r="W157" s="54"/>
      <c r="X157" s="54"/>
      <c r="Y157" s="54"/>
      <c r="AB157" s="54"/>
      <c r="AC157" s="54"/>
      <c r="AD157" s="54"/>
      <c r="AG157" s="54"/>
      <c r="AH157" s="54"/>
      <c r="AI157" s="54"/>
    </row>
    <row r="158" spans="18:35" x14ac:dyDescent="0.2">
      <c r="R158" s="54"/>
      <c r="S158" s="54"/>
      <c r="T158" s="54"/>
      <c r="W158" s="54"/>
      <c r="X158" s="54"/>
      <c r="Y158" s="54"/>
      <c r="AB158" s="54"/>
      <c r="AC158" s="54"/>
      <c r="AD158" s="54"/>
      <c r="AG158" s="54"/>
      <c r="AH158" s="54"/>
      <c r="AI158" s="54"/>
    </row>
    <row r="159" spans="18:35" x14ac:dyDescent="0.2">
      <c r="R159" s="54"/>
      <c r="S159" s="54"/>
      <c r="T159" s="54"/>
      <c r="W159" s="54"/>
      <c r="X159" s="54"/>
      <c r="Y159" s="54"/>
      <c r="AB159" s="54"/>
      <c r="AC159" s="54"/>
      <c r="AD159" s="54"/>
      <c r="AG159" s="54"/>
      <c r="AH159" s="54"/>
      <c r="AI159" s="54"/>
    </row>
    <row r="160" spans="18:35" x14ac:dyDescent="0.2">
      <c r="R160" s="54"/>
      <c r="S160" s="54"/>
      <c r="T160" s="54"/>
      <c r="W160" s="54"/>
      <c r="X160" s="54"/>
      <c r="Y160" s="54"/>
      <c r="AB160" s="54"/>
      <c r="AC160" s="54"/>
      <c r="AD160" s="54"/>
      <c r="AG160" s="54"/>
      <c r="AH160" s="54"/>
      <c r="AI160" s="54"/>
    </row>
    <row r="161" spans="18:35" x14ac:dyDescent="0.2">
      <c r="R161" s="54"/>
      <c r="S161" s="54"/>
      <c r="T161" s="54"/>
      <c r="W161" s="54"/>
      <c r="X161" s="54"/>
      <c r="Y161" s="54"/>
      <c r="AB161" s="54"/>
      <c r="AC161" s="54"/>
      <c r="AD161" s="54"/>
      <c r="AG161" s="54"/>
      <c r="AH161" s="54"/>
      <c r="AI161" s="54"/>
    </row>
    <row r="162" spans="18:35" x14ac:dyDescent="0.2">
      <c r="R162" s="54"/>
      <c r="S162" s="54"/>
      <c r="T162" s="54"/>
      <c r="W162" s="54"/>
      <c r="X162" s="54"/>
      <c r="Y162" s="54"/>
      <c r="AB162" s="54"/>
      <c r="AC162" s="54"/>
      <c r="AD162" s="54"/>
      <c r="AG162" s="54"/>
      <c r="AH162" s="54"/>
      <c r="AI162" s="54"/>
    </row>
    <row r="163" spans="18:35" x14ac:dyDescent="0.2">
      <c r="R163" s="54"/>
      <c r="S163" s="54"/>
      <c r="T163" s="54"/>
      <c r="W163" s="54"/>
      <c r="X163" s="54"/>
      <c r="Y163" s="54"/>
      <c r="AB163" s="54"/>
      <c r="AC163" s="54"/>
      <c r="AD163" s="54"/>
      <c r="AG163" s="54"/>
      <c r="AH163" s="54"/>
      <c r="AI163" s="54"/>
    </row>
    <row r="164" spans="18:35" x14ac:dyDescent="0.2">
      <c r="R164" s="54"/>
      <c r="S164" s="54"/>
      <c r="T164" s="54"/>
      <c r="W164" s="54"/>
      <c r="X164" s="54"/>
      <c r="Y164" s="54"/>
      <c r="AB164" s="54"/>
      <c r="AC164" s="54"/>
      <c r="AD164" s="54"/>
      <c r="AG164" s="54"/>
      <c r="AH164" s="54"/>
      <c r="AI164" s="54"/>
    </row>
    <row r="165" spans="18:35" x14ac:dyDescent="0.2">
      <c r="R165" s="54"/>
      <c r="S165" s="54"/>
      <c r="T165" s="54"/>
      <c r="W165" s="54"/>
      <c r="X165" s="54"/>
      <c r="Y165" s="54"/>
      <c r="AB165" s="54"/>
      <c r="AC165" s="54"/>
      <c r="AD165" s="54"/>
      <c r="AG165" s="54"/>
      <c r="AH165" s="54"/>
      <c r="AI165" s="54"/>
    </row>
    <row r="166" spans="18:35" x14ac:dyDescent="0.2">
      <c r="R166" s="54"/>
      <c r="S166" s="54"/>
      <c r="T166" s="54"/>
      <c r="W166" s="54"/>
      <c r="X166" s="54"/>
      <c r="Y166" s="54"/>
      <c r="AB166" s="54"/>
      <c r="AC166" s="54"/>
      <c r="AD166" s="54"/>
      <c r="AG166" s="54"/>
      <c r="AH166" s="54"/>
      <c r="AI166" s="54"/>
    </row>
    <row r="167" spans="18:35" x14ac:dyDescent="0.2">
      <c r="R167" s="54"/>
      <c r="S167" s="54"/>
      <c r="T167" s="54"/>
      <c r="W167" s="54"/>
      <c r="X167" s="54"/>
      <c r="Y167" s="54"/>
      <c r="AB167" s="54"/>
      <c r="AC167" s="54"/>
      <c r="AD167" s="54"/>
      <c r="AG167" s="54"/>
      <c r="AH167" s="54"/>
      <c r="AI167" s="54"/>
    </row>
    <row r="168" spans="18:35" x14ac:dyDescent="0.2">
      <c r="R168" s="54"/>
      <c r="S168" s="54"/>
      <c r="T168" s="54"/>
      <c r="W168" s="54"/>
      <c r="X168" s="54"/>
      <c r="Y168" s="54"/>
      <c r="AB168" s="54"/>
      <c r="AC168" s="54"/>
      <c r="AD168" s="54"/>
      <c r="AG168" s="54"/>
      <c r="AH168" s="54"/>
      <c r="AI168" s="54"/>
    </row>
    <row r="169" spans="18:35" x14ac:dyDescent="0.2">
      <c r="R169" s="54"/>
      <c r="S169" s="54"/>
      <c r="T169" s="54"/>
      <c r="W169" s="54"/>
      <c r="X169" s="54"/>
      <c r="Y169" s="54"/>
      <c r="AB169" s="54"/>
      <c r="AC169" s="54"/>
      <c r="AD169" s="54"/>
      <c r="AG169" s="54"/>
      <c r="AH169" s="54"/>
      <c r="AI169" s="54"/>
    </row>
    <row r="170" spans="18:35" x14ac:dyDescent="0.2">
      <c r="R170" s="54"/>
      <c r="S170" s="54"/>
      <c r="T170" s="54"/>
      <c r="W170" s="54"/>
      <c r="X170" s="54"/>
      <c r="Y170" s="54"/>
      <c r="AB170" s="54"/>
      <c r="AC170" s="54"/>
      <c r="AD170" s="54"/>
      <c r="AG170" s="54"/>
      <c r="AH170" s="54"/>
      <c r="AI170" s="54"/>
    </row>
    <row r="171" spans="18:35" x14ac:dyDescent="0.2">
      <c r="R171" s="54"/>
      <c r="S171" s="54"/>
      <c r="T171" s="54"/>
      <c r="W171" s="54"/>
      <c r="X171" s="54"/>
      <c r="Y171" s="54"/>
      <c r="AB171" s="54"/>
      <c r="AC171" s="54"/>
      <c r="AD171" s="54"/>
      <c r="AG171" s="54"/>
      <c r="AH171" s="54"/>
      <c r="AI171" s="54"/>
    </row>
    <row r="172" spans="18:35" x14ac:dyDescent="0.2">
      <c r="R172" s="54"/>
      <c r="S172" s="54"/>
      <c r="T172" s="54"/>
      <c r="W172" s="54"/>
      <c r="X172" s="54"/>
      <c r="Y172" s="54"/>
      <c r="AB172" s="54"/>
      <c r="AC172" s="54"/>
      <c r="AD172" s="54"/>
      <c r="AG172" s="54"/>
      <c r="AH172" s="54"/>
      <c r="AI172" s="54"/>
    </row>
    <row r="173" spans="18:35" x14ac:dyDescent="0.2">
      <c r="R173" s="54"/>
      <c r="S173" s="54"/>
      <c r="T173" s="54"/>
      <c r="W173" s="54"/>
      <c r="X173" s="54"/>
      <c r="Y173" s="54"/>
      <c r="AB173" s="54"/>
      <c r="AC173" s="54"/>
      <c r="AD173" s="54"/>
      <c r="AG173" s="54"/>
      <c r="AH173" s="54"/>
      <c r="AI173" s="54"/>
    </row>
    <row r="174" spans="18:35" x14ac:dyDescent="0.2">
      <c r="R174" s="54"/>
      <c r="S174" s="54"/>
      <c r="T174" s="54"/>
      <c r="W174" s="54"/>
      <c r="X174" s="54"/>
      <c r="Y174" s="54"/>
      <c r="AB174" s="54"/>
      <c r="AC174" s="54"/>
      <c r="AD174" s="54"/>
      <c r="AG174" s="54"/>
      <c r="AH174" s="54"/>
      <c r="AI174" s="54"/>
    </row>
    <row r="175" spans="18:35" x14ac:dyDescent="0.2">
      <c r="R175" s="54"/>
      <c r="S175" s="54"/>
      <c r="T175" s="54"/>
      <c r="W175" s="54"/>
      <c r="X175" s="54"/>
      <c r="Y175" s="54"/>
      <c r="AB175" s="54"/>
      <c r="AC175" s="54"/>
      <c r="AD175" s="54"/>
      <c r="AG175" s="54"/>
      <c r="AH175" s="54"/>
      <c r="AI175" s="54"/>
    </row>
    <row r="176" spans="18:35" x14ac:dyDescent="0.2">
      <c r="R176" s="54"/>
      <c r="S176" s="54"/>
      <c r="T176" s="54"/>
      <c r="W176" s="54"/>
      <c r="X176" s="54"/>
      <c r="Y176" s="54"/>
      <c r="AB176" s="54"/>
      <c r="AC176" s="54"/>
      <c r="AD176" s="54"/>
      <c r="AG176" s="54"/>
      <c r="AH176" s="54"/>
      <c r="AI176" s="54"/>
    </row>
    <row r="177" spans="18:35" x14ac:dyDescent="0.2">
      <c r="R177" s="54"/>
      <c r="S177" s="54"/>
      <c r="T177" s="54"/>
      <c r="W177" s="54"/>
      <c r="X177" s="54"/>
      <c r="Y177" s="54"/>
      <c r="AB177" s="54"/>
      <c r="AC177" s="54"/>
      <c r="AD177" s="54"/>
      <c r="AG177" s="54"/>
      <c r="AH177" s="54"/>
      <c r="AI177" s="54"/>
    </row>
    <row r="178" spans="18:35" x14ac:dyDescent="0.2">
      <c r="R178" s="54"/>
      <c r="S178" s="54"/>
      <c r="T178" s="54"/>
      <c r="W178" s="54"/>
      <c r="X178" s="54"/>
      <c r="Y178" s="54"/>
      <c r="AB178" s="54"/>
      <c r="AC178" s="54"/>
      <c r="AD178" s="54"/>
      <c r="AG178" s="54"/>
      <c r="AH178" s="54"/>
      <c r="AI178" s="54"/>
    </row>
    <row r="179" spans="18:35" x14ac:dyDescent="0.2">
      <c r="R179" s="54"/>
      <c r="S179" s="54"/>
      <c r="T179" s="54"/>
      <c r="W179" s="54"/>
      <c r="X179" s="54"/>
      <c r="Y179" s="54"/>
      <c r="AB179" s="54"/>
      <c r="AC179" s="54"/>
      <c r="AD179" s="54"/>
      <c r="AG179" s="54"/>
      <c r="AH179" s="54"/>
      <c r="AI179" s="54"/>
    </row>
    <row r="180" spans="18:35" x14ac:dyDescent="0.2">
      <c r="R180" s="54"/>
      <c r="S180" s="54"/>
      <c r="T180" s="54"/>
      <c r="W180" s="54"/>
      <c r="X180" s="54"/>
      <c r="Y180" s="54"/>
      <c r="AB180" s="54"/>
      <c r="AC180" s="54"/>
      <c r="AD180" s="54"/>
      <c r="AG180" s="54"/>
      <c r="AH180" s="54"/>
      <c r="AI180" s="54"/>
    </row>
    <row r="181" spans="18:35" x14ac:dyDescent="0.2">
      <c r="R181" s="54"/>
      <c r="S181" s="54"/>
      <c r="T181" s="54"/>
      <c r="W181" s="54"/>
      <c r="X181" s="54"/>
      <c r="Y181" s="54"/>
      <c r="AB181" s="54"/>
      <c r="AC181" s="54"/>
      <c r="AD181" s="54"/>
      <c r="AG181" s="54"/>
      <c r="AH181" s="54"/>
      <c r="AI181" s="54"/>
    </row>
    <row r="182" spans="18:35" x14ac:dyDescent="0.2">
      <c r="R182" s="54"/>
      <c r="S182" s="54"/>
      <c r="T182" s="54"/>
      <c r="W182" s="54"/>
      <c r="X182" s="54"/>
      <c r="Y182" s="54"/>
      <c r="AB182" s="54"/>
      <c r="AC182" s="54"/>
      <c r="AD182" s="54"/>
      <c r="AG182" s="54"/>
      <c r="AH182" s="54"/>
      <c r="AI182" s="54"/>
    </row>
    <row r="183" spans="18:35" x14ac:dyDescent="0.2">
      <c r="R183" s="54"/>
      <c r="S183" s="54"/>
      <c r="T183" s="54"/>
      <c r="W183" s="54"/>
      <c r="X183" s="54"/>
      <c r="Y183" s="54"/>
      <c r="AB183" s="54"/>
      <c r="AC183" s="54"/>
      <c r="AD183" s="54"/>
      <c r="AG183" s="54"/>
      <c r="AH183" s="54"/>
      <c r="AI183" s="54"/>
    </row>
    <row r="184" spans="18:35" x14ac:dyDescent="0.2">
      <c r="R184" s="54"/>
      <c r="S184" s="54"/>
      <c r="T184" s="54"/>
      <c r="W184" s="54"/>
      <c r="X184" s="54"/>
      <c r="Y184" s="54"/>
      <c r="AB184" s="54"/>
      <c r="AC184" s="54"/>
      <c r="AD184" s="54"/>
      <c r="AG184" s="54"/>
      <c r="AH184" s="54"/>
      <c r="AI184" s="54"/>
    </row>
    <row r="185" spans="18:35" x14ac:dyDescent="0.2">
      <c r="R185" s="54"/>
      <c r="S185" s="54"/>
      <c r="T185" s="54"/>
      <c r="W185" s="54"/>
      <c r="X185" s="54"/>
      <c r="Y185" s="54"/>
      <c r="AB185" s="54"/>
      <c r="AC185" s="54"/>
      <c r="AD185" s="54"/>
      <c r="AG185" s="54"/>
      <c r="AH185" s="54"/>
      <c r="AI185" s="54"/>
    </row>
    <row r="186" spans="18:35" x14ac:dyDescent="0.2">
      <c r="R186" s="54"/>
      <c r="S186" s="54"/>
      <c r="T186" s="54"/>
      <c r="W186" s="54"/>
      <c r="X186" s="54"/>
      <c r="Y186" s="54"/>
      <c r="AB186" s="54"/>
      <c r="AC186" s="54"/>
      <c r="AD186" s="54"/>
      <c r="AG186" s="54"/>
      <c r="AH186" s="54"/>
      <c r="AI186" s="54"/>
    </row>
    <row r="187" spans="18:35" x14ac:dyDescent="0.2">
      <c r="R187" s="54"/>
      <c r="S187" s="54"/>
      <c r="T187" s="54"/>
      <c r="W187" s="54"/>
      <c r="X187" s="54"/>
      <c r="Y187" s="54"/>
      <c r="AB187" s="54"/>
      <c r="AC187" s="54"/>
      <c r="AD187" s="54"/>
      <c r="AG187" s="54"/>
      <c r="AH187" s="54"/>
      <c r="AI187" s="54"/>
    </row>
    <row r="188" spans="18:35" x14ac:dyDescent="0.2">
      <c r="R188" s="54"/>
      <c r="S188" s="54"/>
      <c r="T188" s="54"/>
      <c r="W188" s="54"/>
      <c r="X188" s="54"/>
      <c r="Y188" s="54"/>
      <c r="AB188" s="54"/>
      <c r="AC188" s="54"/>
      <c r="AD188" s="54"/>
      <c r="AG188" s="54"/>
      <c r="AH188" s="54"/>
      <c r="AI188" s="54"/>
    </row>
    <row r="189" spans="18:35" x14ac:dyDescent="0.2">
      <c r="R189" s="54"/>
      <c r="S189" s="54"/>
      <c r="T189" s="54"/>
      <c r="W189" s="54"/>
      <c r="X189" s="54"/>
      <c r="Y189" s="54"/>
      <c r="AB189" s="54"/>
      <c r="AC189" s="54"/>
      <c r="AD189" s="54"/>
      <c r="AG189" s="54"/>
      <c r="AH189" s="54"/>
      <c r="AI189" s="54"/>
    </row>
    <row r="190" spans="18:35" x14ac:dyDescent="0.2">
      <c r="R190" s="54"/>
      <c r="S190" s="54"/>
      <c r="T190" s="54"/>
      <c r="W190" s="54"/>
      <c r="X190" s="54"/>
      <c r="Y190" s="54"/>
      <c r="AB190" s="54"/>
      <c r="AC190" s="54"/>
      <c r="AD190" s="54"/>
      <c r="AG190" s="54"/>
      <c r="AH190" s="54"/>
      <c r="AI190" s="54"/>
    </row>
    <row r="191" spans="18:35" x14ac:dyDescent="0.2">
      <c r="R191" s="54"/>
      <c r="S191" s="54"/>
      <c r="T191" s="54"/>
      <c r="W191" s="54"/>
      <c r="X191" s="54"/>
      <c r="Y191" s="54"/>
      <c r="AB191" s="54"/>
      <c r="AC191" s="54"/>
      <c r="AD191" s="54"/>
      <c r="AG191" s="54"/>
      <c r="AH191" s="54"/>
      <c r="AI191" s="54"/>
    </row>
    <row r="192" spans="18:35" x14ac:dyDescent="0.2">
      <c r="R192" s="54"/>
      <c r="S192" s="54"/>
      <c r="T192" s="54"/>
      <c r="W192" s="54"/>
      <c r="X192" s="54"/>
      <c r="Y192" s="54"/>
      <c r="AB192" s="54"/>
      <c r="AC192" s="54"/>
      <c r="AD192" s="54"/>
      <c r="AG192" s="54"/>
      <c r="AH192" s="54"/>
      <c r="AI192" s="54"/>
    </row>
    <row r="193" spans="18:35" x14ac:dyDescent="0.2">
      <c r="R193" s="54"/>
      <c r="S193" s="54"/>
      <c r="T193" s="54"/>
      <c r="W193" s="54"/>
      <c r="X193" s="54"/>
      <c r="Y193" s="54"/>
      <c r="AB193" s="54"/>
      <c r="AC193" s="54"/>
      <c r="AD193" s="54"/>
      <c r="AG193" s="54"/>
      <c r="AH193" s="54"/>
      <c r="AI193" s="54"/>
    </row>
    <row r="194" spans="18:35" x14ac:dyDescent="0.2">
      <c r="R194" s="54"/>
      <c r="S194" s="54"/>
      <c r="T194" s="54"/>
      <c r="W194" s="54"/>
      <c r="X194" s="54"/>
      <c r="Y194" s="54"/>
      <c r="AB194" s="54"/>
      <c r="AC194" s="54"/>
      <c r="AD194" s="54"/>
      <c r="AG194" s="54"/>
      <c r="AH194" s="54"/>
      <c r="AI194" s="54"/>
    </row>
    <row r="195" spans="18:35" x14ac:dyDescent="0.2">
      <c r="R195" s="54"/>
      <c r="S195" s="54"/>
      <c r="T195" s="54"/>
      <c r="W195" s="54"/>
      <c r="X195" s="54"/>
      <c r="Y195" s="54"/>
      <c r="AB195" s="54"/>
      <c r="AC195" s="54"/>
      <c r="AD195" s="54"/>
      <c r="AG195" s="54"/>
      <c r="AH195" s="54"/>
      <c r="AI195" s="54"/>
    </row>
    <row r="196" spans="18:35" x14ac:dyDescent="0.2">
      <c r="R196" s="54"/>
      <c r="S196" s="54"/>
      <c r="T196" s="54"/>
      <c r="W196" s="54"/>
      <c r="X196" s="54"/>
      <c r="Y196" s="54"/>
      <c r="AB196" s="54"/>
      <c r="AC196" s="54"/>
      <c r="AD196" s="54"/>
      <c r="AG196" s="54"/>
      <c r="AH196" s="54"/>
      <c r="AI196" s="54"/>
    </row>
    <row r="197" spans="18:35" x14ac:dyDescent="0.2">
      <c r="R197" s="54"/>
      <c r="S197" s="54"/>
      <c r="T197" s="54"/>
      <c r="W197" s="54"/>
      <c r="X197" s="54"/>
      <c r="Y197" s="54"/>
      <c r="AB197" s="54"/>
      <c r="AC197" s="54"/>
      <c r="AD197" s="54"/>
      <c r="AG197" s="54"/>
      <c r="AH197" s="54"/>
      <c r="AI197" s="54"/>
    </row>
    <row r="198" spans="18:35" x14ac:dyDescent="0.2">
      <c r="R198" s="54"/>
      <c r="S198" s="54"/>
      <c r="T198" s="54"/>
      <c r="W198" s="54"/>
      <c r="X198" s="54"/>
      <c r="Y198" s="54"/>
      <c r="AB198" s="54"/>
      <c r="AC198" s="54"/>
      <c r="AD198" s="54"/>
      <c r="AG198" s="54"/>
      <c r="AH198" s="54"/>
      <c r="AI198" s="54"/>
    </row>
    <row r="199" spans="18:35" x14ac:dyDescent="0.2">
      <c r="R199" s="54"/>
      <c r="S199" s="54"/>
      <c r="T199" s="54"/>
      <c r="W199" s="54"/>
      <c r="X199" s="54"/>
      <c r="Y199" s="54"/>
      <c r="AB199" s="54"/>
      <c r="AC199" s="54"/>
      <c r="AD199" s="54"/>
      <c r="AG199" s="54"/>
      <c r="AH199" s="54"/>
      <c r="AI199" s="54"/>
    </row>
    <row r="200" spans="18:35" x14ac:dyDescent="0.2">
      <c r="R200" s="54"/>
      <c r="S200" s="54"/>
      <c r="T200" s="54"/>
      <c r="W200" s="54"/>
      <c r="X200" s="54"/>
      <c r="Y200" s="54"/>
      <c r="AB200" s="54"/>
      <c r="AC200" s="54"/>
      <c r="AD200" s="54"/>
      <c r="AG200" s="54"/>
      <c r="AH200" s="54"/>
      <c r="AI200" s="54"/>
    </row>
    <row r="201" spans="18:35" x14ac:dyDescent="0.2">
      <c r="R201" s="54"/>
      <c r="S201" s="54"/>
      <c r="T201" s="54"/>
      <c r="W201" s="54"/>
      <c r="X201" s="54"/>
      <c r="Y201" s="54"/>
      <c r="AB201" s="54"/>
      <c r="AC201" s="54"/>
      <c r="AD201" s="54"/>
      <c r="AG201" s="54"/>
      <c r="AH201" s="54"/>
      <c r="AI201" s="54"/>
    </row>
    <row r="202" spans="18:35" x14ac:dyDescent="0.2">
      <c r="R202" s="54"/>
      <c r="S202" s="54"/>
      <c r="T202" s="54"/>
      <c r="W202" s="54"/>
      <c r="X202" s="54"/>
      <c r="Y202" s="54"/>
      <c r="AB202" s="54"/>
      <c r="AC202" s="54"/>
      <c r="AD202" s="54"/>
      <c r="AG202" s="54"/>
      <c r="AH202" s="54"/>
      <c r="AI202" s="54"/>
    </row>
    <row r="203" spans="18:35" x14ac:dyDescent="0.2">
      <c r="R203" s="54"/>
      <c r="S203" s="54"/>
      <c r="T203" s="54"/>
      <c r="W203" s="54"/>
      <c r="X203" s="54"/>
      <c r="Y203" s="54"/>
      <c r="AB203" s="54"/>
      <c r="AC203" s="54"/>
      <c r="AD203" s="54"/>
      <c r="AG203" s="54"/>
      <c r="AH203" s="54"/>
      <c r="AI203" s="54"/>
    </row>
    <row r="204" spans="18:35" x14ac:dyDescent="0.2">
      <c r="R204" s="54"/>
      <c r="S204" s="54"/>
      <c r="T204" s="54"/>
      <c r="W204" s="54"/>
      <c r="X204" s="54"/>
      <c r="Y204" s="54"/>
      <c r="AB204" s="54"/>
      <c r="AC204" s="54"/>
      <c r="AD204" s="54"/>
      <c r="AG204" s="54"/>
      <c r="AH204" s="54"/>
      <c r="AI204" s="54"/>
    </row>
    <row r="205" spans="18:35" x14ac:dyDescent="0.2">
      <c r="R205" s="54"/>
      <c r="S205" s="54"/>
      <c r="T205" s="54"/>
      <c r="W205" s="54"/>
      <c r="X205" s="54"/>
      <c r="Y205" s="54"/>
      <c r="AB205" s="54"/>
      <c r="AC205" s="54"/>
      <c r="AD205" s="54"/>
      <c r="AG205" s="54"/>
      <c r="AH205" s="54"/>
      <c r="AI205" s="54"/>
    </row>
    <row r="206" spans="18:35" x14ac:dyDescent="0.2">
      <c r="R206" s="54"/>
      <c r="S206" s="54"/>
      <c r="T206" s="54"/>
      <c r="W206" s="54"/>
      <c r="X206" s="54"/>
      <c r="Y206" s="54"/>
      <c r="AB206" s="54"/>
      <c r="AC206" s="54"/>
      <c r="AD206" s="54"/>
      <c r="AG206" s="54"/>
      <c r="AH206" s="54"/>
      <c r="AI206" s="54"/>
    </row>
    <row r="207" spans="18:35" x14ac:dyDescent="0.2">
      <c r="R207" s="54"/>
      <c r="S207" s="54"/>
      <c r="T207" s="54"/>
      <c r="W207" s="54"/>
      <c r="X207" s="54"/>
      <c r="Y207" s="54"/>
      <c r="AB207" s="54"/>
      <c r="AC207" s="54"/>
      <c r="AD207" s="54"/>
      <c r="AG207" s="54"/>
      <c r="AH207" s="54"/>
      <c r="AI207" s="54"/>
    </row>
    <row r="208" spans="18:35" x14ac:dyDescent="0.2">
      <c r="R208" s="54"/>
      <c r="S208" s="54"/>
      <c r="T208" s="54"/>
      <c r="W208" s="54"/>
      <c r="X208" s="54"/>
      <c r="Y208" s="54"/>
      <c r="AB208" s="54"/>
      <c r="AC208" s="54"/>
      <c r="AD208" s="54"/>
      <c r="AG208" s="54"/>
      <c r="AH208" s="54"/>
      <c r="AI208" s="54"/>
    </row>
    <row r="209" spans="18:35" x14ac:dyDescent="0.2">
      <c r="R209" s="54"/>
      <c r="S209" s="54"/>
      <c r="T209" s="54"/>
      <c r="W209" s="54"/>
      <c r="X209" s="54"/>
      <c r="Y209" s="54"/>
      <c r="AB209" s="54"/>
      <c r="AC209" s="54"/>
      <c r="AD209" s="54"/>
      <c r="AG209" s="54"/>
      <c r="AH209" s="54"/>
      <c r="AI209" s="54"/>
    </row>
    <row r="210" spans="18:35" x14ac:dyDescent="0.2">
      <c r="R210" s="54"/>
      <c r="S210" s="54"/>
      <c r="T210" s="54"/>
      <c r="W210" s="54"/>
      <c r="X210" s="54"/>
      <c r="Y210" s="54"/>
      <c r="AB210" s="54"/>
      <c r="AC210" s="54"/>
      <c r="AD210" s="54"/>
      <c r="AG210" s="54"/>
      <c r="AH210" s="54"/>
      <c r="AI210" s="54"/>
    </row>
    <row r="211" spans="18:35" x14ac:dyDescent="0.2">
      <c r="R211" s="54"/>
      <c r="S211" s="54"/>
      <c r="T211" s="54"/>
      <c r="W211" s="54"/>
      <c r="X211" s="54"/>
      <c r="Y211" s="54"/>
      <c r="AB211" s="54"/>
      <c r="AC211" s="54"/>
      <c r="AD211" s="54"/>
      <c r="AG211" s="54"/>
      <c r="AH211" s="54"/>
      <c r="AI211" s="54"/>
    </row>
    <row r="212" spans="18:35" x14ac:dyDescent="0.2">
      <c r="R212" s="54"/>
      <c r="S212" s="54"/>
      <c r="T212" s="54"/>
      <c r="W212" s="54"/>
      <c r="X212" s="54"/>
      <c r="Y212" s="54"/>
      <c r="AB212" s="54"/>
      <c r="AC212" s="54"/>
      <c r="AD212" s="54"/>
      <c r="AG212" s="54"/>
      <c r="AH212" s="54"/>
      <c r="AI212" s="54"/>
    </row>
    <row r="213" spans="18:35" x14ac:dyDescent="0.2">
      <c r="R213" s="54"/>
      <c r="S213" s="54"/>
      <c r="T213" s="54"/>
      <c r="W213" s="54"/>
      <c r="X213" s="54"/>
      <c r="Y213" s="54"/>
      <c r="AB213" s="54"/>
      <c r="AC213" s="54"/>
      <c r="AD213" s="54"/>
      <c r="AG213" s="54"/>
      <c r="AH213" s="54"/>
      <c r="AI213" s="54"/>
    </row>
    <row r="214" spans="18:35" x14ac:dyDescent="0.2">
      <c r="R214" s="54"/>
      <c r="S214" s="54"/>
      <c r="T214" s="54"/>
      <c r="W214" s="54"/>
      <c r="X214" s="54"/>
      <c r="Y214" s="54"/>
      <c r="AB214" s="54"/>
      <c r="AC214" s="54"/>
      <c r="AD214" s="54"/>
      <c r="AG214" s="54"/>
      <c r="AH214" s="54"/>
      <c r="AI214" s="54"/>
    </row>
    <row r="215" spans="18:35" x14ac:dyDescent="0.2">
      <c r="R215" s="54"/>
      <c r="S215" s="54"/>
      <c r="T215" s="54"/>
      <c r="W215" s="54"/>
      <c r="X215" s="54"/>
      <c r="Y215" s="54"/>
      <c r="AB215" s="54"/>
      <c r="AC215" s="54"/>
      <c r="AD215" s="54"/>
      <c r="AG215" s="54"/>
      <c r="AH215" s="54"/>
      <c r="AI215" s="54"/>
    </row>
    <row r="216" spans="18:35" x14ac:dyDescent="0.2">
      <c r="R216" s="54"/>
      <c r="S216" s="54"/>
      <c r="T216" s="54"/>
      <c r="W216" s="54"/>
      <c r="X216" s="54"/>
      <c r="Y216" s="54"/>
      <c r="AB216" s="54"/>
      <c r="AC216" s="54"/>
      <c r="AD216" s="54"/>
      <c r="AG216" s="54"/>
      <c r="AH216" s="54"/>
      <c r="AI216" s="54"/>
    </row>
    <row r="217" spans="18:35" x14ac:dyDescent="0.2">
      <c r="R217" s="54"/>
      <c r="S217" s="54"/>
      <c r="T217" s="54"/>
      <c r="W217" s="54"/>
      <c r="X217" s="54"/>
      <c r="Y217" s="54"/>
      <c r="AB217" s="54"/>
      <c r="AC217" s="54"/>
      <c r="AD217" s="54"/>
      <c r="AG217" s="54"/>
      <c r="AH217" s="54"/>
      <c r="AI217" s="54"/>
    </row>
    <row r="218" spans="18:35" x14ac:dyDescent="0.2">
      <c r="R218" s="54"/>
      <c r="S218" s="54"/>
      <c r="T218" s="54"/>
      <c r="W218" s="54"/>
      <c r="X218" s="54"/>
      <c r="Y218" s="54"/>
      <c r="AB218" s="54"/>
      <c r="AC218" s="54"/>
      <c r="AD218" s="54"/>
      <c r="AG218" s="54"/>
      <c r="AH218" s="54"/>
      <c r="AI218" s="54"/>
    </row>
    <row r="219" spans="18:35" x14ac:dyDescent="0.2">
      <c r="R219" s="54"/>
      <c r="S219" s="54"/>
      <c r="T219" s="54"/>
      <c r="W219" s="54"/>
      <c r="X219" s="54"/>
      <c r="Y219" s="54"/>
      <c r="AB219" s="54"/>
      <c r="AC219" s="54"/>
      <c r="AD219" s="54"/>
      <c r="AG219" s="54"/>
      <c r="AH219" s="54"/>
      <c r="AI219" s="54"/>
    </row>
    <row r="220" spans="18:35" x14ac:dyDescent="0.2">
      <c r="R220" s="54"/>
      <c r="S220" s="54"/>
      <c r="T220" s="54"/>
      <c r="W220" s="54"/>
      <c r="X220" s="54"/>
      <c r="Y220" s="54"/>
      <c r="AB220" s="54"/>
      <c r="AC220" s="54"/>
      <c r="AD220" s="54"/>
      <c r="AG220" s="54"/>
      <c r="AH220" s="54"/>
      <c r="AI220" s="54"/>
    </row>
    <row r="221" spans="18:35" x14ac:dyDescent="0.2">
      <c r="R221" s="54"/>
      <c r="S221" s="54"/>
      <c r="T221" s="54"/>
      <c r="W221" s="54"/>
      <c r="X221" s="54"/>
      <c r="Y221" s="54"/>
      <c r="AB221" s="54"/>
      <c r="AC221" s="54"/>
      <c r="AD221" s="54"/>
      <c r="AG221" s="54"/>
      <c r="AH221" s="54"/>
      <c r="AI221" s="54"/>
    </row>
    <row r="222" spans="18:35" x14ac:dyDescent="0.2">
      <c r="R222" s="54"/>
      <c r="S222" s="54"/>
      <c r="T222" s="54"/>
      <c r="W222" s="54"/>
      <c r="X222" s="54"/>
      <c r="Y222" s="54"/>
      <c r="AB222" s="54"/>
      <c r="AC222" s="54"/>
      <c r="AD222" s="54"/>
      <c r="AG222" s="54"/>
      <c r="AH222" s="54"/>
      <c r="AI222" s="54"/>
    </row>
    <row r="223" spans="18:35" x14ac:dyDescent="0.2">
      <c r="R223" s="54"/>
      <c r="S223" s="54"/>
      <c r="T223" s="54"/>
      <c r="W223" s="54"/>
      <c r="X223" s="54"/>
      <c r="Y223" s="54"/>
      <c r="AB223" s="54"/>
      <c r="AC223" s="54"/>
      <c r="AD223" s="54"/>
      <c r="AG223" s="54"/>
      <c r="AH223" s="54"/>
      <c r="AI223" s="54"/>
    </row>
    <row r="224" spans="18:35" x14ac:dyDescent="0.2">
      <c r="R224" s="54"/>
      <c r="S224" s="54"/>
      <c r="T224" s="54"/>
      <c r="W224" s="54"/>
      <c r="X224" s="54"/>
      <c r="Y224" s="54"/>
      <c r="AB224" s="54"/>
      <c r="AC224" s="54"/>
      <c r="AD224" s="54"/>
      <c r="AG224" s="54"/>
      <c r="AH224" s="54"/>
      <c r="AI224" s="54"/>
    </row>
    <row r="225" spans="18:35" x14ac:dyDescent="0.2">
      <c r="R225" s="54"/>
      <c r="S225" s="54"/>
      <c r="T225" s="54"/>
      <c r="W225" s="54"/>
      <c r="X225" s="54"/>
      <c r="Y225" s="54"/>
      <c r="AB225" s="54"/>
      <c r="AC225" s="54"/>
      <c r="AD225" s="54"/>
      <c r="AG225" s="54"/>
      <c r="AH225" s="54"/>
      <c r="AI225" s="54"/>
    </row>
    <row r="226" spans="18:35" x14ac:dyDescent="0.2">
      <c r="R226" s="54"/>
      <c r="S226" s="54"/>
      <c r="T226" s="54"/>
      <c r="W226" s="54"/>
      <c r="X226" s="54"/>
      <c r="Y226" s="54"/>
      <c r="AB226" s="54"/>
      <c r="AC226" s="54"/>
      <c r="AD226" s="54"/>
      <c r="AG226" s="54"/>
      <c r="AH226" s="54"/>
      <c r="AI226" s="54"/>
    </row>
    <row r="227" spans="18:35" x14ac:dyDescent="0.2">
      <c r="R227" s="54"/>
      <c r="S227" s="54"/>
      <c r="T227" s="54"/>
      <c r="W227" s="54"/>
      <c r="X227" s="54"/>
      <c r="Y227" s="54"/>
      <c r="AB227" s="54"/>
      <c r="AC227" s="54"/>
      <c r="AD227" s="54"/>
      <c r="AG227" s="54"/>
      <c r="AH227" s="54"/>
      <c r="AI227" s="54"/>
    </row>
    <row r="228" spans="18:35" x14ac:dyDescent="0.2">
      <c r="R228" s="54"/>
      <c r="S228" s="54"/>
      <c r="T228" s="54"/>
      <c r="W228" s="54"/>
      <c r="X228" s="54"/>
      <c r="Y228" s="54"/>
      <c r="AB228" s="54"/>
      <c r="AC228" s="54"/>
      <c r="AD228" s="54"/>
      <c r="AG228" s="54"/>
      <c r="AH228" s="54"/>
      <c r="AI228" s="54"/>
    </row>
    <row r="229" spans="18:35" x14ac:dyDescent="0.2">
      <c r="R229" s="54"/>
      <c r="S229" s="54"/>
      <c r="T229" s="54"/>
      <c r="W229" s="54"/>
      <c r="X229" s="54"/>
      <c r="Y229" s="54"/>
      <c r="AB229" s="54"/>
      <c r="AC229" s="54"/>
      <c r="AD229" s="54"/>
      <c r="AG229" s="54"/>
      <c r="AH229" s="54"/>
      <c r="AI229" s="54"/>
    </row>
    <row r="230" spans="18:35" x14ac:dyDescent="0.2">
      <c r="R230" s="54"/>
      <c r="S230" s="54"/>
      <c r="T230" s="54"/>
      <c r="W230" s="54"/>
      <c r="X230" s="54"/>
      <c r="Y230" s="54"/>
      <c r="AB230" s="54"/>
      <c r="AC230" s="54"/>
      <c r="AD230" s="54"/>
      <c r="AG230" s="54"/>
      <c r="AH230" s="54"/>
      <c r="AI230" s="54"/>
    </row>
    <row r="231" spans="18:35" x14ac:dyDescent="0.2">
      <c r="R231" s="54"/>
      <c r="S231" s="54"/>
      <c r="T231" s="54"/>
      <c r="W231" s="54"/>
      <c r="X231" s="54"/>
      <c r="Y231" s="54"/>
      <c r="AB231" s="54"/>
      <c r="AC231" s="54"/>
      <c r="AD231" s="54"/>
      <c r="AG231" s="54"/>
      <c r="AH231" s="54"/>
      <c r="AI231" s="54"/>
    </row>
    <row r="232" spans="18:35" x14ac:dyDescent="0.2">
      <c r="R232" s="54"/>
      <c r="S232" s="54"/>
      <c r="T232" s="54"/>
      <c r="W232" s="54"/>
      <c r="X232" s="54"/>
      <c r="Y232" s="54"/>
      <c r="AB232" s="54"/>
      <c r="AC232" s="54"/>
      <c r="AD232" s="54"/>
      <c r="AG232" s="54"/>
      <c r="AH232" s="54"/>
      <c r="AI232" s="54"/>
    </row>
    <row r="233" spans="18:35" x14ac:dyDescent="0.2">
      <c r="R233" s="54"/>
      <c r="S233" s="54"/>
      <c r="T233" s="54"/>
      <c r="W233" s="54"/>
      <c r="X233" s="54"/>
      <c r="Y233" s="54"/>
      <c r="AB233" s="54"/>
      <c r="AC233" s="54"/>
      <c r="AD233" s="54"/>
      <c r="AG233" s="54"/>
      <c r="AH233" s="54"/>
      <c r="AI233" s="54"/>
    </row>
    <row r="234" spans="18:35" x14ac:dyDescent="0.2">
      <c r="R234" s="54"/>
      <c r="S234" s="54"/>
      <c r="T234" s="54"/>
      <c r="W234" s="54"/>
      <c r="X234" s="54"/>
      <c r="Y234" s="54"/>
      <c r="AB234" s="54"/>
      <c r="AC234" s="54"/>
      <c r="AD234" s="54"/>
      <c r="AG234" s="54"/>
      <c r="AH234" s="54"/>
      <c r="AI234" s="54"/>
    </row>
    <row r="235" spans="18:35" x14ac:dyDescent="0.2">
      <c r="R235" s="54"/>
      <c r="S235" s="54"/>
      <c r="T235" s="54"/>
      <c r="W235" s="54"/>
      <c r="X235" s="54"/>
      <c r="Y235" s="54"/>
      <c r="AB235" s="54"/>
      <c r="AC235" s="54"/>
      <c r="AD235" s="54"/>
      <c r="AG235" s="54"/>
      <c r="AH235" s="54"/>
      <c r="AI235" s="54"/>
    </row>
    <row r="236" spans="18:35" x14ac:dyDescent="0.2">
      <c r="R236" s="54"/>
      <c r="S236" s="54"/>
      <c r="T236" s="54"/>
      <c r="W236" s="54"/>
      <c r="X236" s="54"/>
      <c r="Y236" s="54"/>
      <c r="AB236" s="54"/>
      <c r="AC236" s="54"/>
      <c r="AD236" s="54"/>
      <c r="AG236" s="54"/>
      <c r="AH236" s="54"/>
      <c r="AI236" s="54"/>
    </row>
    <row r="237" spans="18:35" x14ac:dyDescent="0.2">
      <c r="R237" s="54"/>
      <c r="S237" s="54"/>
      <c r="T237" s="54"/>
      <c r="W237" s="54"/>
      <c r="X237" s="54"/>
      <c r="Y237" s="54"/>
      <c r="AB237" s="54"/>
      <c r="AC237" s="54"/>
      <c r="AD237" s="54"/>
      <c r="AG237" s="54"/>
      <c r="AH237" s="54"/>
      <c r="AI237" s="54"/>
    </row>
    <row r="238" spans="18:35" x14ac:dyDescent="0.2">
      <c r="R238" s="54"/>
      <c r="S238" s="54"/>
      <c r="T238" s="54"/>
      <c r="W238" s="54"/>
      <c r="X238" s="54"/>
      <c r="Y238" s="54"/>
      <c r="AB238" s="54"/>
      <c r="AC238" s="54"/>
      <c r="AD238" s="54"/>
      <c r="AG238" s="54"/>
      <c r="AH238" s="54"/>
      <c r="AI238" s="54"/>
    </row>
    <row r="239" spans="18:35" x14ac:dyDescent="0.2">
      <c r="R239" s="54"/>
      <c r="S239" s="54"/>
      <c r="T239" s="54"/>
      <c r="W239" s="54"/>
      <c r="X239" s="54"/>
      <c r="Y239" s="54"/>
      <c r="AB239" s="54"/>
      <c r="AC239" s="54"/>
      <c r="AD239" s="54"/>
      <c r="AG239" s="54"/>
      <c r="AH239" s="54"/>
      <c r="AI239" s="54"/>
    </row>
    <row r="240" spans="18:35" x14ac:dyDescent="0.2">
      <c r="R240" s="54"/>
      <c r="S240" s="54"/>
      <c r="T240" s="54"/>
      <c r="W240" s="54"/>
      <c r="X240" s="54"/>
      <c r="Y240" s="54"/>
      <c r="AB240" s="54"/>
      <c r="AC240" s="54"/>
      <c r="AD240" s="54"/>
      <c r="AG240" s="54"/>
      <c r="AH240" s="54"/>
      <c r="AI240" s="54"/>
    </row>
    <row r="241" spans="18:35" x14ac:dyDescent="0.2">
      <c r="R241" s="54"/>
      <c r="S241" s="54"/>
      <c r="T241" s="54"/>
      <c r="W241" s="54"/>
      <c r="X241" s="54"/>
      <c r="Y241" s="54"/>
      <c r="AB241" s="54"/>
      <c r="AC241" s="54"/>
      <c r="AD241" s="54"/>
      <c r="AG241" s="54"/>
      <c r="AH241" s="54"/>
      <c r="AI241" s="54"/>
    </row>
    <row r="242" spans="18:35" x14ac:dyDescent="0.2">
      <c r="R242" s="54"/>
      <c r="S242" s="54"/>
      <c r="T242" s="54"/>
      <c r="W242" s="54"/>
      <c r="X242" s="54"/>
      <c r="Y242" s="54"/>
      <c r="AB242" s="54"/>
      <c r="AC242" s="54"/>
      <c r="AD242" s="54"/>
      <c r="AG242" s="54"/>
      <c r="AH242" s="54"/>
      <c r="AI242" s="54"/>
    </row>
    <row r="243" spans="18:35" x14ac:dyDescent="0.2">
      <c r="R243" s="54"/>
      <c r="S243" s="54"/>
      <c r="T243" s="54"/>
      <c r="W243" s="54"/>
      <c r="X243" s="54"/>
      <c r="Y243" s="54"/>
      <c r="AB243" s="54"/>
      <c r="AC243" s="54"/>
      <c r="AD243" s="54"/>
      <c r="AG243" s="54"/>
      <c r="AH243" s="54"/>
      <c r="AI243" s="54"/>
    </row>
    <row r="244" spans="18:35" x14ac:dyDescent="0.2">
      <c r="R244" s="54"/>
      <c r="S244" s="54"/>
      <c r="T244" s="54"/>
      <c r="W244" s="54"/>
      <c r="X244" s="54"/>
      <c r="Y244" s="54"/>
      <c r="AB244" s="54"/>
      <c r="AC244" s="54"/>
      <c r="AD244" s="54"/>
      <c r="AG244" s="54"/>
      <c r="AH244" s="54"/>
      <c r="AI244" s="54"/>
    </row>
    <row r="245" spans="18:35" x14ac:dyDescent="0.2">
      <c r="R245" s="54"/>
      <c r="S245" s="54"/>
      <c r="T245" s="54"/>
      <c r="W245" s="54"/>
      <c r="X245" s="54"/>
      <c r="Y245" s="54"/>
      <c r="AB245" s="54"/>
      <c r="AC245" s="54"/>
      <c r="AD245" s="54"/>
      <c r="AG245" s="54"/>
      <c r="AH245" s="54"/>
      <c r="AI245" s="54"/>
    </row>
    <row r="246" spans="18:35" x14ac:dyDescent="0.2">
      <c r="R246" s="54"/>
      <c r="S246" s="54"/>
      <c r="T246" s="54"/>
      <c r="W246" s="54"/>
      <c r="X246" s="54"/>
      <c r="Y246" s="54"/>
      <c r="AB246" s="54"/>
      <c r="AC246" s="54"/>
      <c r="AD246" s="54"/>
      <c r="AG246" s="54"/>
      <c r="AH246" s="54"/>
      <c r="AI246" s="54"/>
    </row>
    <row r="247" spans="18:35" x14ac:dyDescent="0.2">
      <c r="R247" s="54"/>
      <c r="S247" s="54"/>
      <c r="T247" s="54"/>
      <c r="W247" s="54"/>
      <c r="X247" s="54"/>
      <c r="Y247" s="54"/>
      <c r="AB247" s="54"/>
      <c r="AC247" s="54"/>
      <c r="AD247" s="54"/>
      <c r="AG247" s="54"/>
      <c r="AH247" s="54"/>
      <c r="AI247" s="54"/>
    </row>
    <row r="248" spans="18:35" x14ac:dyDescent="0.2">
      <c r="R248" s="54"/>
      <c r="S248" s="54"/>
      <c r="T248" s="54"/>
      <c r="W248" s="54"/>
      <c r="X248" s="54"/>
      <c r="Y248" s="54"/>
      <c r="AB248" s="54"/>
      <c r="AC248" s="54"/>
      <c r="AD248" s="54"/>
      <c r="AG248" s="54"/>
      <c r="AH248" s="54"/>
      <c r="AI248" s="54"/>
    </row>
    <row r="249" spans="18:35" x14ac:dyDescent="0.2">
      <c r="R249" s="54"/>
      <c r="S249" s="54"/>
      <c r="T249" s="54"/>
      <c r="W249" s="54"/>
      <c r="X249" s="54"/>
      <c r="Y249" s="54"/>
      <c r="AB249" s="54"/>
      <c r="AC249" s="54"/>
      <c r="AD249" s="54"/>
      <c r="AG249" s="54"/>
      <c r="AH249" s="54"/>
      <c r="AI249" s="54"/>
    </row>
    <row r="250" spans="18:35" x14ac:dyDescent="0.2">
      <c r="R250" s="54"/>
      <c r="S250" s="54"/>
      <c r="T250" s="54"/>
      <c r="W250" s="54"/>
      <c r="X250" s="54"/>
      <c r="Y250" s="54"/>
      <c r="AB250" s="54"/>
      <c r="AC250" s="54"/>
      <c r="AD250" s="54"/>
      <c r="AG250" s="54"/>
      <c r="AH250" s="54"/>
      <c r="AI250" s="54"/>
    </row>
    <row r="251" spans="18:35" x14ac:dyDescent="0.2">
      <c r="R251" s="54"/>
      <c r="S251" s="54"/>
      <c r="T251" s="54"/>
      <c r="W251" s="54"/>
      <c r="X251" s="54"/>
      <c r="Y251" s="54"/>
      <c r="AB251" s="54"/>
      <c r="AC251" s="54"/>
      <c r="AD251" s="54"/>
      <c r="AG251" s="54"/>
      <c r="AH251" s="54"/>
      <c r="AI251" s="54"/>
    </row>
    <row r="252" spans="18:35" x14ac:dyDescent="0.2">
      <c r="R252" s="54"/>
      <c r="S252" s="54"/>
      <c r="T252" s="54"/>
      <c r="W252" s="54"/>
      <c r="X252" s="54"/>
      <c r="Y252" s="54"/>
      <c r="AB252" s="54"/>
      <c r="AC252" s="54"/>
      <c r="AD252" s="54"/>
      <c r="AG252" s="54"/>
      <c r="AH252" s="54"/>
      <c r="AI252" s="54"/>
    </row>
    <row r="253" spans="18:35" x14ac:dyDescent="0.2">
      <c r="R253" s="54"/>
      <c r="S253" s="54"/>
      <c r="T253" s="54"/>
      <c r="W253" s="54"/>
      <c r="X253" s="54"/>
      <c r="Y253" s="54"/>
      <c r="AB253" s="54"/>
      <c r="AC253" s="54"/>
      <c r="AD253" s="54"/>
      <c r="AG253" s="54"/>
      <c r="AH253" s="54"/>
      <c r="AI253" s="54"/>
    </row>
    <row r="254" spans="18:35" x14ac:dyDescent="0.2">
      <c r="R254" s="54"/>
      <c r="S254" s="54"/>
      <c r="T254" s="54"/>
      <c r="W254" s="54"/>
      <c r="X254" s="54"/>
      <c r="Y254" s="54"/>
      <c r="AB254" s="54"/>
      <c r="AC254" s="54"/>
      <c r="AD254" s="54"/>
      <c r="AG254" s="54"/>
      <c r="AH254" s="54"/>
      <c r="AI254" s="54"/>
    </row>
    <row r="255" spans="18:35" x14ac:dyDescent="0.2">
      <c r="R255" s="54"/>
      <c r="S255" s="54"/>
      <c r="T255" s="54"/>
      <c r="W255" s="54"/>
      <c r="X255" s="54"/>
      <c r="Y255" s="54"/>
      <c r="AB255" s="54"/>
      <c r="AC255" s="54"/>
      <c r="AD255" s="54"/>
      <c r="AG255" s="54"/>
      <c r="AH255" s="54"/>
      <c r="AI255" s="54"/>
    </row>
    <row r="256" spans="18:35" x14ac:dyDescent="0.2">
      <c r="R256" s="54"/>
      <c r="S256" s="54"/>
      <c r="T256" s="54"/>
      <c r="W256" s="54"/>
      <c r="X256" s="54"/>
      <c r="Y256" s="54"/>
      <c r="AB256" s="54"/>
      <c r="AC256" s="54"/>
      <c r="AD256" s="54"/>
      <c r="AG256" s="54"/>
      <c r="AH256" s="54"/>
      <c r="AI256" s="54"/>
    </row>
    <row r="257" spans="18:35" x14ac:dyDescent="0.2">
      <c r="R257" s="54"/>
      <c r="S257" s="54"/>
      <c r="T257" s="54"/>
      <c r="W257" s="54"/>
      <c r="X257" s="54"/>
      <c r="Y257" s="54"/>
      <c r="AB257" s="54"/>
      <c r="AC257" s="54"/>
      <c r="AD257" s="54"/>
      <c r="AG257" s="54"/>
      <c r="AH257" s="54"/>
      <c r="AI257" s="54"/>
    </row>
    <row r="258" spans="18:35" x14ac:dyDescent="0.2">
      <c r="R258" s="54"/>
      <c r="S258" s="54"/>
      <c r="T258" s="54"/>
      <c r="W258" s="54"/>
      <c r="X258" s="54"/>
      <c r="Y258" s="54"/>
      <c r="AB258" s="54"/>
      <c r="AC258" s="54"/>
      <c r="AD258" s="54"/>
      <c r="AG258" s="54"/>
      <c r="AH258" s="54"/>
      <c r="AI258" s="54"/>
    </row>
    <row r="259" spans="18:35" x14ac:dyDescent="0.2">
      <c r="R259" s="54"/>
      <c r="S259" s="54"/>
      <c r="T259" s="54"/>
      <c r="W259" s="54"/>
      <c r="X259" s="54"/>
      <c r="Y259" s="54"/>
      <c r="AB259" s="54"/>
      <c r="AC259" s="54"/>
      <c r="AD259" s="54"/>
      <c r="AG259" s="54"/>
      <c r="AH259" s="54"/>
      <c r="AI259" s="54"/>
    </row>
    <row r="260" spans="18:35" x14ac:dyDescent="0.2">
      <c r="R260" s="54"/>
      <c r="S260" s="54"/>
      <c r="T260" s="54"/>
      <c r="W260" s="54"/>
      <c r="X260" s="54"/>
      <c r="Y260" s="54"/>
      <c r="AB260" s="54"/>
      <c r="AC260" s="54"/>
      <c r="AD260" s="54"/>
      <c r="AG260" s="54"/>
      <c r="AH260" s="54"/>
      <c r="AI260" s="54"/>
    </row>
    <row r="261" spans="18:35" x14ac:dyDescent="0.2">
      <c r="R261" s="54"/>
      <c r="S261" s="54"/>
      <c r="T261" s="54"/>
      <c r="W261" s="54"/>
      <c r="X261" s="54"/>
      <c r="Y261" s="54"/>
      <c r="AB261" s="54"/>
      <c r="AC261" s="54"/>
      <c r="AD261" s="54"/>
      <c r="AG261" s="54"/>
      <c r="AH261" s="54"/>
      <c r="AI261" s="54"/>
    </row>
    <row r="262" spans="18:35" x14ac:dyDescent="0.2">
      <c r="R262" s="54"/>
      <c r="S262" s="54"/>
      <c r="T262" s="54"/>
      <c r="W262" s="54"/>
      <c r="X262" s="54"/>
      <c r="Y262" s="54"/>
      <c r="AB262" s="54"/>
      <c r="AC262" s="54"/>
      <c r="AD262" s="54"/>
      <c r="AG262" s="54"/>
      <c r="AH262" s="54"/>
      <c r="AI262" s="54"/>
    </row>
    <row r="263" spans="18:35" x14ac:dyDescent="0.2">
      <c r="R263" s="54"/>
      <c r="S263" s="54"/>
      <c r="T263" s="54"/>
      <c r="W263" s="54"/>
      <c r="X263" s="54"/>
      <c r="Y263" s="54"/>
      <c r="AB263" s="54"/>
      <c r="AC263" s="54"/>
      <c r="AD263" s="54"/>
      <c r="AG263" s="54"/>
      <c r="AH263" s="54"/>
      <c r="AI263" s="54"/>
    </row>
    <row r="264" spans="18:35" x14ac:dyDescent="0.2">
      <c r="R264" s="54"/>
      <c r="S264" s="54"/>
      <c r="T264" s="54"/>
      <c r="W264" s="54"/>
      <c r="X264" s="54"/>
      <c r="Y264" s="54"/>
      <c r="AB264" s="54"/>
      <c r="AC264" s="54"/>
      <c r="AD264" s="54"/>
      <c r="AG264" s="54"/>
      <c r="AH264" s="54"/>
      <c r="AI264" s="54"/>
    </row>
    <row r="265" spans="18:35" x14ac:dyDescent="0.2">
      <c r="R265" s="54"/>
      <c r="S265" s="54"/>
      <c r="T265" s="54"/>
      <c r="W265" s="54"/>
      <c r="X265" s="54"/>
      <c r="Y265" s="54"/>
      <c r="AB265" s="54"/>
      <c r="AC265" s="54"/>
      <c r="AD265" s="54"/>
      <c r="AG265" s="54"/>
      <c r="AH265" s="54"/>
      <c r="AI265" s="54"/>
    </row>
    <row r="266" spans="18:35" x14ac:dyDescent="0.2">
      <c r="R266" s="54"/>
      <c r="S266" s="54"/>
      <c r="T266" s="54"/>
      <c r="W266" s="54"/>
      <c r="X266" s="54"/>
      <c r="Y266" s="54"/>
      <c r="AB266" s="54"/>
      <c r="AC266" s="54"/>
      <c r="AD266" s="54"/>
      <c r="AG266" s="54"/>
      <c r="AH266" s="54"/>
      <c r="AI266" s="54"/>
    </row>
    <row r="267" spans="18:35" x14ac:dyDescent="0.2">
      <c r="R267" s="54"/>
      <c r="S267" s="54"/>
      <c r="T267" s="54"/>
      <c r="W267" s="54"/>
      <c r="X267" s="54"/>
      <c r="Y267" s="54"/>
      <c r="AB267" s="54"/>
      <c r="AC267" s="54"/>
      <c r="AD267" s="54"/>
      <c r="AG267" s="54"/>
      <c r="AH267" s="54"/>
      <c r="AI267" s="54"/>
    </row>
    <row r="268" spans="18:35" x14ac:dyDescent="0.2">
      <c r="R268" s="54"/>
      <c r="S268" s="54"/>
      <c r="T268" s="54"/>
      <c r="W268" s="54"/>
      <c r="X268" s="54"/>
      <c r="Y268" s="54"/>
      <c r="AB268" s="54"/>
      <c r="AC268" s="54"/>
      <c r="AD268" s="54"/>
      <c r="AG268" s="54"/>
      <c r="AH268" s="54"/>
      <c r="AI268" s="54"/>
    </row>
    <row r="269" spans="18:35" x14ac:dyDescent="0.2">
      <c r="R269" s="54"/>
      <c r="S269" s="54"/>
      <c r="T269" s="54"/>
      <c r="W269" s="54"/>
      <c r="X269" s="54"/>
      <c r="Y269" s="54"/>
      <c r="AB269" s="54"/>
      <c r="AC269" s="54"/>
      <c r="AD269" s="54"/>
      <c r="AG269" s="54"/>
      <c r="AH269" s="54"/>
      <c r="AI269" s="54"/>
    </row>
    <row r="270" spans="18:35" x14ac:dyDescent="0.2">
      <c r="R270" s="54"/>
      <c r="S270" s="54"/>
      <c r="T270" s="54"/>
      <c r="W270" s="54"/>
      <c r="X270" s="54"/>
      <c r="Y270" s="54"/>
      <c r="AB270" s="54"/>
      <c r="AC270" s="54"/>
      <c r="AD270" s="54"/>
      <c r="AG270" s="54"/>
      <c r="AH270" s="54"/>
      <c r="AI270" s="54"/>
    </row>
    <row r="271" spans="18:35" x14ac:dyDescent="0.2">
      <c r="R271" s="54"/>
      <c r="S271" s="54"/>
      <c r="T271" s="54"/>
      <c r="W271" s="54"/>
      <c r="X271" s="54"/>
      <c r="Y271" s="54"/>
      <c r="AB271" s="54"/>
      <c r="AC271" s="54"/>
      <c r="AD271" s="54"/>
      <c r="AG271" s="54"/>
      <c r="AH271" s="54"/>
      <c r="AI271" s="54"/>
    </row>
    <row r="272" spans="18:35" x14ac:dyDescent="0.2">
      <c r="R272" s="54"/>
      <c r="S272" s="54"/>
      <c r="T272" s="54"/>
      <c r="W272" s="54"/>
      <c r="X272" s="54"/>
      <c r="Y272" s="54"/>
      <c r="AB272" s="54"/>
      <c r="AC272" s="54"/>
      <c r="AD272" s="54"/>
      <c r="AG272" s="54"/>
      <c r="AH272" s="54"/>
      <c r="AI272" s="54"/>
    </row>
    <row r="273" spans="18:35" x14ac:dyDescent="0.2">
      <c r="R273" s="54"/>
      <c r="S273" s="54"/>
      <c r="T273" s="54"/>
      <c r="W273" s="54"/>
      <c r="X273" s="54"/>
      <c r="Y273" s="54"/>
      <c r="AB273" s="54"/>
      <c r="AC273" s="54"/>
      <c r="AD273" s="54"/>
      <c r="AG273" s="54"/>
      <c r="AH273" s="54"/>
      <c r="AI273" s="54"/>
    </row>
    <row r="274" spans="18:35" x14ac:dyDescent="0.2">
      <c r="R274" s="54"/>
      <c r="S274" s="54"/>
      <c r="T274" s="54"/>
      <c r="W274" s="54"/>
      <c r="X274" s="54"/>
      <c r="Y274" s="54"/>
      <c r="AB274" s="54"/>
      <c r="AC274" s="54"/>
      <c r="AD274" s="54"/>
      <c r="AG274" s="54"/>
      <c r="AH274" s="54"/>
      <c r="AI274" s="54"/>
    </row>
    <row r="275" spans="18:35" x14ac:dyDescent="0.2">
      <c r="R275" s="54"/>
      <c r="S275" s="54"/>
      <c r="T275" s="54"/>
      <c r="W275" s="54"/>
      <c r="X275" s="54"/>
      <c r="Y275" s="54"/>
      <c r="AB275" s="54"/>
      <c r="AC275" s="54"/>
      <c r="AD275" s="54"/>
      <c r="AG275" s="54"/>
      <c r="AH275" s="54"/>
      <c r="AI275" s="54"/>
    </row>
    <row r="276" spans="18:35" x14ac:dyDescent="0.2">
      <c r="R276" s="54"/>
      <c r="S276" s="54"/>
      <c r="T276" s="54"/>
      <c r="W276" s="54"/>
      <c r="X276" s="54"/>
      <c r="Y276" s="54"/>
      <c r="AB276" s="54"/>
      <c r="AC276" s="54"/>
      <c r="AD276" s="54"/>
      <c r="AG276" s="54"/>
      <c r="AH276" s="54"/>
      <c r="AI276" s="54"/>
    </row>
    <row r="277" spans="18:35" x14ac:dyDescent="0.2">
      <c r="R277" s="54"/>
      <c r="S277" s="54"/>
      <c r="T277" s="54"/>
      <c r="W277" s="54"/>
      <c r="X277" s="54"/>
      <c r="Y277" s="54"/>
      <c r="AB277" s="54"/>
      <c r="AC277" s="54"/>
      <c r="AD277" s="54"/>
      <c r="AG277" s="54"/>
      <c r="AH277" s="54"/>
      <c r="AI277" s="54"/>
    </row>
    <row r="278" spans="18:35" x14ac:dyDescent="0.2">
      <c r="R278" s="54"/>
      <c r="S278" s="54"/>
      <c r="T278" s="54"/>
      <c r="W278" s="54"/>
      <c r="X278" s="54"/>
      <c r="Y278" s="54"/>
      <c r="AB278" s="54"/>
      <c r="AC278" s="54"/>
      <c r="AD278" s="54"/>
      <c r="AG278" s="54"/>
      <c r="AH278" s="54"/>
      <c r="AI278" s="54"/>
    </row>
    <row r="279" spans="18:35" x14ac:dyDescent="0.2">
      <c r="R279" s="54"/>
      <c r="S279" s="54"/>
      <c r="T279" s="54"/>
      <c r="W279" s="54"/>
      <c r="X279" s="54"/>
      <c r="Y279" s="54"/>
      <c r="AB279" s="54"/>
      <c r="AC279" s="54"/>
      <c r="AD279" s="54"/>
      <c r="AG279" s="54"/>
      <c r="AH279" s="54"/>
      <c r="AI279" s="54"/>
    </row>
    <row r="280" spans="18:35" x14ac:dyDescent="0.2">
      <c r="R280" s="54"/>
      <c r="S280" s="54"/>
      <c r="T280" s="54"/>
      <c r="W280" s="54"/>
      <c r="X280" s="54"/>
      <c r="Y280" s="54"/>
      <c r="AB280" s="54"/>
      <c r="AC280" s="54"/>
      <c r="AD280" s="54"/>
      <c r="AG280" s="54"/>
      <c r="AH280" s="54"/>
      <c r="AI280" s="54"/>
    </row>
    <row r="281" spans="18:35" x14ac:dyDescent="0.2">
      <c r="R281" s="54"/>
      <c r="S281" s="54"/>
      <c r="T281" s="54"/>
      <c r="W281" s="54"/>
      <c r="X281" s="54"/>
      <c r="Y281" s="54"/>
      <c r="AB281" s="54"/>
      <c r="AC281" s="54"/>
      <c r="AD281" s="54"/>
      <c r="AG281" s="54"/>
      <c r="AH281" s="54"/>
      <c r="AI281" s="54"/>
    </row>
    <row r="282" spans="18:35" x14ac:dyDescent="0.2">
      <c r="R282" s="54"/>
      <c r="S282" s="54"/>
      <c r="T282" s="54"/>
      <c r="W282" s="54"/>
      <c r="X282" s="54"/>
      <c r="Y282" s="54"/>
      <c r="AB282" s="54"/>
      <c r="AC282" s="54"/>
      <c r="AD282" s="54"/>
      <c r="AG282" s="54"/>
      <c r="AH282" s="54"/>
      <c r="AI282" s="54"/>
    </row>
    <row r="283" spans="18:35" x14ac:dyDescent="0.2">
      <c r="R283" s="54"/>
      <c r="S283" s="54"/>
      <c r="T283" s="54"/>
      <c r="W283" s="54"/>
      <c r="X283" s="54"/>
      <c r="Y283" s="54"/>
      <c r="AB283" s="54"/>
      <c r="AC283" s="54"/>
      <c r="AD283" s="54"/>
      <c r="AG283" s="54"/>
      <c r="AH283" s="54"/>
      <c r="AI283" s="54"/>
    </row>
    <row r="284" spans="18:35" x14ac:dyDescent="0.2">
      <c r="R284" s="54"/>
      <c r="S284" s="54"/>
      <c r="T284" s="54"/>
      <c r="W284" s="54"/>
      <c r="X284" s="54"/>
      <c r="Y284" s="54"/>
      <c r="AB284" s="54"/>
      <c r="AC284" s="54"/>
      <c r="AD284" s="54"/>
      <c r="AG284" s="54"/>
      <c r="AH284" s="54"/>
      <c r="AI284" s="54"/>
    </row>
    <row r="285" spans="18:35" x14ac:dyDescent="0.2">
      <c r="R285" s="54"/>
      <c r="S285" s="54"/>
      <c r="T285" s="54"/>
      <c r="W285" s="54"/>
      <c r="X285" s="54"/>
      <c r="Y285" s="54"/>
      <c r="AB285" s="54"/>
      <c r="AC285" s="54"/>
      <c r="AD285" s="54"/>
      <c r="AG285" s="54"/>
      <c r="AH285" s="54"/>
      <c r="AI285" s="54"/>
    </row>
    <row r="286" spans="18:35" x14ac:dyDescent="0.2">
      <c r="R286" s="54"/>
      <c r="S286" s="54"/>
      <c r="T286" s="54"/>
      <c r="W286" s="54"/>
      <c r="X286" s="54"/>
      <c r="Y286" s="54"/>
      <c r="AB286" s="54"/>
      <c r="AC286" s="54"/>
      <c r="AD286" s="54"/>
      <c r="AG286" s="54"/>
      <c r="AH286" s="54"/>
      <c r="AI286" s="54"/>
    </row>
    <row r="287" spans="18:35" x14ac:dyDescent="0.2">
      <c r="R287" s="54"/>
      <c r="S287" s="54"/>
      <c r="T287" s="54"/>
      <c r="W287" s="54"/>
      <c r="X287" s="54"/>
      <c r="Y287" s="54"/>
      <c r="AB287" s="54"/>
      <c r="AC287" s="54"/>
      <c r="AD287" s="54"/>
      <c r="AG287" s="54"/>
      <c r="AH287" s="54"/>
      <c r="AI287" s="54"/>
    </row>
    <row r="288" spans="18:35" x14ac:dyDescent="0.2">
      <c r="R288" s="54"/>
      <c r="S288" s="54"/>
      <c r="T288" s="54"/>
      <c r="W288" s="54"/>
      <c r="X288" s="54"/>
      <c r="Y288" s="54"/>
      <c r="AB288" s="54"/>
      <c r="AC288" s="54"/>
      <c r="AD288" s="54"/>
      <c r="AG288" s="54"/>
      <c r="AH288" s="54"/>
      <c r="AI288" s="54"/>
    </row>
    <row r="289" spans="18:35" x14ac:dyDescent="0.2">
      <c r="R289" s="54"/>
      <c r="S289" s="54"/>
      <c r="T289" s="54"/>
      <c r="W289" s="54"/>
      <c r="X289" s="54"/>
      <c r="Y289" s="54"/>
      <c r="AB289" s="54"/>
      <c r="AC289" s="54"/>
      <c r="AD289" s="54"/>
      <c r="AG289" s="54"/>
      <c r="AH289" s="54"/>
      <c r="AI289" s="54"/>
    </row>
    <row r="290" spans="18:35" x14ac:dyDescent="0.2">
      <c r="R290" s="54"/>
      <c r="S290" s="54"/>
      <c r="T290" s="54"/>
      <c r="W290" s="54"/>
      <c r="X290" s="54"/>
      <c r="Y290" s="54"/>
      <c r="AB290" s="54"/>
      <c r="AC290" s="54"/>
      <c r="AD290" s="54"/>
      <c r="AG290" s="54"/>
      <c r="AH290" s="54"/>
      <c r="AI290" s="54"/>
    </row>
    <row r="291" spans="18:35" x14ac:dyDescent="0.2">
      <c r="R291" s="54"/>
      <c r="S291" s="54"/>
      <c r="T291" s="54"/>
      <c r="W291" s="54"/>
      <c r="X291" s="54"/>
      <c r="Y291" s="54"/>
      <c r="AB291" s="54"/>
      <c r="AC291" s="54"/>
      <c r="AD291" s="54"/>
      <c r="AG291" s="54"/>
      <c r="AH291" s="54"/>
      <c r="AI291" s="54"/>
    </row>
    <row r="292" spans="18:35" x14ac:dyDescent="0.2">
      <c r="R292" s="54"/>
      <c r="S292" s="54"/>
      <c r="T292" s="54"/>
      <c r="W292" s="54"/>
      <c r="X292" s="54"/>
      <c r="Y292" s="54"/>
      <c r="AB292" s="54"/>
      <c r="AC292" s="54"/>
      <c r="AD292" s="54"/>
      <c r="AG292" s="54"/>
      <c r="AH292" s="54"/>
      <c r="AI292" s="54"/>
    </row>
    <row r="293" spans="18:35" x14ac:dyDescent="0.2">
      <c r="R293" s="54"/>
      <c r="S293" s="54"/>
      <c r="T293" s="54"/>
      <c r="W293" s="54"/>
      <c r="X293" s="54"/>
      <c r="Y293" s="54"/>
      <c r="AB293" s="54"/>
      <c r="AC293" s="54"/>
      <c r="AD293" s="54"/>
      <c r="AG293" s="54"/>
      <c r="AH293" s="54"/>
      <c r="AI293" s="54"/>
    </row>
    <row r="294" spans="18:35" x14ac:dyDescent="0.2">
      <c r="R294" s="54"/>
      <c r="S294" s="54"/>
      <c r="T294" s="54"/>
      <c r="W294" s="54"/>
      <c r="X294" s="54"/>
      <c r="Y294" s="54"/>
      <c r="AB294" s="54"/>
      <c r="AC294" s="54"/>
      <c r="AD294" s="54"/>
      <c r="AG294" s="54"/>
      <c r="AH294" s="54"/>
      <c r="AI294" s="54"/>
    </row>
    <row r="295" spans="18:35" x14ac:dyDescent="0.2">
      <c r="R295" s="54"/>
      <c r="S295" s="54"/>
      <c r="T295" s="54"/>
      <c r="W295" s="54"/>
      <c r="X295" s="54"/>
      <c r="Y295" s="54"/>
      <c r="AB295" s="54"/>
      <c r="AC295" s="54"/>
      <c r="AD295" s="54"/>
      <c r="AG295" s="54"/>
      <c r="AH295" s="54"/>
      <c r="AI295" s="54"/>
    </row>
    <row r="296" spans="18:35" x14ac:dyDescent="0.2">
      <c r="R296" s="54"/>
      <c r="S296" s="54"/>
      <c r="T296" s="54"/>
      <c r="W296" s="54"/>
      <c r="X296" s="54"/>
      <c r="Y296" s="54"/>
      <c r="AB296" s="54"/>
      <c r="AC296" s="54"/>
      <c r="AD296" s="54"/>
      <c r="AG296" s="54"/>
      <c r="AH296" s="54"/>
      <c r="AI296" s="54"/>
    </row>
    <row r="297" spans="18:35" x14ac:dyDescent="0.2">
      <c r="R297" s="54"/>
      <c r="S297" s="54"/>
      <c r="T297" s="54"/>
      <c r="W297" s="54"/>
      <c r="X297" s="54"/>
      <c r="Y297" s="54"/>
      <c r="AB297" s="54"/>
      <c r="AC297" s="54"/>
      <c r="AD297" s="54"/>
      <c r="AG297" s="54"/>
      <c r="AH297" s="54"/>
      <c r="AI297" s="54"/>
    </row>
    <row r="298" spans="18:35" x14ac:dyDescent="0.2">
      <c r="R298" s="54"/>
      <c r="S298" s="54"/>
      <c r="T298" s="54"/>
      <c r="W298" s="54"/>
      <c r="X298" s="54"/>
      <c r="Y298" s="54"/>
      <c r="AB298" s="54"/>
      <c r="AC298" s="54"/>
      <c r="AD298" s="54"/>
      <c r="AG298" s="54"/>
      <c r="AH298" s="54"/>
      <c r="AI298" s="54"/>
    </row>
    <row r="299" spans="18:35" x14ac:dyDescent="0.2">
      <c r="R299" s="54"/>
      <c r="S299" s="54"/>
      <c r="T299" s="54"/>
      <c r="W299" s="54"/>
      <c r="X299" s="54"/>
      <c r="Y299" s="54"/>
      <c r="AB299" s="54"/>
      <c r="AC299" s="54"/>
      <c r="AD299" s="54"/>
      <c r="AG299" s="54"/>
      <c r="AH299" s="54"/>
      <c r="AI299" s="54"/>
    </row>
    <row r="300" spans="18:35" x14ac:dyDescent="0.2">
      <c r="R300" s="54"/>
      <c r="S300" s="54"/>
      <c r="T300" s="54"/>
      <c r="W300" s="54"/>
      <c r="X300" s="54"/>
      <c r="Y300" s="54"/>
      <c r="AB300" s="54"/>
      <c r="AC300" s="54"/>
      <c r="AD300" s="54"/>
      <c r="AG300" s="54"/>
      <c r="AH300" s="54"/>
      <c r="AI300" s="54"/>
    </row>
    <row r="301" spans="18:35" x14ac:dyDescent="0.2">
      <c r="R301" s="54"/>
      <c r="S301" s="54"/>
      <c r="T301" s="54"/>
      <c r="W301" s="54"/>
      <c r="X301" s="54"/>
      <c r="Y301" s="54"/>
      <c r="AB301" s="54"/>
      <c r="AC301" s="54"/>
      <c r="AD301" s="54"/>
      <c r="AG301" s="54"/>
      <c r="AH301" s="54"/>
      <c r="AI301" s="54"/>
    </row>
    <row r="302" spans="18:35" x14ac:dyDescent="0.2">
      <c r="R302" s="54"/>
      <c r="S302" s="54"/>
      <c r="T302" s="54"/>
      <c r="W302" s="54"/>
      <c r="X302" s="54"/>
      <c r="Y302" s="54"/>
      <c r="AB302" s="54"/>
      <c r="AC302" s="54"/>
      <c r="AD302" s="54"/>
      <c r="AG302" s="54"/>
      <c r="AH302" s="54"/>
      <c r="AI302" s="54"/>
    </row>
    <row r="303" spans="18:35" x14ac:dyDescent="0.2">
      <c r="R303" s="54"/>
      <c r="S303" s="54"/>
      <c r="T303" s="54"/>
      <c r="W303" s="54"/>
      <c r="X303" s="54"/>
      <c r="Y303" s="54"/>
      <c r="AB303" s="54"/>
      <c r="AC303" s="54"/>
      <c r="AD303" s="54"/>
      <c r="AG303" s="54"/>
      <c r="AH303" s="54"/>
      <c r="AI303" s="54"/>
    </row>
    <row r="304" spans="18:35" x14ac:dyDescent="0.2">
      <c r="R304" s="54"/>
      <c r="S304" s="54"/>
      <c r="T304" s="54"/>
      <c r="W304" s="54"/>
      <c r="X304" s="54"/>
      <c r="Y304" s="54"/>
      <c r="AB304" s="54"/>
      <c r="AC304" s="54"/>
      <c r="AD304" s="54"/>
      <c r="AG304" s="54"/>
      <c r="AH304" s="54"/>
      <c r="AI304" s="54"/>
    </row>
    <row r="305" spans="18:35" x14ac:dyDescent="0.2">
      <c r="R305" s="54"/>
      <c r="S305" s="54"/>
      <c r="T305" s="54"/>
      <c r="W305" s="54"/>
      <c r="X305" s="54"/>
      <c r="Y305" s="54"/>
      <c r="AB305" s="54"/>
      <c r="AC305" s="54"/>
      <c r="AD305" s="54"/>
      <c r="AG305" s="54"/>
      <c r="AH305" s="54"/>
      <c r="AI305" s="54"/>
    </row>
    <row r="306" spans="18:35" x14ac:dyDescent="0.2">
      <c r="R306" s="54"/>
      <c r="S306" s="54"/>
      <c r="T306" s="54"/>
      <c r="W306" s="54"/>
      <c r="X306" s="54"/>
      <c r="Y306" s="54"/>
      <c r="AB306" s="54"/>
      <c r="AC306" s="54"/>
      <c r="AD306" s="54"/>
      <c r="AG306" s="54"/>
      <c r="AH306" s="54"/>
      <c r="AI306" s="54"/>
    </row>
    <row r="307" spans="18:35" x14ac:dyDescent="0.2">
      <c r="R307" s="54"/>
      <c r="S307" s="54"/>
      <c r="T307" s="54"/>
      <c r="W307" s="54"/>
      <c r="X307" s="54"/>
      <c r="Y307" s="54"/>
      <c r="AB307" s="54"/>
      <c r="AC307" s="54"/>
      <c r="AD307" s="54"/>
      <c r="AG307" s="54"/>
      <c r="AH307" s="54"/>
      <c r="AI307" s="54"/>
    </row>
    <row r="308" spans="18:35" x14ac:dyDescent="0.2">
      <c r="R308" s="54"/>
      <c r="S308" s="54"/>
      <c r="T308" s="54"/>
      <c r="W308" s="54"/>
      <c r="X308" s="54"/>
      <c r="Y308" s="54"/>
      <c r="AB308" s="54"/>
      <c r="AC308" s="54"/>
      <c r="AD308" s="54"/>
      <c r="AG308" s="54"/>
      <c r="AH308" s="54"/>
      <c r="AI308" s="54"/>
    </row>
    <row r="309" spans="18:35" x14ac:dyDescent="0.2">
      <c r="R309" s="54"/>
      <c r="S309" s="54"/>
      <c r="T309" s="54"/>
      <c r="W309" s="54"/>
      <c r="X309" s="54"/>
      <c r="Y309" s="54"/>
      <c r="AB309" s="54"/>
      <c r="AC309" s="54"/>
      <c r="AD309" s="54"/>
      <c r="AG309" s="54"/>
      <c r="AH309" s="54"/>
      <c r="AI309" s="54"/>
    </row>
    <row r="310" spans="18:35" x14ac:dyDescent="0.2">
      <c r="R310" s="54"/>
      <c r="S310" s="54"/>
      <c r="T310" s="54"/>
      <c r="W310" s="54"/>
      <c r="X310" s="54"/>
      <c r="Y310" s="54"/>
      <c r="AB310" s="54"/>
      <c r="AC310" s="54"/>
      <c r="AD310" s="54"/>
      <c r="AG310" s="54"/>
      <c r="AH310" s="54"/>
      <c r="AI310" s="54"/>
    </row>
    <row r="311" spans="18:35" x14ac:dyDescent="0.2">
      <c r="R311" s="54"/>
      <c r="S311" s="54"/>
      <c r="T311" s="54"/>
      <c r="W311" s="54"/>
      <c r="X311" s="54"/>
      <c r="Y311" s="54"/>
      <c r="AB311" s="54"/>
      <c r="AC311" s="54"/>
      <c r="AD311" s="54"/>
      <c r="AG311" s="54"/>
      <c r="AH311" s="54"/>
      <c r="AI311" s="54"/>
    </row>
    <row r="312" spans="18:35" x14ac:dyDescent="0.2">
      <c r="R312" s="54"/>
      <c r="S312" s="54"/>
      <c r="T312" s="54"/>
      <c r="W312" s="54"/>
      <c r="X312" s="54"/>
      <c r="Y312" s="54"/>
      <c r="AB312" s="54"/>
      <c r="AC312" s="54"/>
      <c r="AD312" s="54"/>
      <c r="AG312" s="54"/>
      <c r="AH312" s="54"/>
      <c r="AI312" s="54"/>
    </row>
    <row r="313" spans="18:35" x14ac:dyDescent="0.2">
      <c r="R313" s="54"/>
      <c r="S313" s="54"/>
      <c r="T313" s="54"/>
      <c r="W313" s="54"/>
      <c r="X313" s="54"/>
      <c r="Y313" s="54"/>
      <c r="AB313" s="54"/>
      <c r="AC313" s="54"/>
      <c r="AD313" s="54"/>
      <c r="AG313" s="54"/>
      <c r="AH313" s="54"/>
      <c r="AI313" s="54"/>
    </row>
    <row r="314" spans="18:35" x14ac:dyDescent="0.2">
      <c r="R314" s="54"/>
      <c r="S314" s="54"/>
      <c r="T314" s="54"/>
      <c r="W314" s="54"/>
      <c r="X314" s="54"/>
      <c r="Y314" s="54"/>
      <c r="AB314" s="54"/>
      <c r="AC314" s="54"/>
      <c r="AD314" s="54"/>
      <c r="AG314" s="54"/>
      <c r="AH314" s="54"/>
      <c r="AI314" s="54"/>
    </row>
    <row r="315" spans="18:35" x14ac:dyDescent="0.2">
      <c r="R315" s="54"/>
      <c r="S315" s="54"/>
      <c r="T315" s="54"/>
      <c r="W315" s="54"/>
      <c r="X315" s="54"/>
      <c r="Y315" s="54"/>
      <c r="AB315" s="54"/>
      <c r="AC315" s="54"/>
      <c r="AD315" s="54"/>
      <c r="AG315" s="54"/>
      <c r="AH315" s="54"/>
      <c r="AI315" s="54"/>
    </row>
    <row r="316" spans="18:35" x14ac:dyDescent="0.2">
      <c r="R316" s="54"/>
      <c r="S316" s="54"/>
      <c r="T316" s="54"/>
      <c r="W316" s="54"/>
      <c r="X316" s="54"/>
      <c r="Y316" s="54"/>
      <c r="AB316" s="54"/>
      <c r="AC316" s="54"/>
      <c r="AD316" s="54"/>
      <c r="AG316" s="54"/>
      <c r="AH316" s="54"/>
      <c r="AI316" s="54"/>
    </row>
    <row r="317" spans="18:35" x14ac:dyDescent="0.2">
      <c r="R317" s="54"/>
      <c r="S317" s="54"/>
      <c r="T317" s="54"/>
      <c r="W317" s="54"/>
      <c r="X317" s="54"/>
      <c r="Y317" s="54"/>
      <c r="AB317" s="54"/>
      <c r="AC317" s="54"/>
      <c r="AD317" s="54"/>
      <c r="AG317" s="54"/>
      <c r="AH317" s="54"/>
      <c r="AI317" s="54"/>
    </row>
    <row r="318" spans="18:35" x14ac:dyDescent="0.2">
      <c r="R318" s="54"/>
      <c r="S318" s="54"/>
      <c r="T318" s="54"/>
      <c r="W318" s="54"/>
      <c r="X318" s="54"/>
      <c r="Y318" s="54"/>
      <c r="AB318" s="54"/>
      <c r="AC318" s="54"/>
      <c r="AD318" s="54"/>
      <c r="AG318" s="54"/>
      <c r="AH318" s="54"/>
      <c r="AI318" s="54"/>
    </row>
    <row r="319" spans="18:35" x14ac:dyDescent="0.2">
      <c r="R319" s="54"/>
      <c r="S319" s="54"/>
      <c r="T319" s="54"/>
      <c r="W319" s="54"/>
      <c r="X319" s="54"/>
      <c r="Y319" s="54"/>
      <c r="AB319" s="54"/>
      <c r="AC319" s="54"/>
      <c r="AD319" s="54"/>
      <c r="AG319" s="54"/>
      <c r="AH319" s="54"/>
      <c r="AI319" s="54"/>
    </row>
    <row r="320" spans="18:35" x14ac:dyDescent="0.2">
      <c r="R320" s="54"/>
      <c r="S320" s="54"/>
      <c r="T320" s="54"/>
      <c r="W320" s="54"/>
      <c r="X320" s="54"/>
      <c r="Y320" s="54"/>
      <c r="AB320" s="54"/>
      <c r="AC320" s="54"/>
      <c r="AD320" s="54"/>
      <c r="AG320" s="54"/>
      <c r="AH320" s="54"/>
      <c r="AI320" s="54"/>
    </row>
    <row r="321" spans="18:35" x14ac:dyDescent="0.2">
      <c r="R321" s="54"/>
      <c r="S321" s="54"/>
      <c r="T321" s="54"/>
      <c r="W321" s="54"/>
      <c r="X321" s="54"/>
      <c r="Y321" s="54"/>
      <c r="AB321" s="54"/>
      <c r="AC321" s="54"/>
      <c r="AD321" s="54"/>
      <c r="AG321" s="54"/>
      <c r="AH321" s="54"/>
      <c r="AI321" s="54"/>
    </row>
    <row r="322" spans="18:35" x14ac:dyDescent="0.2">
      <c r="R322" s="54"/>
      <c r="S322" s="54"/>
      <c r="T322" s="54"/>
      <c r="W322" s="54"/>
      <c r="X322" s="54"/>
      <c r="Y322" s="54"/>
      <c r="AB322" s="54"/>
      <c r="AC322" s="54"/>
      <c r="AD322" s="54"/>
      <c r="AG322" s="54"/>
      <c r="AH322" s="54"/>
      <c r="AI322" s="54"/>
    </row>
    <row r="323" spans="18:35" x14ac:dyDescent="0.2">
      <c r="R323" s="54"/>
      <c r="S323" s="54"/>
      <c r="T323" s="54"/>
      <c r="W323" s="54"/>
      <c r="X323" s="54"/>
      <c r="Y323" s="54"/>
      <c r="AB323" s="54"/>
      <c r="AC323" s="54"/>
      <c r="AD323" s="54"/>
      <c r="AG323" s="54"/>
      <c r="AH323" s="54"/>
      <c r="AI323" s="54"/>
    </row>
    <row r="324" spans="18:35" x14ac:dyDescent="0.2">
      <c r="R324" s="54"/>
      <c r="S324" s="54"/>
      <c r="T324" s="54"/>
      <c r="W324" s="54"/>
      <c r="X324" s="54"/>
      <c r="Y324" s="54"/>
      <c r="AB324" s="54"/>
      <c r="AC324" s="54"/>
      <c r="AD324" s="54"/>
      <c r="AG324" s="54"/>
      <c r="AH324" s="54"/>
      <c r="AI324" s="54"/>
    </row>
    <row r="325" spans="18:35" x14ac:dyDescent="0.2">
      <c r="R325" s="54"/>
      <c r="S325" s="54"/>
      <c r="T325" s="54"/>
      <c r="W325" s="54"/>
      <c r="X325" s="54"/>
      <c r="Y325" s="54"/>
      <c r="AB325" s="54"/>
      <c r="AC325" s="54"/>
      <c r="AD325" s="54"/>
      <c r="AG325" s="54"/>
      <c r="AH325" s="54"/>
      <c r="AI325" s="54"/>
    </row>
    <row r="326" spans="18:35" x14ac:dyDescent="0.2">
      <c r="R326" s="54"/>
      <c r="S326" s="54"/>
      <c r="T326" s="54"/>
      <c r="W326" s="54"/>
      <c r="X326" s="54"/>
      <c r="Y326" s="54"/>
      <c r="AB326" s="54"/>
      <c r="AC326" s="54"/>
      <c r="AD326" s="54"/>
      <c r="AG326" s="54"/>
      <c r="AH326" s="54"/>
      <c r="AI326" s="54"/>
    </row>
    <row r="327" spans="18:35" x14ac:dyDescent="0.2">
      <c r="R327" s="54"/>
      <c r="S327" s="54"/>
      <c r="T327" s="54"/>
      <c r="W327" s="54"/>
      <c r="X327" s="54"/>
      <c r="Y327" s="54"/>
      <c r="AB327" s="54"/>
      <c r="AC327" s="54"/>
      <c r="AD327" s="54"/>
      <c r="AG327" s="54"/>
      <c r="AH327" s="54"/>
      <c r="AI327" s="54"/>
    </row>
    <row r="328" spans="18:35" x14ac:dyDescent="0.2">
      <c r="R328" s="54"/>
      <c r="S328" s="54"/>
      <c r="T328" s="54"/>
      <c r="W328" s="54"/>
      <c r="X328" s="54"/>
      <c r="Y328" s="54"/>
      <c r="AB328" s="54"/>
      <c r="AC328" s="54"/>
      <c r="AD328" s="54"/>
      <c r="AG328" s="54"/>
      <c r="AH328" s="54"/>
      <c r="AI328" s="54"/>
    </row>
    <row r="329" spans="18:35" x14ac:dyDescent="0.2">
      <c r="R329" s="54"/>
      <c r="S329" s="54"/>
      <c r="T329" s="54"/>
      <c r="W329" s="54"/>
      <c r="X329" s="54"/>
      <c r="Y329" s="54"/>
      <c r="AB329" s="54"/>
      <c r="AC329" s="54"/>
      <c r="AD329" s="54"/>
      <c r="AG329" s="54"/>
      <c r="AH329" s="54"/>
      <c r="AI329" s="54"/>
    </row>
    <row r="330" spans="18:35" x14ac:dyDescent="0.2">
      <c r="R330" s="54"/>
      <c r="S330" s="54"/>
      <c r="T330" s="54"/>
      <c r="W330" s="54"/>
      <c r="X330" s="54"/>
      <c r="Y330" s="54"/>
      <c r="AB330" s="54"/>
      <c r="AC330" s="54"/>
      <c r="AD330" s="54"/>
      <c r="AG330" s="54"/>
      <c r="AH330" s="54"/>
      <c r="AI330" s="54"/>
    </row>
    <row r="331" spans="18:35" x14ac:dyDescent="0.2">
      <c r="R331" s="54"/>
      <c r="S331" s="54"/>
      <c r="T331" s="54"/>
      <c r="W331" s="54"/>
      <c r="X331" s="54"/>
      <c r="Y331" s="54"/>
      <c r="AB331" s="54"/>
      <c r="AC331" s="54"/>
      <c r="AD331" s="54"/>
      <c r="AG331" s="54"/>
      <c r="AH331" s="54"/>
      <c r="AI331" s="54"/>
    </row>
    <row r="332" spans="18:35" x14ac:dyDescent="0.2">
      <c r="R332" s="54"/>
      <c r="S332" s="54"/>
      <c r="T332" s="54"/>
      <c r="W332" s="54"/>
      <c r="X332" s="54"/>
      <c r="Y332" s="54"/>
      <c r="AB332" s="54"/>
      <c r="AC332" s="54"/>
      <c r="AD332" s="54"/>
      <c r="AG332" s="54"/>
      <c r="AH332" s="54"/>
      <c r="AI332" s="54"/>
    </row>
    <row r="333" spans="18:35" x14ac:dyDescent="0.2">
      <c r="R333" s="54"/>
      <c r="S333" s="54"/>
      <c r="T333" s="54"/>
      <c r="W333" s="54"/>
      <c r="X333" s="54"/>
      <c r="Y333" s="54"/>
      <c r="AB333" s="54"/>
      <c r="AC333" s="54"/>
      <c r="AD333" s="54"/>
      <c r="AG333" s="54"/>
      <c r="AH333" s="54"/>
      <c r="AI333" s="54"/>
    </row>
    <row r="334" spans="18:35" x14ac:dyDescent="0.2">
      <c r="R334" s="54"/>
      <c r="S334" s="54"/>
      <c r="T334" s="54"/>
      <c r="W334" s="54"/>
      <c r="X334" s="54"/>
      <c r="Y334" s="54"/>
      <c r="AB334" s="54"/>
      <c r="AC334" s="54"/>
      <c r="AD334" s="54"/>
      <c r="AG334" s="54"/>
      <c r="AH334" s="54"/>
      <c r="AI334" s="54"/>
    </row>
    <row r="335" spans="18:35" x14ac:dyDescent="0.2">
      <c r="R335" s="54"/>
      <c r="S335" s="54"/>
      <c r="T335" s="54"/>
      <c r="W335" s="54"/>
      <c r="X335" s="54"/>
      <c r="Y335" s="54"/>
      <c r="AB335" s="54"/>
      <c r="AC335" s="54"/>
      <c r="AD335" s="54"/>
      <c r="AG335" s="54"/>
      <c r="AH335" s="54"/>
      <c r="AI335" s="54"/>
    </row>
    <row r="336" spans="18:35" x14ac:dyDescent="0.2">
      <c r="R336" s="54"/>
      <c r="S336" s="54"/>
      <c r="T336" s="54"/>
      <c r="W336" s="54"/>
      <c r="X336" s="54"/>
      <c r="Y336" s="54"/>
      <c r="AB336" s="54"/>
      <c r="AC336" s="54"/>
      <c r="AD336" s="54"/>
      <c r="AG336" s="54"/>
      <c r="AH336" s="54"/>
      <c r="AI336" s="54"/>
    </row>
    <row r="337" spans="18:35" x14ac:dyDescent="0.2">
      <c r="R337" s="54"/>
      <c r="S337" s="54"/>
      <c r="T337" s="54"/>
      <c r="W337" s="54"/>
      <c r="X337" s="54"/>
      <c r="Y337" s="54"/>
      <c r="AB337" s="54"/>
      <c r="AC337" s="54"/>
      <c r="AD337" s="54"/>
      <c r="AG337" s="54"/>
      <c r="AH337" s="54"/>
      <c r="AI337" s="54"/>
    </row>
    <row r="338" spans="18:35" x14ac:dyDescent="0.2">
      <c r="R338" s="54"/>
      <c r="S338" s="54"/>
      <c r="T338" s="54"/>
      <c r="W338" s="54"/>
      <c r="X338" s="54"/>
      <c r="Y338" s="54"/>
      <c r="AB338" s="54"/>
      <c r="AC338" s="54"/>
      <c r="AD338" s="54"/>
      <c r="AG338" s="54"/>
      <c r="AH338" s="54"/>
      <c r="AI338" s="54"/>
    </row>
    <row r="339" spans="18:35" x14ac:dyDescent="0.2">
      <c r="R339" s="54"/>
      <c r="S339" s="54"/>
      <c r="T339" s="54"/>
      <c r="W339" s="54"/>
      <c r="X339" s="54"/>
      <c r="Y339" s="54"/>
      <c r="AB339" s="54"/>
      <c r="AC339" s="54"/>
      <c r="AD339" s="54"/>
      <c r="AG339" s="54"/>
      <c r="AH339" s="54"/>
      <c r="AI339" s="54"/>
    </row>
    <row r="340" spans="18:35" x14ac:dyDescent="0.2">
      <c r="R340" s="54"/>
      <c r="S340" s="54"/>
      <c r="T340" s="54"/>
      <c r="W340" s="54"/>
      <c r="X340" s="54"/>
      <c r="Y340" s="54"/>
      <c r="AB340" s="54"/>
      <c r="AC340" s="54"/>
      <c r="AD340" s="54"/>
      <c r="AG340" s="54"/>
      <c r="AH340" s="54"/>
      <c r="AI340" s="54"/>
    </row>
    <row r="341" spans="18:35" x14ac:dyDescent="0.2">
      <c r="R341" s="54"/>
      <c r="S341" s="54"/>
      <c r="T341" s="54"/>
      <c r="W341" s="54"/>
      <c r="X341" s="54"/>
      <c r="Y341" s="54"/>
      <c r="AB341" s="54"/>
      <c r="AC341" s="54"/>
      <c r="AD341" s="54"/>
      <c r="AG341" s="54"/>
      <c r="AH341" s="54"/>
      <c r="AI341" s="54"/>
    </row>
    <row r="342" spans="18:35" x14ac:dyDescent="0.2">
      <c r="R342" s="54"/>
      <c r="S342" s="54"/>
      <c r="T342" s="54"/>
      <c r="W342" s="54"/>
      <c r="X342" s="54"/>
      <c r="Y342" s="54"/>
      <c r="AB342" s="54"/>
      <c r="AC342" s="54"/>
      <c r="AD342" s="54"/>
      <c r="AG342" s="54"/>
      <c r="AH342" s="54"/>
      <c r="AI342" s="54"/>
    </row>
    <row r="343" spans="18:35" x14ac:dyDescent="0.2">
      <c r="R343" s="54"/>
      <c r="S343" s="54"/>
      <c r="T343" s="54"/>
      <c r="W343" s="54"/>
      <c r="X343" s="54"/>
      <c r="Y343" s="54"/>
      <c r="AB343" s="54"/>
      <c r="AC343" s="54"/>
      <c r="AD343" s="54"/>
      <c r="AG343" s="54"/>
      <c r="AH343" s="54"/>
      <c r="AI343" s="54"/>
    </row>
    <row r="344" spans="18:35" x14ac:dyDescent="0.2">
      <c r="R344" s="54"/>
      <c r="S344" s="54"/>
      <c r="T344" s="54"/>
      <c r="W344" s="54"/>
      <c r="X344" s="54"/>
      <c r="Y344" s="54"/>
      <c r="AB344" s="54"/>
      <c r="AC344" s="54"/>
      <c r="AD344" s="54"/>
      <c r="AG344" s="54"/>
      <c r="AH344" s="54"/>
      <c r="AI344" s="54"/>
    </row>
    <row r="345" spans="18:35" x14ac:dyDescent="0.2">
      <c r="R345" s="54"/>
      <c r="S345" s="54"/>
      <c r="T345" s="54"/>
      <c r="W345" s="54"/>
      <c r="X345" s="54"/>
      <c r="Y345" s="54"/>
      <c r="AB345" s="54"/>
      <c r="AC345" s="54"/>
      <c r="AD345" s="54"/>
      <c r="AG345" s="54"/>
      <c r="AH345" s="54"/>
      <c r="AI345" s="54"/>
    </row>
    <row r="346" spans="18:35" x14ac:dyDescent="0.2">
      <c r="R346" s="54"/>
      <c r="S346" s="54"/>
      <c r="T346" s="54"/>
      <c r="W346" s="54"/>
      <c r="X346" s="54"/>
      <c r="Y346" s="54"/>
      <c r="AB346" s="54"/>
      <c r="AC346" s="54"/>
      <c r="AD346" s="54"/>
      <c r="AG346" s="54"/>
      <c r="AH346" s="54"/>
      <c r="AI346" s="54"/>
    </row>
    <row r="347" spans="18:35" x14ac:dyDescent="0.2">
      <c r="R347" s="54"/>
      <c r="S347" s="54"/>
      <c r="T347" s="54"/>
      <c r="W347" s="54"/>
      <c r="X347" s="54"/>
      <c r="Y347" s="54"/>
      <c r="AB347" s="54"/>
      <c r="AC347" s="54"/>
      <c r="AD347" s="54"/>
      <c r="AG347" s="54"/>
      <c r="AH347" s="54"/>
      <c r="AI347" s="54"/>
    </row>
    <row r="348" spans="18:35" x14ac:dyDescent="0.2">
      <c r="R348" s="54"/>
      <c r="S348" s="54"/>
      <c r="T348" s="54"/>
      <c r="W348" s="54"/>
      <c r="X348" s="54"/>
      <c r="Y348" s="54"/>
      <c r="AB348" s="54"/>
      <c r="AC348" s="54"/>
      <c r="AD348" s="54"/>
      <c r="AG348" s="54"/>
      <c r="AH348" s="54"/>
      <c r="AI348" s="54"/>
    </row>
    <row r="349" spans="18:35" x14ac:dyDescent="0.2">
      <c r="R349" s="54"/>
      <c r="S349" s="54"/>
      <c r="T349" s="54"/>
      <c r="W349" s="54"/>
      <c r="X349" s="54"/>
      <c r="Y349" s="54"/>
      <c r="AB349" s="54"/>
      <c r="AC349" s="54"/>
      <c r="AD349" s="54"/>
      <c r="AG349" s="54"/>
      <c r="AH349" s="54"/>
      <c r="AI349" s="54"/>
    </row>
    <row r="350" spans="18:35" x14ac:dyDescent="0.2">
      <c r="R350" s="54"/>
      <c r="S350" s="54"/>
      <c r="T350" s="54"/>
      <c r="W350" s="54"/>
      <c r="X350" s="54"/>
      <c r="Y350" s="54"/>
      <c r="AB350" s="54"/>
      <c r="AC350" s="54"/>
      <c r="AD350" s="54"/>
      <c r="AG350" s="54"/>
      <c r="AH350" s="54"/>
      <c r="AI350" s="54"/>
    </row>
    <row r="351" spans="18:35" x14ac:dyDescent="0.2">
      <c r="R351" s="54"/>
      <c r="S351" s="54"/>
      <c r="T351" s="54"/>
      <c r="W351" s="54"/>
      <c r="X351" s="54"/>
      <c r="Y351" s="54"/>
      <c r="AB351" s="54"/>
      <c r="AC351" s="54"/>
      <c r="AD351" s="54"/>
      <c r="AG351" s="54"/>
      <c r="AH351" s="54"/>
      <c r="AI351" s="54"/>
    </row>
    <row r="352" spans="18:35" x14ac:dyDescent="0.2">
      <c r="R352" s="54"/>
      <c r="S352" s="54"/>
      <c r="T352" s="54"/>
      <c r="W352" s="54"/>
      <c r="X352" s="54"/>
      <c r="Y352" s="54"/>
      <c r="AB352" s="54"/>
      <c r="AC352" s="54"/>
      <c r="AD352" s="54"/>
      <c r="AG352" s="54"/>
      <c r="AH352" s="54"/>
      <c r="AI352" s="54"/>
    </row>
    <row r="353" spans="18:35" x14ac:dyDescent="0.2">
      <c r="R353" s="54"/>
      <c r="S353" s="54"/>
      <c r="T353" s="54"/>
      <c r="W353" s="54"/>
      <c r="X353" s="54"/>
      <c r="Y353" s="54"/>
      <c r="AB353" s="54"/>
      <c r="AC353" s="54"/>
      <c r="AD353" s="54"/>
      <c r="AG353" s="54"/>
      <c r="AH353" s="54"/>
      <c r="AI353" s="54"/>
    </row>
    <row r="354" spans="18:35" x14ac:dyDescent="0.2">
      <c r="R354" s="54"/>
      <c r="S354" s="54"/>
      <c r="T354" s="54"/>
      <c r="W354" s="54"/>
      <c r="X354" s="54"/>
      <c r="Y354" s="54"/>
      <c r="AB354" s="54"/>
      <c r="AC354" s="54"/>
      <c r="AD354" s="54"/>
      <c r="AG354" s="54"/>
      <c r="AH354" s="54"/>
      <c r="AI354" s="54"/>
    </row>
    <row r="355" spans="18:35" x14ac:dyDescent="0.2">
      <c r="R355" s="54"/>
      <c r="S355" s="54"/>
      <c r="T355" s="54"/>
      <c r="W355" s="54"/>
      <c r="X355" s="54"/>
      <c r="Y355" s="54"/>
      <c r="AB355" s="54"/>
      <c r="AC355" s="54"/>
      <c r="AD355" s="54"/>
      <c r="AG355" s="54"/>
      <c r="AH355" s="54"/>
      <c r="AI355" s="54"/>
    </row>
    <row r="356" spans="18:35" x14ac:dyDescent="0.2">
      <c r="R356" s="54"/>
      <c r="S356" s="54"/>
      <c r="T356" s="54"/>
      <c r="W356" s="54"/>
      <c r="X356" s="54"/>
      <c r="Y356" s="54"/>
      <c r="AB356" s="54"/>
      <c r="AC356" s="54"/>
      <c r="AD356" s="54"/>
      <c r="AG356" s="54"/>
      <c r="AH356" s="54"/>
      <c r="AI356" s="54"/>
    </row>
    <row r="357" spans="18:35" x14ac:dyDescent="0.2">
      <c r="R357" s="54"/>
      <c r="S357" s="54"/>
      <c r="T357" s="54"/>
      <c r="W357" s="54"/>
      <c r="X357" s="54"/>
      <c r="Y357" s="54"/>
      <c r="AB357" s="54"/>
      <c r="AC357" s="54"/>
      <c r="AD357" s="54"/>
      <c r="AG357" s="54"/>
      <c r="AH357" s="54"/>
      <c r="AI357" s="54"/>
    </row>
    <row r="358" spans="18:35" x14ac:dyDescent="0.2">
      <c r="R358" s="54"/>
      <c r="S358" s="54"/>
      <c r="T358" s="54"/>
      <c r="W358" s="54"/>
      <c r="X358" s="54"/>
      <c r="Y358" s="54"/>
      <c r="AB358" s="54"/>
      <c r="AC358" s="54"/>
      <c r="AD358" s="54"/>
      <c r="AG358" s="54"/>
      <c r="AH358" s="54"/>
      <c r="AI358" s="54"/>
    </row>
    <row r="359" spans="18:35" x14ac:dyDescent="0.2">
      <c r="R359" s="54"/>
      <c r="S359" s="54"/>
      <c r="T359" s="54"/>
      <c r="W359" s="54"/>
      <c r="X359" s="54"/>
      <c r="Y359" s="54"/>
      <c r="AB359" s="54"/>
      <c r="AC359" s="54"/>
      <c r="AD359" s="54"/>
      <c r="AG359" s="54"/>
      <c r="AH359" s="54"/>
      <c r="AI359" s="54"/>
    </row>
    <row r="360" spans="18:35" x14ac:dyDescent="0.2">
      <c r="R360" s="54"/>
      <c r="S360" s="54"/>
      <c r="T360" s="54"/>
      <c r="W360" s="54"/>
      <c r="X360" s="54"/>
      <c r="Y360" s="54"/>
      <c r="AB360" s="54"/>
      <c r="AC360" s="54"/>
      <c r="AD360" s="54"/>
      <c r="AG360" s="54"/>
      <c r="AH360" s="54"/>
      <c r="AI360" s="54"/>
    </row>
    <row r="361" spans="18:35" x14ac:dyDescent="0.2">
      <c r="R361" s="54"/>
      <c r="S361" s="54"/>
      <c r="T361" s="54"/>
      <c r="W361" s="54"/>
      <c r="X361" s="54"/>
      <c r="Y361" s="54"/>
      <c r="AB361" s="54"/>
      <c r="AC361" s="54"/>
      <c r="AD361" s="54"/>
      <c r="AG361" s="54"/>
      <c r="AH361" s="54"/>
      <c r="AI361" s="54"/>
    </row>
    <row r="362" spans="18:35" x14ac:dyDescent="0.2">
      <c r="R362" s="54"/>
      <c r="S362" s="54"/>
      <c r="T362" s="54"/>
      <c r="W362" s="54"/>
      <c r="X362" s="54"/>
      <c r="Y362" s="54"/>
      <c r="AB362" s="54"/>
      <c r="AC362" s="54"/>
      <c r="AD362" s="54"/>
      <c r="AG362" s="54"/>
      <c r="AH362" s="54"/>
      <c r="AI362" s="54"/>
    </row>
    <row r="363" spans="18:35" x14ac:dyDescent="0.2">
      <c r="R363" s="54"/>
      <c r="S363" s="54"/>
      <c r="T363" s="54"/>
      <c r="W363" s="54"/>
      <c r="X363" s="54"/>
      <c r="Y363" s="54"/>
      <c r="AB363" s="54"/>
      <c r="AC363" s="54"/>
      <c r="AD363" s="54"/>
      <c r="AG363" s="54"/>
      <c r="AH363" s="54"/>
      <c r="AI363" s="54"/>
    </row>
    <row r="364" spans="18:35" x14ac:dyDescent="0.2">
      <c r="R364" s="54"/>
      <c r="S364" s="54"/>
      <c r="T364" s="54"/>
      <c r="W364" s="54"/>
      <c r="X364" s="54"/>
      <c r="Y364" s="54"/>
      <c r="AB364" s="54"/>
      <c r="AC364" s="54"/>
      <c r="AD364" s="54"/>
      <c r="AG364" s="54"/>
      <c r="AH364" s="54"/>
      <c r="AI364" s="54"/>
    </row>
    <row r="365" spans="18:35" x14ac:dyDescent="0.2">
      <c r="R365" s="54"/>
      <c r="S365" s="54"/>
      <c r="T365" s="54"/>
      <c r="W365" s="54"/>
      <c r="X365" s="54"/>
      <c r="Y365" s="54"/>
      <c r="AB365" s="54"/>
      <c r="AC365" s="54"/>
      <c r="AD365" s="54"/>
      <c r="AG365" s="54"/>
      <c r="AH365" s="54"/>
      <c r="AI365" s="54"/>
    </row>
    <row r="366" spans="18:35" x14ac:dyDescent="0.2">
      <c r="R366" s="54"/>
      <c r="S366" s="54"/>
      <c r="T366" s="54"/>
      <c r="W366" s="54"/>
      <c r="X366" s="54"/>
      <c r="Y366" s="54"/>
      <c r="AB366" s="54"/>
      <c r="AC366" s="54"/>
      <c r="AD366" s="54"/>
      <c r="AG366" s="54"/>
      <c r="AH366" s="54"/>
      <c r="AI366" s="54"/>
    </row>
    <row r="367" spans="18:35" x14ac:dyDescent="0.2">
      <c r="R367" s="54"/>
      <c r="S367" s="54"/>
      <c r="T367" s="54"/>
      <c r="W367" s="54"/>
      <c r="X367" s="54"/>
      <c r="Y367" s="54"/>
      <c r="AB367" s="54"/>
      <c r="AC367" s="54"/>
      <c r="AD367" s="54"/>
      <c r="AG367" s="54"/>
      <c r="AH367" s="54"/>
      <c r="AI367" s="54"/>
    </row>
    <row r="368" spans="18:35" x14ac:dyDescent="0.2">
      <c r="R368" s="54"/>
      <c r="S368" s="54"/>
      <c r="T368" s="54"/>
      <c r="W368" s="54"/>
      <c r="X368" s="54"/>
      <c r="Y368" s="54"/>
      <c r="AB368" s="54"/>
      <c r="AC368" s="54"/>
      <c r="AD368" s="54"/>
      <c r="AG368" s="54"/>
      <c r="AH368" s="54"/>
      <c r="AI368" s="54"/>
    </row>
    <row r="369" spans="18:35" x14ac:dyDescent="0.2">
      <c r="R369" s="54"/>
      <c r="S369" s="54"/>
      <c r="T369" s="54"/>
      <c r="W369" s="54"/>
      <c r="X369" s="54"/>
      <c r="Y369" s="54"/>
      <c r="AB369" s="54"/>
      <c r="AC369" s="54"/>
      <c r="AD369" s="54"/>
      <c r="AG369" s="54"/>
      <c r="AH369" s="54"/>
      <c r="AI369" s="54"/>
    </row>
    <row r="370" spans="18:35" x14ac:dyDescent="0.2">
      <c r="R370" s="54"/>
      <c r="S370" s="54"/>
      <c r="T370" s="54"/>
      <c r="W370" s="54"/>
      <c r="X370" s="54"/>
      <c r="Y370" s="54"/>
      <c r="AB370" s="54"/>
      <c r="AC370" s="54"/>
      <c r="AD370" s="54"/>
      <c r="AG370" s="54"/>
      <c r="AH370" s="54"/>
      <c r="AI370" s="54"/>
    </row>
    <row r="371" spans="18:35" x14ac:dyDescent="0.2">
      <c r="R371" s="54"/>
      <c r="S371" s="54"/>
      <c r="T371" s="54"/>
      <c r="W371" s="54"/>
      <c r="X371" s="54"/>
      <c r="Y371" s="54"/>
      <c r="AB371" s="54"/>
      <c r="AC371" s="54"/>
      <c r="AD371" s="54"/>
      <c r="AG371" s="54"/>
      <c r="AH371" s="54"/>
      <c r="AI371" s="54"/>
    </row>
    <row r="372" spans="18:35" x14ac:dyDescent="0.2">
      <c r="R372" s="54"/>
      <c r="S372" s="54"/>
      <c r="T372" s="54"/>
      <c r="W372" s="54"/>
      <c r="X372" s="54"/>
      <c r="Y372" s="54"/>
      <c r="AB372" s="54"/>
      <c r="AC372" s="54"/>
      <c r="AD372" s="54"/>
      <c r="AG372" s="54"/>
      <c r="AH372" s="54"/>
      <c r="AI372" s="54"/>
    </row>
    <row r="373" spans="18:35" x14ac:dyDescent="0.2">
      <c r="R373" s="54"/>
      <c r="S373" s="54"/>
      <c r="T373" s="54"/>
      <c r="W373" s="54"/>
      <c r="X373" s="54"/>
      <c r="Y373" s="54"/>
      <c r="AB373" s="54"/>
      <c r="AC373" s="54"/>
      <c r="AD373" s="54"/>
      <c r="AG373" s="54"/>
      <c r="AH373" s="54"/>
      <c r="AI373" s="54"/>
    </row>
    <row r="374" spans="18:35" x14ac:dyDescent="0.2">
      <c r="R374" s="54"/>
      <c r="S374" s="54"/>
      <c r="T374" s="54"/>
      <c r="W374" s="54"/>
      <c r="X374" s="54"/>
      <c r="Y374" s="54"/>
      <c r="AB374" s="54"/>
      <c r="AC374" s="54"/>
      <c r="AD374" s="54"/>
      <c r="AG374" s="54"/>
      <c r="AH374" s="54"/>
      <c r="AI374" s="54"/>
    </row>
    <row r="375" spans="18:35" x14ac:dyDescent="0.2">
      <c r="R375" s="54"/>
      <c r="S375" s="54"/>
      <c r="T375" s="54"/>
      <c r="W375" s="54"/>
      <c r="X375" s="54"/>
      <c r="Y375" s="54"/>
      <c r="AB375" s="54"/>
      <c r="AC375" s="54"/>
      <c r="AD375" s="54"/>
      <c r="AG375" s="54"/>
      <c r="AH375" s="54"/>
      <c r="AI375" s="54"/>
    </row>
    <row r="376" spans="18:35" x14ac:dyDescent="0.2">
      <c r="R376" s="54"/>
      <c r="S376" s="54"/>
      <c r="T376" s="54"/>
      <c r="W376" s="54"/>
      <c r="X376" s="54"/>
      <c r="Y376" s="54"/>
      <c r="AB376" s="54"/>
      <c r="AC376" s="54"/>
      <c r="AD376" s="54"/>
      <c r="AG376" s="54"/>
      <c r="AH376" s="54"/>
      <c r="AI376" s="54"/>
    </row>
    <row r="377" spans="18:35" x14ac:dyDescent="0.2">
      <c r="R377" s="54"/>
      <c r="S377" s="54"/>
      <c r="T377" s="54"/>
      <c r="W377" s="54"/>
      <c r="X377" s="54"/>
      <c r="Y377" s="54"/>
      <c r="AB377" s="54"/>
      <c r="AC377" s="54"/>
      <c r="AD377" s="54"/>
      <c r="AG377" s="54"/>
      <c r="AH377" s="54"/>
      <c r="AI377" s="54"/>
    </row>
    <row r="378" spans="18:35" x14ac:dyDescent="0.2">
      <c r="R378" s="54"/>
      <c r="S378" s="54"/>
      <c r="T378" s="54"/>
      <c r="W378" s="54"/>
      <c r="X378" s="54"/>
      <c r="Y378" s="54"/>
      <c r="AB378" s="54"/>
      <c r="AC378" s="54"/>
      <c r="AD378" s="54"/>
      <c r="AG378" s="54"/>
      <c r="AH378" s="54"/>
      <c r="AI378" s="54"/>
    </row>
    <row r="379" spans="18:35" x14ac:dyDescent="0.2">
      <c r="R379" s="54"/>
      <c r="S379" s="54"/>
      <c r="T379" s="54"/>
      <c r="W379" s="54"/>
      <c r="X379" s="54"/>
      <c r="Y379" s="54"/>
      <c r="AB379" s="54"/>
      <c r="AC379" s="54"/>
      <c r="AD379" s="54"/>
      <c r="AG379" s="54"/>
      <c r="AH379" s="54"/>
      <c r="AI379" s="54"/>
    </row>
    <row r="380" spans="18:35" x14ac:dyDescent="0.2">
      <c r="R380" s="54"/>
      <c r="S380" s="54"/>
      <c r="T380" s="54"/>
      <c r="W380" s="54"/>
      <c r="X380" s="54"/>
      <c r="Y380" s="54"/>
      <c r="AB380" s="54"/>
      <c r="AC380" s="54"/>
      <c r="AD380" s="54"/>
      <c r="AG380" s="54"/>
      <c r="AH380" s="54"/>
      <c r="AI380" s="54"/>
    </row>
    <row r="381" spans="18:35" x14ac:dyDescent="0.2">
      <c r="R381" s="54"/>
      <c r="S381" s="54"/>
      <c r="T381" s="54"/>
      <c r="W381" s="54"/>
      <c r="X381" s="54"/>
      <c r="Y381" s="54"/>
      <c r="AB381" s="54"/>
      <c r="AC381" s="54"/>
      <c r="AD381" s="54"/>
      <c r="AG381" s="54"/>
      <c r="AH381" s="54"/>
      <c r="AI381" s="54"/>
    </row>
    <row r="382" spans="18:35" x14ac:dyDescent="0.2">
      <c r="R382" s="54"/>
      <c r="S382" s="54"/>
      <c r="T382" s="54"/>
      <c r="W382" s="54"/>
      <c r="X382" s="54"/>
      <c r="Y382" s="54"/>
      <c r="AB382" s="54"/>
      <c r="AC382" s="54"/>
      <c r="AD382" s="54"/>
      <c r="AG382" s="54"/>
      <c r="AH382" s="54"/>
      <c r="AI382" s="54"/>
    </row>
    <row r="383" spans="18:35" x14ac:dyDescent="0.2">
      <c r="R383" s="54"/>
      <c r="S383" s="54"/>
      <c r="T383" s="54"/>
      <c r="W383" s="54"/>
      <c r="X383" s="54"/>
      <c r="Y383" s="54"/>
      <c r="AB383" s="54"/>
      <c r="AC383" s="54"/>
      <c r="AD383" s="54"/>
      <c r="AG383" s="54"/>
      <c r="AH383" s="54"/>
      <c r="AI383" s="54"/>
    </row>
    <row r="384" spans="18:35" x14ac:dyDescent="0.2">
      <c r="R384" s="54"/>
      <c r="S384" s="54"/>
      <c r="T384" s="54"/>
      <c r="W384" s="54"/>
      <c r="X384" s="54"/>
      <c r="Y384" s="54"/>
      <c r="AB384" s="54"/>
      <c r="AC384" s="54"/>
      <c r="AD384" s="54"/>
      <c r="AG384" s="54"/>
      <c r="AH384" s="54"/>
      <c r="AI384" s="54"/>
    </row>
    <row r="385" spans="18:35" x14ac:dyDescent="0.2">
      <c r="R385" s="54"/>
      <c r="S385" s="54"/>
      <c r="T385" s="54"/>
      <c r="W385" s="54"/>
      <c r="X385" s="54"/>
      <c r="Y385" s="54"/>
      <c r="AB385" s="54"/>
      <c r="AC385" s="54"/>
      <c r="AD385" s="54"/>
      <c r="AG385" s="54"/>
      <c r="AH385" s="54"/>
      <c r="AI385" s="54"/>
    </row>
    <row r="386" spans="18:35" x14ac:dyDescent="0.2">
      <c r="R386" s="54"/>
      <c r="S386" s="54"/>
      <c r="T386" s="54"/>
      <c r="W386" s="54"/>
      <c r="X386" s="54"/>
      <c r="Y386" s="54"/>
      <c r="AB386" s="54"/>
      <c r="AC386" s="54"/>
      <c r="AD386" s="54"/>
      <c r="AG386" s="54"/>
      <c r="AH386" s="54"/>
      <c r="AI386" s="54"/>
    </row>
    <row r="387" spans="18:35" x14ac:dyDescent="0.2">
      <c r="R387" s="54"/>
      <c r="S387" s="54"/>
      <c r="T387" s="54"/>
      <c r="W387" s="54"/>
      <c r="X387" s="54"/>
      <c r="Y387" s="54"/>
      <c r="AB387" s="54"/>
      <c r="AC387" s="54"/>
      <c r="AD387" s="54"/>
      <c r="AG387" s="54"/>
      <c r="AH387" s="54"/>
      <c r="AI387" s="54"/>
    </row>
    <row r="388" spans="18:35" x14ac:dyDescent="0.2">
      <c r="R388" s="54"/>
      <c r="S388" s="54"/>
      <c r="T388" s="54"/>
      <c r="W388" s="54"/>
      <c r="X388" s="54"/>
      <c r="Y388" s="54"/>
      <c r="AB388" s="54"/>
      <c r="AC388" s="54"/>
      <c r="AD388" s="54"/>
      <c r="AG388" s="54"/>
      <c r="AH388" s="54"/>
      <c r="AI388" s="54"/>
    </row>
    <row r="389" spans="18:35" x14ac:dyDescent="0.2">
      <c r="R389" s="54"/>
      <c r="S389" s="54"/>
      <c r="T389" s="54"/>
      <c r="W389" s="54"/>
      <c r="X389" s="54"/>
      <c r="Y389" s="54"/>
      <c r="AB389" s="54"/>
      <c r="AC389" s="54"/>
      <c r="AD389" s="54"/>
      <c r="AG389" s="54"/>
      <c r="AH389" s="54"/>
      <c r="AI389" s="54"/>
    </row>
    <row r="390" spans="18:35" x14ac:dyDescent="0.2">
      <c r="R390" s="54"/>
      <c r="S390" s="54"/>
      <c r="T390" s="54"/>
      <c r="W390" s="54"/>
      <c r="X390" s="54"/>
      <c r="Y390" s="54"/>
      <c r="AB390" s="54"/>
      <c r="AC390" s="54"/>
      <c r="AD390" s="54"/>
      <c r="AG390" s="54"/>
      <c r="AH390" s="54"/>
      <c r="AI390" s="54"/>
    </row>
    <row r="391" spans="18:35" x14ac:dyDescent="0.2">
      <c r="R391" s="54"/>
      <c r="S391" s="54"/>
      <c r="T391" s="54"/>
      <c r="W391" s="54"/>
      <c r="X391" s="54"/>
      <c r="Y391" s="54"/>
      <c r="AB391" s="54"/>
      <c r="AC391" s="54"/>
      <c r="AD391" s="54"/>
      <c r="AG391" s="54"/>
      <c r="AH391" s="54"/>
      <c r="AI391" s="54"/>
    </row>
    <row r="392" spans="18:35" x14ac:dyDescent="0.2">
      <c r="R392" s="54"/>
      <c r="S392" s="54"/>
      <c r="T392" s="54"/>
      <c r="W392" s="54"/>
      <c r="X392" s="54"/>
      <c r="Y392" s="54"/>
      <c r="AB392" s="54"/>
      <c r="AC392" s="54"/>
      <c r="AD392" s="54"/>
      <c r="AG392" s="54"/>
      <c r="AH392" s="54"/>
      <c r="AI392" s="54"/>
    </row>
    <row r="393" spans="18:35" x14ac:dyDescent="0.2">
      <c r="R393" s="54"/>
      <c r="S393" s="54"/>
      <c r="T393" s="54"/>
      <c r="W393" s="54"/>
      <c r="X393" s="54"/>
      <c r="Y393" s="54"/>
      <c r="AB393" s="54"/>
      <c r="AC393" s="54"/>
      <c r="AD393" s="54"/>
      <c r="AG393" s="54"/>
      <c r="AH393" s="54"/>
      <c r="AI393" s="54"/>
    </row>
    <row r="394" spans="18:35" x14ac:dyDescent="0.2">
      <c r="R394" s="54"/>
      <c r="S394" s="54"/>
      <c r="T394" s="54"/>
      <c r="W394" s="54"/>
      <c r="X394" s="54"/>
      <c r="Y394" s="54"/>
      <c r="AB394" s="54"/>
      <c r="AC394" s="54"/>
      <c r="AD394" s="54"/>
      <c r="AG394" s="54"/>
      <c r="AH394" s="54"/>
      <c r="AI394" s="54"/>
    </row>
    <row r="395" spans="18:35" x14ac:dyDescent="0.2">
      <c r="R395" s="54"/>
      <c r="S395" s="54"/>
      <c r="T395" s="54"/>
      <c r="W395" s="54"/>
      <c r="X395" s="54"/>
      <c r="Y395" s="54"/>
      <c r="AB395" s="54"/>
      <c r="AC395" s="54"/>
      <c r="AD395" s="54"/>
      <c r="AG395" s="54"/>
      <c r="AH395" s="54"/>
      <c r="AI395" s="54"/>
    </row>
    <row r="396" spans="18:35" x14ac:dyDescent="0.2">
      <c r="R396" s="54"/>
      <c r="S396" s="54"/>
      <c r="T396" s="54"/>
      <c r="W396" s="54"/>
      <c r="X396" s="54"/>
      <c r="Y396" s="54"/>
      <c r="AB396" s="54"/>
      <c r="AC396" s="54"/>
      <c r="AD396" s="54"/>
      <c r="AG396" s="54"/>
      <c r="AH396" s="54"/>
      <c r="AI396" s="54"/>
    </row>
    <row r="397" spans="18:35" x14ac:dyDescent="0.2">
      <c r="R397" s="54"/>
      <c r="S397" s="54"/>
      <c r="T397" s="54"/>
      <c r="W397" s="54"/>
      <c r="X397" s="54"/>
      <c r="Y397" s="54"/>
      <c r="AB397" s="54"/>
      <c r="AC397" s="54"/>
      <c r="AD397" s="54"/>
      <c r="AG397" s="54"/>
      <c r="AH397" s="54"/>
      <c r="AI397" s="54"/>
    </row>
    <row r="398" spans="18:35" x14ac:dyDescent="0.2">
      <c r="R398" s="54"/>
      <c r="S398" s="54"/>
      <c r="T398" s="54"/>
      <c r="W398" s="54"/>
      <c r="X398" s="54"/>
      <c r="Y398" s="54"/>
      <c r="AB398" s="54"/>
      <c r="AC398" s="54"/>
      <c r="AD398" s="54"/>
      <c r="AG398" s="54"/>
      <c r="AH398" s="54"/>
      <c r="AI398" s="54"/>
    </row>
    <row r="399" spans="18:35" x14ac:dyDescent="0.2">
      <c r="R399" s="54"/>
      <c r="S399" s="54"/>
      <c r="T399" s="54"/>
      <c r="W399" s="54"/>
      <c r="X399" s="54"/>
      <c r="Y399" s="54"/>
      <c r="AB399" s="54"/>
      <c r="AC399" s="54"/>
      <c r="AD399" s="54"/>
      <c r="AG399" s="54"/>
      <c r="AH399" s="54"/>
      <c r="AI399" s="54"/>
    </row>
    <row r="400" spans="18:35" x14ac:dyDescent="0.2">
      <c r="R400" s="54"/>
      <c r="S400" s="54"/>
      <c r="T400" s="54"/>
      <c r="W400" s="54"/>
      <c r="X400" s="54"/>
      <c r="Y400" s="54"/>
      <c r="AB400" s="54"/>
      <c r="AC400" s="54"/>
      <c r="AD400" s="54"/>
      <c r="AG400" s="54"/>
      <c r="AH400" s="54"/>
      <c r="AI400" s="54"/>
    </row>
    <row r="401" spans="18:35" x14ac:dyDescent="0.2">
      <c r="R401" s="54"/>
      <c r="S401" s="54"/>
      <c r="T401" s="54"/>
      <c r="W401" s="54"/>
      <c r="X401" s="54"/>
      <c r="Y401" s="54"/>
      <c r="AB401" s="54"/>
      <c r="AC401" s="54"/>
      <c r="AD401" s="54"/>
      <c r="AG401" s="54"/>
      <c r="AH401" s="54"/>
      <c r="AI401" s="54"/>
    </row>
    <row r="402" spans="18:35" x14ac:dyDescent="0.2">
      <c r="R402" s="54"/>
      <c r="S402" s="54"/>
      <c r="T402" s="54"/>
      <c r="W402" s="54"/>
      <c r="X402" s="54"/>
      <c r="Y402" s="54"/>
      <c r="AB402" s="54"/>
      <c r="AC402" s="54"/>
      <c r="AD402" s="54"/>
      <c r="AG402" s="54"/>
      <c r="AH402" s="54"/>
      <c r="AI402" s="54"/>
    </row>
    <row r="403" spans="18:35" x14ac:dyDescent="0.2">
      <c r="R403" s="54"/>
      <c r="S403" s="54"/>
      <c r="T403" s="54"/>
      <c r="W403" s="54"/>
      <c r="X403" s="54"/>
      <c r="Y403" s="54"/>
      <c r="AB403" s="54"/>
      <c r="AC403" s="54"/>
      <c r="AD403" s="54"/>
      <c r="AG403" s="54"/>
      <c r="AH403" s="54"/>
      <c r="AI403" s="54"/>
    </row>
    <row r="404" spans="18:35" x14ac:dyDescent="0.2">
      <c r="R404" s="54"/>
      <c r="S404" s="54"/>
      <c r="T404" s="54"/>
      <c r="W404" s="54"/>
      <c r="X404" s="54"/>
      <c r="Y404" s="54"/>
      <c r="AB404" s="54"/>
      <c r="AC404" s="54"/>
      <c r="AD404" s="54"/>
      <c r="AG404" s="54"/>
      <c r="AH404" s="54"/>
      <c r="AI404" s="54"/>
    </row>
    <row r="405" spans="18:35" x14ac:dyDescent="0.2">
      <c r="R405" s="54"/>
      <c r="S405" s="54"/>
      <c r="T405" s="54"/>
      <c r="W405" s="54"/>
      <c r="X405" s="54"/>
      <c r="Y405" s="54"/>
      <c r="AB405" s="54"/>
      <c r="AC405" s="54"/>
      <c r="AD405" s="54"/>
      <c r="AG405" s="54"/>
      <c r="AH405" s="54"/>
      <c r="AI405" s="54"/>
    </row>
    <row r="406" spans="18:35" x14ac:dyDescent="0.2">
      <c r="R406" s="54"/>
      <c r="S406" s="54"/>
      <c r="T406" s="54"/>
      <c r="W406" s="54"/>
      <c r="X406" s="54"/>
      <c r="Y406" s="54"/>
      <c r="AB406" s="54"/>
      <c r="AC406" s="54"/>
      <c r="AD406" s="54"/>
      <c r="AG406" s="54"/>
      <c r="AH406" s="54"/>
      <c r="AI406" s="54"/>
    </row>
    <row r="407" spans="18:35" x14ac:dyDescent="0.2">
      <c r="R407" s="54"/>
      <c r="S407" s="54"/>
      <c r="T407" s="54"/>
      <c r="W407" s="54"/>
      <c r="X407" s="54"/>
      <c r="Y407" s="54"/>
      <c r="AB407" s="54"/>
      <c r="AC407" s="54"/>
      <c r="AD407" s="54"/>
      <c r="AG407" s="54"/>
      <c r="AH407" s="54"/>
      <c r="AI407" s="54"/>
    </row>
    <row r="408" spans="18:35" x14ac:dyDescent="0.2">
      <c r="R408" s="54"/>
      <c r="S408" s="54"/>
      <c r="T408" s="54"/>
      <c r="W408" s="54"/>
      <c r="X408" s="54"/>
      <c r="Y408" s="54"/>
      <c r="AB408" s="54"/>
      <c r="AC408" s="54"/>
      <c r="AD408" s="54"/>
      <c r="AG408" s="54"/>
      <c r="AH408" s="54"/>
      <c r="AI408" s="54"/>
    </row>
    <row r="409" spans="18:35" x14ac:dyDescent="0.2">
      <c r="R409" s="54"/>
      <c r="S409" s="54"/>
      <c r="T409" s="54"/>
      <c r="W409" s="54"/>
      <c r="X409" s="54"/>
      <c r="Y409" s="54"/>
      <c r="AB409" s="54"/>
      <c r="AC409" s="54"/>
      <c r="AD409" s="54"/>
      <c r="AG409" s="54"/>
      <c r="AH409" s="54"/>
      <c r="AI409" s="54"/>
    </row>
    <row r="410" spans="18:35" x14ac:dyDescent="0.2">
      <c r="R410" s="54"/>
      <c r="S410" s="54"/>
      <c r="T410" s="54"/>
      <c r="W410" s="54"/>
      <c r="X410" s="54"/>
      <c r="Y410" s="54"/>
      <c r="AB410" s="54"/>
      <c r="AC410" s="54"/>
      <c r="AD410" s="54"/>
      <c r="AG410" s="54"/>
      <c r="AH410" s="54"/>
      <c r="AI410" s="54"/>
    </row>
    <row r="411" spans="18:35" x14ac:dyDescent="0.2">
      <c r="R411" s="54"/>
      <c r="S411" s="54"/>
      <c r="T411" s="54"/>
      <c r="W411" s="54"/>
      <c r="X411" s="54"/>
      <c r="Y411" s="54"/>
      <c r="AB411" s="54"/>
      <c r="AC411" s="54"/>
      <c r="AD411" s="54"/>
      <c r="AG411" s="54"/>
      <c r="AH411" s="54"/>
      <c r="AI411" s="54"/>
    </row>
    <row r="412" spans="18:35" x14ac:dyDescent="0.2">
      <c r="R412" s="54"/>
      <c r="S412" s="54"/>
      <c r="T412" s="54"/>
      <c r="W412" s="54"/>
      <c r="X412" s="54"/>
      <c r="Y412" s="54"/>
      <c r="AB412" s="54"/>
      <c r="AC412" s="54"/>
      <c r="AD412" s="54"/>
      <c r="AG412" s="54"/>
      <c r="AH412" s="54"/>
      <c r="AI412" s="54"/>
    </row>
    <row r="413" spans="18:35" x14ac:dyDescent="0.2">
      <c r="R413" s="54"/>
      <c r="S413" s="54"/>
      <c r="T413" s="54"/>
      <c r="W413" s="54"/>
      <c r="X413" s="54"/>
      <c r="Y413" s="54"/>
      <c r="AB413" s="54"/>
      <c r="AC413" s="54"/>
      <c r="AD413" s="54"/>
      <c r="AG413" s="54"/>
      <c r="AH413" s="54"/>
      <c r="AI413" s="54"/>
    </row>
    <row r="414" spans="18:35" x14ac:dyDescent="0.2">
      <c r="R414" s="54"/>
      <c r="S414" s="54"/>
      <c r="T414" s="54"/>
      <c r="W414" s="54"/>
      <c r="X414" s="54"/>
      <c r="Y414" s="54"/>
      <c r="AB414" s="54"/>
      <c r="AC414" s="54"/>
      <c r="AD414" s="54"/>
      <c r="AG414" s="54"/>
      <c r="AH414" s="54"/>
      <c r="AI414" s="54"/>
    </row>
    <row r="415" spans="18:35" x14ac:dyDescent="0.2">
      <c r="R415" s="54"/>
      <c r="S415" s="54"/>
      <c r="T415" s="54"/>
      <c r="W415" s="54"/>
      <c r="X415" s="54"/>
      <c r="Y415" s="54"/>
      <c r="AB415" s="54"/>
      <c r="AC415" s="54"/>
      <c r="AD415" s="54"/>
      <c r="AG415" s="54"/>
      <c r="AH415" s="54"/>
      <c r="AI415" s="54"/>
    </row>
    <row r="416" spans="18:35" x14ac:dyDescent="0.2">
      <c r="R416" s="54"/>
      <c r="S416" s="54"/>
      <c r="T416" s="54"/>
      <c r="W416" s="54"/>
      <c r="X416" s="54"/>
      <c r="Y416" s="54"/>
      <c r="AB416" s="54"/>
      <c r="AC416" s="54"/>
      <c r="AD416" s="54"/>
      <c r="AG416" s="54"/>
      <c r="AH416" s="54"/>
      <c r="AI416" s="54"/>
    </row>
    <row r="417" spans="18:35" x14ac:dyDescent="0.2">
      <c r="R417" s="54"/>
      <c r="S417" s="54"/>
      <c r="T417" s="54"/>
      <c r="W417" s="54"/>
      <c r="X417" s="54"/>
      <c r="Y417" s="54"/>
      <c r="AB417" s="54"/>
      <c r="AC417" s="54"/>
      <c r="AD417" s="54"/>
      <c r="AG417" s="54"/>
      <c r="AH417" s="54"/>
      <c r="AI417" s="54"/>
    </row>
    <row r="418" spans="18:35" x14ac:dyDescent="0.2">
      <c r="R418" s="54"/>
      <c r="S418" s="54"/>
      <c r="T418" s="54"/>
      <c r="W418" s="54"/>
      <c r="X418" s="54"/>
      <c r="Y418" s="54"/>
      <c r="AB418" s="54"/>
      <c r="AC418" s="54"/>
      <c r="AD418" s="54"/>
      <c r="AG418" s="54"/>
      <c r="AH418" s="54"/>
      <c r="AI418" s="54"/>
    </row>
    <row r="419" spans="18:35" x14ac:dyDescent="0.2">
      <c r="R419" s="54"/>
      <c r="S419" s="54"/>
      <c r="T419" s="54"/>
      <c r="W419" s="54"/>
      <c r="X419" s="54"/>
      <c r="Y419" s="54"/>
      <c r="AB419" s="54"/>
      <c r="AC419" s="54"/>
      <c r="AD419" s="54"/>
      <c r="AG419" s="54"/>
      <c r="AH419" s="54"/>
      <c r="AI419" s="54"/>
    </row>
    <row r="420" spans="18:35" x14ac:dyDescent="0.2">
      <c r="R420" s="54"/>
      <c r="S420" s="54"/>
      <c r="T420" s="54"/>
      <c r="W420" s="54"/>
      <c r="X420" s="54"/>
      <c r="Y420" s="54"/>
      <c r="AB420" s="54"/>
      <c r="AC420" s="54"/>
      <c r="AD420" s="54"/>
      <c r="AG420" s="54"/>
      <c r="AH420" s="54"/>
      <c r="AI420" s="54"/>
    </row>
    <row r="421" spans="18:35" x14ac:dyDescent="0.2">
      <c r="R421" s="54"/>
      <c r="S421" s="54"/>
      <c r="T421" s="54"/>
      <c r="W421" s="54"/>
      <c r="X421" s="54"/>
      <c r="Y421" s="54"/>
      <c r="AB421" s="54"/>
      <c r="AC421" s="54"/>
      <c r="AD421" s="54"/>
      <c r="AG421" s="54"/>
      <c r="AH421" s="54"/>
      <c r="AI421" s="54"/>
    </row>
    <row r="422" spans="18:35" x14ac:dyDescent="0.2">
      <c r="R422" s="54"/>
      <c r="S422" s="54"/>
      <c r="T422" s="54"/>
      <c r="W422" s="54"/>
      <c r="X422" s="54"/>
      <c r="Y422" s="54"/>
      <c r="AB422" s="54"/>
      <c r="AC422" s="54"/>
      <c r="AD422" s="54"/>
      <c r="AG422" s="54"/>
      <c r="AH422" s="54"/>
      <c r="AI422" s="54"/>
    </row>
    <row r="423" spans="18:35" x14ac:dyDescent="0.2">
      <c r="R423" s="54"/>
      <c r="S423" s="54"/>
      <c r="T423" s="54"/>
      <c r="W423" s="54"/>
      <c r="X423" s="54"/>
      <c r="Y423" s="54"/>
      <c r="AB423" s="54"/>
      <c r="AC423" s="54"/>
      <c r="AD423" s="54"/>
      <c r="AG423" s="54"/>
      <c r="AH423" s="54"/>
      <c r="AI423" s="54"/>
    </row>
    <row r="424" spans="18:35" x14ac:dyDescent="0.2">
      <c r="R424" s="54"/>
      <c r="S424" s="54"/>
      <c r="T424" s="54"/>
      <c r="W424" s="54"/>
      <c r="X424" s="54"/>
      <c r="Y424" s="54"/>
      <c r="AB424" s="54"/>
      <c r="AC424" s="54"/>
      <c r="AD424" s="54"/>
      <c r="AG424" s="54"/>
      <c r="AH424" s="54"/>
      <c r="AI424" s="54"/>
    </row>
    <row r="425" spans="18:35" x14ac:dyDescent="0.2">
      <c r="R425" s="54"/>
      <c r="S425" s="54"/>
      <c r="T425" s="54"/>
      <c r="W425" s="54"/>
      <c r="X425" s="54"/>
      <c r="Y425" s="54"/>
      <c r="AB425" s="54"/>
      <c r="AC425" s="54"/>
      <c r="AD425" s="54"/>
      <c r="AG425" s="54"/>
      <c r="AH425" s="54"/>
      <c r="AI425" s="54"/>
    </row>
    <row r="426" spans="18:35" x14ac:dyDescent="0.2">
      <c r="R426" s="54"/>
      <c r="S426" s="54"/>
      <c r="T426" s="54"/>
      <c r="W426" s="54"/>
      <c r="X426" s="54"/>
      <c r="Y426" s="54"/>
      <c r="AB426" s="54"/>
      <c r="AC426" s="54"/>
      <c r="AD426" s="54"/>
      <c r="AG426" s="54"/>
      <c r="AH426" s="54"/>
      <c r="AI426" s="54"/>
    </row>
    <row r="427" spans="18:35" x14ac:dyDescent="0.2">
      <c r="R427" s="54"/>
      <c r="S427" s="54"/>
      <c r="T427" s="54"/>
      <c r="W427" s="54"/>
      <c r="X427" s="54"/>
      <c r="Y427" s="54"/>
      <c r="AB427" s="54"/>
      <c r="AC427" s="54"/>
      <c r="AD427" s="54"/>
      <c r="AG427" s="54"/>
      <c r="AH427" s="54"/>
      <c r="AI427" s="54"/>
    </row>
    <row r="428" spans="18:35" x14ac:dyDescent="0.2">
      <c r="R428" s="54"/>
      <c r="S428" s="54"/>
      <c r="T428" s="54"/>
      <c r="W428" s="54"/>
      <c r="X428" s="54"/>
      <c r="Y428" s="54"/>
      <c r="AB428" s="54"/>
      <c r="AC428" s="54"/>
      <c r="AD428" s="54"/>
      <c r="AG428" s="54"/>
      <c r="AH428" s="54"/>
      <c r="AI428" s="54"/>
    </row>
    <row r="429" spans="18:35" x14ac:dyDescent="0.2">
      <c r="R429" s="54"/>
      <c r="S429" s="54"/>
      <c r="T429" s="54"/>
      <c r="W429" s="54"/>
      <c r="X429" s="54"/>
      <c r="Y429" s="54"/>
      <c r="AB429" s="54"/>
      <c r="AC429" s="54"/>
      <c r="AD429" s="54"/>
      <c r="AG429" s="54"/>
      <c r="AH429" s="54"/>
      <c r="AI429" s="54"/>
    </row>
    <row r="430" spans="18:35" x14ac:dyDescent="0.2">
      <c r="R430" s="54"/>
      <c r="S430" s="54"/>
      <c r="T430" s="54"/>
      <c r="W430" s="54"/>
      <c r="X430" s="54"/>
      <c r="Y430" s="54"/>
      <c r="AB430" s="54"/>
      <c r="AC430" s="54"/>
      <c r="AD430" s="54"/>
      <c r="AG430" s="54"/>
      <c r="AH430" s="54"/>
      <c r="AI430" s="54"/>
    </row>
    <row r="431" spans="18:35" x14ac:dyDescent="0.2">
      <c r="R431" s="54"/>
      <c r="S431" s="54"/>
      <c r="T431" s="54"/>
      <c r="W431" s="54"/>
      <c r="X431" s="54"/>
      <c r="Y431" s="54"/>
      <c r="AB431" s="54"/>
      <c r="AC431" s="54"/>
      <c r="AD431" s="54"/>
      <c r="AG431" s="54"/>
      <c r="AH431" s="54"/>
      <c r="AI431" s="54"/>
    </row>
    <row r="432" spans="18:35" x14ac:dyDescent="0.2">
      <c r="R432" s="54"/>
      <c r="S432" s="54"/>
      <c r="T432" s="54"/>
      <c r="W432" s="54"/>
      <c r="X432" s="54"/>
      <c r="Y432" s="54"/>
      <c r="AB432" s="54"/>
      <c r="AC432" s="54"/>
      <c r="AD432" s="54"/>
      <c r="AG432" s="54"/>
      <c r="AH432" s="54"/>
      <c r="AI432" s="54"/>
    </row>
    <row r="433" spans="18:35" x14ac:dyDescent="0.2">
      <c r="R433" s="54"/>
      <c r="S433" s="54"/>
      <c r="T433" s="54"/>
      <c r="W433" s="54"/>
      <c r="X433" s="54"/>
      <c r="Y433" s="54"/>
      <c r="AB433" s="54"/>
      <c r="AC433" s="54"/>
      <c r="AD433" s="54"/>
      <c r="AG433" s="54"/>
      <c r="AH433" s="54"/>
      <c r="AI433" s="54"/>
    </row>
    <row r="434" spans="18:35" x14ac:dyDescent="0.2">
      <c r="R434" s="54"/>
      <c r="S434" s="54"/>
      <c r="T434" s="54"/>
      <c r="W434" s="54"/>
      <c r="X434" s="54"/>
      <c r="Y434" s="54"/>
      <c r="AB434" s="54"/>
      <c r="AC434" s="54"/>
      <c r="AD434" s="54"/>
      <c r="AG434" s="54"/>
      <c r="AH434" s="54"/>
      <c r="AI434" s="54"/>
    </row>
    <row r="435" spans="18:35" x14ac:dyDescent="0.2">
      <c r="R435" s="54"/>
      <c r="S435" s="54"/>
      <c r="T435" s="54"/>
      <c r="W435" s="54"/>
      <c r="X435" s="54"/>
      <c r="Y435" s="54"/>
      <c r="AB435" s="54"/>
      <c r="AC435" s="54"/>
      <c r="AD435" s="54"/>
      <c r="AG435" s="54"/>
      <c r="AH435" s="54"/>
      <c r="AI435" s="54"/>
    </row>
    <row r="436" spans="18:35" x14ac:dyDescent="0.2">
      <c r="R436" s="54"/>
      <c r="S436" s="54"/>
      <c r="T436" s="54"/>
      <c r="W436" s="54"/>
      <c r="X436" s="54"/>
      <c r="Y436" s="54"/>
      <c r="AB436" s="54"/>
      <c r="AC436" s="54"/>
      <c r="AD436" s="54"/>
      <c r="AG436" s="54"/>
      <c r="AH436" s="54"/>
      <c r="AI436" s="54"/>
    </row>
    <row r="437" spans="18:35" x14ac:dyDescent="0.2">
      <c r="R437" s="54"/>
      <c r="S437" s="54"/>
      <c r="T437" s="54"/>
      <c r="W437" s="54"/>
      <c r="X437" s="54"/>
      <c r="Y437" s="54"/>
      <c r="AB437" s="54"/>
      <c r="AC437" s="54"/>
      <c r="AD437" s="54"/>
      <c r="AG437" s="54"/>
      <c r="AH437" s="54"/>
      <c r="AI437" s="54"/>
    </row>
    <row r="438" spans="18:35" x14ac:dyDescent="0.2">
      <c r="R438" s="54"/>
      <c r="S438" s="54"/>
      <c r="T438" s="54"/>
      <c r="W438" s="54"/>
      <c r="X438" s="54"/>
      <c r="Y438" s="54"/>
      <c r="AB438" s="54"/>
      <c r="AC438" s="54"/>
      <c r="AD438" s="54"/>
      <c r="AG438" s="54"/>
      <c r="AH438" s="54"/>
      <c r="AI438" s="54"/>
    </row>
    <row r="439" spans="18:35" x14ac:dyDescent="0.2">
      <c r="R439" s="54"/>
      <c r="S439" s="54"/>
      <c r="T439" s="54"/>
      <c r="W439" s="54"/>
      <c r="X439" s="54"/>
      <c r="Y439" s="54"/>
      <c r="AB439" s="54"/>
      <c r="AC439" s="54"/>
      <c r="AD439" s="54"/>
      <c r="AG439" s="54"/>
      <c r="AH439" s="54"/>
      <c r="AI439" s="54"/>
    </row>
    <row r="440" spans="18:35" x14ac:dyDescent="0.2">
      <c r="R440" s="54"/>
      <c r="S440" s="54"/>
      <c r="T440" s="54"/>
      <c r="W440" s="54"/>
      <c r="X440" s="54"/>
      <c r="Y440" s="54"/>
      <c r="AB440" s="54"/>
      <c r="AC440" s="54"/>
      <c r="AD440" s="54"/>
      <c r="AG440" s="54"/>
      <c r="AH440" s="54"/>
      <c r="AI440" s="54"/>
    </row>
    <row r="441" spans="18:35" x14ac:dyDescent="0.2">
      <c r="R441" s="54"/>
      <c r="S441" s="54"/>
      <c r="T441" s="54"/>
      <c r="W441" s="54"/>
      <c r="X441" s="54"/>
      <c r="Y441" s="54"/>
      <c r="AB441" s="54"/>
      <c r="AC441" s="54"/>
      <c r="AD441" s="54"/>
      <c r="AG441" s="54"/>
      <c r="AH441" s="54"/>
      <c r="AI441" s="54"/>
    </row>
    <row r="442" spans="18:35" x14ac:dyDescent="0.2">
      <c r="R442" s="54"/>
      <c r="S442" s="54"/>
      <c r="T442" s="54"/>
      <c r="W442" s="54"/>
      <c r="X442" s="54"/>
      <c r="Y442" s="54"/>
      <c r="AB442" s="54"/>
      <c r="AC442" s="54"/>
      <c r="AD442" s="54"/>
      <c r="AG442" s="54"/>
      <c r="AH442" s="54"/>
      <c r="AI442" s="54"/>
    </row>
    <row r="443" spans="18:35" x14ac:dyDescent="0.2">
      <c r="R443" s="54"/>
      <c r="S443" s="54"/>
      <c r="T443" s="54"/>
      <c r="W443" s="54"/>
      <c r="X443" s="54"/>
      <c r="Y443" s="54"/>
      <c r="AB443" s="54"/>
      <c r="AC443" s="54"/>
      <c r="AD443" s="54"/>
      <c r="AG443" s="54"/>
      <c r="AH443" s="54"/>
      <c r="AI443" s="54"/>
    </row>
    <row r="444" spans="18:35" x14ac:dyDescent="0.2">
      <c r="R444" s="54"/>
      <c r="S444" s="54"/>
      <c r="T444" s="54"/>
      <c r="W444" s="54"/>
      <c r="X444" s="54"/>
      <c r="Y444" s="54"/>
      <c r="AB444" s="54"/>
      <c r="AC444" s="54"/>
      <c r="AD444" s="54"/>
      <c r="AG444" s="54"/>
      <c r="AH444" s="54"/>
      <c r="AI444" s="54"/>
    </row>
    <row r="445" spans="18:35" x14ac:dyDescent="0.2">
      <c r="R445" s="54"/>
      <c r="S445" s="54"/>
      <c r="T445" s="54"/>
      <c r="W445" s="54"/>
      <c r="X445" s="54"/>
      <c r="Y445" s="54"/>
      <c r="AB445" s="54"/>
      <c r="AC445" s="54"/>
      <c r="AD445" s="54"/>
      <c r="AG445" s="54"/>
      <c r="AH445" s="54"/>
      <c r="AI445" s="54"/>
    </row>
    <row r="446" spans="18:35" x14ac:dyDescent="0.2">
      <c r="R446" s="54"/>
      <c r="S446" s="54"/>
      <c r="T446" s="54"/>
      <c r="W446" s="54"/>
      <c r="X446" s="54"/>
      <c r="Y446" s="54"/>
      <c r="AB446" s="54"/>
      <c r="AC446" s="54"/>
      <c r="AD446" s="54"/>
      <c r="AG446" s="54"/>
      <c r="AH446" s="54"/>
      <c r="AI446" s="54"/>
    </row>
    <row r="447" spans="18:35" x14ac:dyDescent="0.2">
      <c r="R447" s="54"/>
      <c r="S447" s="54"/>
      <c r="T447" s="54"/>
      <c r="W447" s="54"/>
      <c r="X447" s="54"/>
      <c r="Y447" s="54"/>
      <c r="AB447" s="54"/>
      <c r="AC447" s="54"/>
      <c r="AD447" s="54"/>
      <c r="AG447" s="54"/>
      <c r="AH447" s="54"/>
      <c r="AI447" s="54"/>
    </row>
    <row r="448" spans="18:35" x14ac:dyDescent="0.2">
      <c r="R448" s="54"/>
      <c r="S448" s="54"/>
      <c r="T448" s="54"/>
      <c r="W448" s="54"/>
      <c r="X448" s="54"/>
      <c r="Y448" s="54"/>
      <c r="AB448" s="54"/>
      <c r="AC448" s="54"/>
      <c r="AD448" s="54"/>
      <c r="AG448" s="54"/>
      <c r="AH448" s="54"/>
      <c r="AI448" s="54"/>
    </row>
    <row r="449" spans="18:35" x14ac:dyDescent="0.2">
      <c r="R449" s="54"/>
      <c r="S449" s="54"/>
      <c r="T449" s="54"/>
      <c r="W449" s="54"/>
      <c r="X449" s="54"/>
      <c r="Y449" s="54"/>
      <c r="AB449" s="54"/>
      <c r="AC449" s="54"/>
      <c r="AD449" s="54"/>
      <c r="AG449" s="54"/>
      <c r="AH449" s="54"/>
      <c r="AI449" s="54"/>
    </row>
    <row r="450" spans="18:35" x14ac:dyDescent="0.2">
      <c r="R450" s="54"/>
      <c r="S450" s="54"/>
      <c r="T450" s="54"/>
      <c r="W450" s="54"/>
      <c r="X450" s="54"/>
      <c r="Y450" s="54"/>
      <c r="AB450" s="54"/>
      <c r="AC450" s="54"/>
      <c r="AD450" s="54"/>
      <c r="AG450" s="54"/>
      <c r="AH450" s="54"/>
      <c r="AI450" s="54"/>
    </row>
    <row r="451" spans="18:35" x14ac:dyDescent="0.2">
      <c r="R451" s="54"/>
      <c r="S451" s="54"/>
      <c r="T451" s="54"/>
      <c r="W451" s="54"/>
      <c r="X451" s="54"/>
      <c r="Y451" s="54"/>
      <c r="AB451" s="54"/>
      <c r="AC451" s="54"/>
      <c r="AD451" s="54"/>
      <c r="AG451" s="54"/>
      <c r="AH451" s="54"/>
      <c r="AI451" s="54"/>
    </row>
    <row r="452" spans="18:35" x14ac:dyDescent="0.2">
      <c r="R452" s="54"/>
      <c r="S452" s="54"/>
      <c r="T452" s="54"/>
      <c r="W452" s="54"/>
      <c r="X452" s="54"/>
      <c r="Y452" s="54"/>
      <c r="AB452" s="54"/>
      <c r="AC452" s="54"/>
      <c r="AD452" s="54"/>
      <c r="AG452" s="54"/>
      <c r="AH452" s="54"/>
      <c r="AI452" s="54"/>
    </row>
    <row r="453" spans="18:35" x14ac:dyDescent="0.2">
      <c r="R453" s="54"/>
      <c r="S453" s="54"/>
      <c r="T453" s="54"/>
      <c r="W453" s="54"/>
      <c r="X453" s="54"/>
      <c r="Y453" s="54"/>
      <c r="AB453" s="54"/>
      <c r="AC453" s="54"/>
      <c r="AD453" s="54"/>
      <c r="AG453" s="54"/>
      <c r="AH453" s="54"/>
      <c r="AI453" s="54"/>
    </row>
    <row r="454" spans="18:35" x14ac:dyDescent="0.2">
      <c r="R454" s="54"/>
      <c r="S454" s="54"/>
      <c r="T454" s="54"/>
      <c r="W454" s="54"/>
      <c r="X454" s="54"/>
      <c r="Y454" s="54"/>
      <c r="AB454" s="54"/>
      <c r="AC454" s="54"/>
      <c r="AD454" s="54"/>
      <c r="AG454" s="54"/>
      <c r="AH454" s="54"/>
      <c r="AI454" s="54"/>
    </row>
    <row r="455" spans="18:35" x14ac:dyDescent="0.2">
      <c r="R455" s="54"/>
      <c r="S455" s="54"/>
      <c r="T455" s="54"/>
      <c r="W455" s="54"/>
      <c r="X455" s="54"/>
      <c r="Y455" s="54"/>
      <c r="AB455" s="54"/>
      <c r="AC455" s="54"/>
      <c r="AD455" s="54"/>
      <c r="AG455" s="54"/>
      <c r="AH455" s="54"/>
      <c r="AI455" s="54"/>
    </row>
    <row r="456" spans="18:35" x14ac:dyDescent="0.2">
      <c r="R456" s="54"/>
      <c r="S456" s="54"/>
      <c r="T456" s="54"/>
      <c r="W456" s="54"/>
      <c r="X456" s="54"/>
      <c r="Y456" s="54"/>
      <c r="AB456" s="54"/>
      <c r="AC456" s="54"/>
      <c r="AD456" s="54"/>
      <c r="AG456" s="54"/>
      <c r="AH456" s="54"/>
      <c r="AI456" s="54"/>
    </row>
    <row r="457" spans="18:35" x14ac:dyDescent="0.2">
      <c r="AG457" s="54"/>
      <c r="AH457" s="54"/>
      <c r="AI457" s="54"/>
    </row>
  </sheetData>
  <sheetProtection algorithmName="SHA-512" hashValue="LuMi5JKQoEbHFolvfoY33ZCHLWAengPhdzvNG2LZ4iKaWlkCv2mIE5XiL7YvUCahCdbj3iJVZbNU6vdGgYxKxA==" saltValue="uXnht86mJ+Lzi0OBfJLlUg==" spinCount="100000" sheet="1" objects="1" scenarios="1" selectLockedCells="1"/>
  <mergeCells count="5">
    <mergeCell ref="F69:H69"/>
    <mergeCell ref="O3:P3"/>
    <mergeCell ref="A1:Q1"/>
    <mergeCell ref="F82:G82"/>
    <mergeCell ref="L35:Q36"/>
  </mergeCells>
  <phoneticPr fontId="5" type="noConversion"/>
  <conditionalFormatting sqref="E7 E9">
    <cfRule type="cellIs" dxfId="29" priority="39" stopIfTrue="1" operator="notBetween">
      <formula>3.5</formula>
      <formula>VIN_MAX_RATING</formula>
    </cfRule>
  </conditionalFormatting>
  <conditionalFormatting sqref="E10">
    <cfRule type="cellIs" dxfId="28" priority="36" stopIfTrue="1" operator="notBetween">
      <formula>0.6</formula>
      <formula>VOUT_MAX_RATING</formula>
    </cfRule>
  </conditionalFormatting>
  <conditionalFormatting sqref="E33">
    <cfRule type="cellIs" dxfId="27" priority="34" stopIfTrue="1" operator="lessThanOrEqual">
      <formula>0</formula>
    </cfRule>
  </conditionalFormatting>
  <conditionalFormatting sqref="E35">
    <cfRule type="cellIs" dxfId="26" priority="33" stopIfTrue="1" operator="lessThan">
      <formula>$E$34</formula>
    </cfRule>
  </conditionalFormatting>
  <conditionalFormatting sqref="E37">
    <cfRule type="cellIs" dxfId="25" priority="32" stopIfTrue="1" operator="greaterThan">
      <formula>$E$36</formula>
    </cfRule>
  </conditionalFormatting>
  <conditionalFormatting sqref="E42">
    <cfRule type="cellIs" dxfId="24" priority="30" stopIfTrue="1" operator="equal">
      <formula>0</formula>
    </cfRule>
  </conditionalFormatting>
  <conditionalFormatting sqref="E44">
    <cfRule type="cellIs" dxfId="23" priority="29" stopIfTrue="1" operator="lessThan">
      <formula>$E$43</formula>
    </cfRule>
  </conditionalFormatting>
  <conditionalFormatting sqref="E46">
    <cfRule type="cellIs" dxfId="22" priority="27" stopIfTrue="1" operator="greaterThan">
      <formula>$E$45</formula>
    </cfRule>
    <cfRule type="cellIs" dxfId="21" priority="28" stopIfTrue="1" operator="equal">
      <formula>0</formula>
    </cfRule>
  </conditionalFormatting>
  <conditionalFormatting sqref="E51">
    <cfRule type="cellIs" dxfId="20" priority="23" operator="lessThan">
      <formula>0.1</formula>
    </cfRule>
  </conditionalFormatting>
  <conditionalFormatting sqref="E12">
    <cfRule type="cellIs" dxfId="19" priority="42" stopIfTrue="1" operator="notBetween">
      <formula>2500</formula>
      <formula>100</formula>
    </cfRule>
  </conditionalFormatting>
  <conditionalFormatting sqref="E55">
    <cfRule type="expression" dxfId="18" priority="21">
      <formula>DITHER=2</formula>
    </cfRule>
  </conditionalFormatting>
  <conditionalFormatting sqref="D56">
    <cfRule type="expression" dxfId="17" priority="20">
      <formula>DITHER=2</formula>
    </cfRule>
  </conditionalFormatting>
  <conditionalFormatting sqref="D55">
    <cfRule type="expression" dxfId="16" priority="19">
      <formula>DITHER=2</formula>
    </cfRule>
  </conditionalFormatting>
  <conditionalFormatting sqref="E8">
    <cfRule type="cellIs" dxfId="15" priority="43" operator="notBetween">
      <formula>$E$7</formula>
      <formula>$E$9</formula>
    </cfRule>
  </conditionalFormatting>
  <conditionalFormatting sqref="J10">
    <cfRule type="cellIs" dxfId="14" priority="16" stopIfTrue="1" operator="notBetween">
      <formula>0.6</formula>
      <formula>VOUT_MAX_RATING</formula>
    </cfRule>
  </conditionalFormatting>
  <conditionalFormatting sqref="J33">
    <cfRule type="cellIs" dxfId="13" priority="15" stopIfTrue="1" operator="lessThanOrEqual">
      <formula>0</formula>
    </cfRule>
  </conditionalFormatting>
  <conditionalFormatting sqref="J35">
    <cfRule type="cellIs" dxfId="12" priority="14" stopIfTrue="1" operator="lessThan">
      <formula>$J$34</formula>
    </cfRule>
  </conditionalFormatting>
  <conditionalFormatting sqref="J37">
    <cfRule type="cellIs" dxfId="11" priority="13" stopIfTrue="1" operator="greaterThan">
      <formula>$J$36</formula>
    </cfRule>
  </conditionalFormatting>
  <conditionalFormatting sqref="E53">
    <cfRule type="cellIs" dxfId="10" priority="12" operator="lessThan">
      <formula>0</formula>
    </cfRule>
  </conditionalFormatting>
  <conditionalFormatting sqref="A73:G75">
    <cfRule type="expression" dxfId="9" priority="11">
      <formula>MODE=2</formula>
    </cfRule>
  </conditionalFormatting>
  <conditionalFormatting sqref="G61:K66 G33:K39 G17:K24 G27:K30 G10:K11">
    <cfRule type="expression" dxfId="8" priority="8">
      <formula>MODE=2</formula>
    </cfRule>
  </conditionalFormatting>
  <conditionalFormatting sqref="D65">
    <cfRule type="expression" dxfId="7" priority="9">
      <formula>OR((Ch1_VOUT=1),(Ch1_VOUT=2))</formula>
    </cfRule>
  </conditionalFormatting>
  <conditionalFormatting sqref="I65">
    <cfRule type="expression" dxfId="6" priority="10">
      <formula>OR((Ch2_VOUT=1),(Ch2_VOUT=2))</formula>
    </cfRule>
  </conditionalFormatting>
  <conditionalFormatting sqref="E65:F66">
    <cfRule type="expression" dxfId="5" priority="7">
      <formula>OR((Ch1_VOUT=1),(Ch1_VOUT=2))</formula>
    </cfRule>
  </conditionalFormatting>
  <conditionalFormatting sqref="J65:K66">
    <cfRule type="expression" dxfId="4" priority="6">
      <formula>OR((Ch2_VOUT=1),(Ch2_VOUT=2))</formula>
    </cfRule>
  </conditionalFormatting>
  <conditionalFormatting sqref="F97:F98">
    <cfRule type="expression" dxfId="3" priority="5">
      <formula>MODE=2</formula>
    </cfRule>
  </conditionalFormatting>
  <conditionalFormatting sqref="D81 G80">
    <cfRule type="expression" dxfId="2" priority="4">
      <formula>MODE=2</formula>
    </cfRule>
  </conditionalFormatting>
  <conditionalFormatting sqref="H80:J94">
    <cfRule type="expression" dxfId="1" priority="2">
      <formula>MODE=2</formula>
    </cfRule>
  </conditionalFormatting>
  <conditionalFormatting sqref="D19:F19 D21:F21 D18:F18 I18:K18 I19:K19 I21:K21">
    <cfRule type="expression" dxfId="0" priority="1">
      <formula>SENSING_TYPE=2</formula>
    </cfRule>
  </conditionalFormatting>
  <hyperlinks>
    <hyperlink ref="O2" r:id="rId1" xr:uid="{00000000-0004-0000-0000-000000000000}"/>
    <hyperlink ref="C3" r:id="rId2" xr:uid="{00000000-0004-0000-0000-000001000000}"/>
  </hyperlinks>
  <printOptions horizontalCentered="1" verticalCentered="1"/>
  <pageMargins left="0.1" right="0.1" top="0.1" bottom="0.1" header="0.25" footer="0.25"/>
  <pageSetup scale="44" orientation="portrait" r:id="rId3"/>
  <headerFooter alignWithMargins="0"/>
  <rowBreaks count="1" manualBreakCount="1">
    <brk id="109" max="16383" man="1"/>
  </rowBreaks>
  <ignoredErrors>
    <ignoredError sqref="E68"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700372" r:id="rId7" name="Drop Down 3028">
              <controlPr defaultSize="0" autoLine="0" autoPict="0">
                <anchor moveWithCells="1">
                  <from>
                    <xdr:col>16</xdr:col>
                    <xdr:colOff>4819650</xdr:colOff>
                    <xdr:row>0</xdr:row>
                    <xdr:rowOff>476250</xdr:rowOff>
                  </from>
                  <to>
                    <xdr:col>16</xdr:col>
                    <xdr:colOff>5200650</xdr:colOff>
                    <xdr:row>1</xdr:row>
                    <xdr:rowOff>133350</xdr:rowOff>
                  </to>
                </anchor>
              </controlPr>
            </control>
          </mc:Choice>
        </mc:AlternateContent>
        <mc:AlternateContent xmlns:mc="http://schemas.openxmlformats.org/markup-compatibility/2006">
          <mc:Choice Requires="x14">
            <control shapeId="673288" r:id="rId8" name="Button 520">
              <controlPr locked="0" defaultSize="0" print="0" autoFill="0" autoPict="0" macro="[0]!FIXValues">
                <anchor moveWithCells="1" sizeWithCells="1">
                  <from>
                    <xdr:col>2</xdr:col>
                    <xdr:colOff>314325</xdr:colOff>
                    <xdr:row>69</xdr:row>
                    <xdr:rowOff>76200</xdr:rowOff>
                  </from>
                  <to>
                    <xdr:col>2</xdr:col>
                    <xdr:colOff>895350</xdr:colOff>
                    <xdr:row>71</xdr:row>
                    <xdr:rowOff>133350</xdr:rowOff>
                  </to>
                </anchor>
              </controlPr>
            </control>
          </mc:Choice>
        </mc:AlternateContent>
        <mc:AlternateContent xmlns:mc="http://schemas.openxmlformats.org/markup-compatibility/2006">
          <mc:Choice Requires="x14">
            <control shapeId="673260" r:id="rId9" name="Button 492">
              <controlPr locked="0" defaultSize="0" print="0" autoFill="0" autoPict="0" macro="[0]!RESETValues">
                <anchor moveWithCells="1" sizeWithCells="1">
                  <from>
                    <xdr:col>2</xdr:col>
                    <xdr:colOff>314325</xdr:colOff>
                    <xdr:row>69</xdr:row>
                    <xdr:rowOff>76200</xdr:rowOff>
                  </from>
                  <to>
                    <xdr:col>2</xdr:col>
                    <xdr:colOff>895350</xdr:colOff>
                    <xdr:row>71</xdr:row>
                    <xdr:rowOff>133350</xdr:rowOff>
                  </to>
                </anchor>
              </controlPr>
            </control>
          </mc:Choice>
        </mc:AlternateContent>
        <mc:AlternateContent xmlns:mc="http://schemas.openxmlformats.org/markup-compatibility/2006">
          <mc:Choice Requires="x14">
            <control shapeId="672829" r:id="rId10" name="Spinner 61">
              <controlPr defaultSize="0" autoPict="0">
                <anchor moveWithCells="1" sizeWithCells="1">
                  <from>
                    <xdr:col>5</xdr:col>
                    <xdr:colOff>9525</xdr:colOff>
                    <xdr:row>62</xdr:row>
                    <xdr:rowOff>0</xdr:rowOff>
                  </from>
                  <to>
                    <xdr:col>5</xdr:col>
                    <xdr:colOff>180975</xdr:colOff>
                    <xdr:row>62</xdr:row>
                    <xdr:rowOff>180975</xdr:rowOff>
                  </to>
                </anchor>
              </controlPr>
            </control>
          </mc:Choice>
        </mc:AlternateContent>
        <mc:AlternateContent xmlns:mc="http://schemas.openxmlformats.org/markup-compatibility/2006">
          <mc:Choice Requires="x14">
            <control shapeId="672895" r:id="rId11" name="Spinner 127">
              <controlPr defaultSize="0" autoPict="0">
                <anchor moveWithCells="1" sizeWithCells="1">
                  <from>
                    <xdr:col>5</xdr:col>
                    <xdr:colOff>123825</xdr:colOff>
                    <xdr:row>7</xdr:row>
                    <xdr:rowOff>9525</xdr:rowOff>
                  </from>
                  <to>
                    <xdr:col>5</xdr:col>
                    <xdr:colOff>304800</xdr:colOff>
                    <xdr:row>8</xdr:row>
                    <xdr:rowOff>19050</xdr:rowOff>
                  </to>
                </anchor>
              </controlPr>
            </control>
          </mc:Choice>
        </mc:AlternateContent>
        <mc:AlternateContent xmlns:mc="http://schemas.openxmlformats.org/markup-compatibility/2006">
          <mc:Choice Requires="x14">
            <control shapeId="672924" r:id="rId12" name="Drop Down 156">
              <controlPr defaultSize="0" autoLine="0" autoPict="0">
                <anchor>
                  <from>
                    <xdr:col>11</xdr:col>
                    <xdr:colOff>371475</xdr:colOff>
                    <xdr:row>77</xdr:row>
                    <xdr:rowOff>28575</xdr:rowOff>
                  </from>
                  <to>
                    <xdr:col>13</xdr:col>
                    <xdr:colOff>428625</xdr:colOff>
                    <xdr:row>78</xdr:row>
                    <xdr:rowOff>104775</xdr:rowOff>
                  </to>
                </anchor>
              </controlPr>
            </control>
          </mc:Choice>
        </mc:AlternateContent>
        <mc:AlternateContent xmlns:mc="http://schemas.openxmlformats.org/markup-compatibility/2006">
          <mc:Choice Requires="x14">
            <control shapeId="673029" r:id="rId13" name="Drop Down 261">
              <controlPr defaultSize="0" autoLine="0" autoPict="0">
                <anchor moveWithCells="1">
                  <from>
                    <xdr:col>0</xdr:col>
                    <xdr:colOff>9525</xdr:colOff>
                    <xdr:row>54</xdr:row>
                    <xdr:rowOff>0</xdr:rowOff>
                  </from>
                  <to>
                    <xdr:col>1</xdr:col>
                    <xdr:colOff>476250</xdr:colOff>
                    <xdr:row>55</xdr:row>
                    <xdr:rowOff>0</xdr:rowOff>
                  </to>
                </anchor>
              </controlPr>
            </control>
          </mc:Choice>
        </mc:AlternateContent>
        <mc:AlternateContent xmlns:mc="http://schemas.openxmlformats.org/markup-compatibility/2006">
          <mc:Choice Requires="x14">
            <control shapeId="685346" r:id="rId14" name="Drop Down 1314">
              <controlPr defaultSize="0" autoLine="0" autoPict="0">
                <anchor moveWithCells="1">
                  <from>
                    <xdr:col>2</xdr:col>
                    <xdr:colOff>514350</xdr:colOff>
                    <xdr:row>5</xdr:row>
                    <xdr:rowOff>9525</xdr:rowOff>
                  </from>
                  <to>
                    <xdr:col>5</xdr:col>
                    <xdr:colOff>95250</xdr:colOff>
                    <xdr:row>6</xdr:row>
                    <xdr:rowOff>9525</xdr:rowOff>
                  </to>
                </anchor>
              </controlPr>
            </control>
          </mc:Choice>
        </mc:AlternateContent>
        <mc:AlternateContent xmlns:mc="http://schemas.openxmlformats.org/markup-compatibility/2006">
          <mc:Choice Requires="x14">
            <control shapeId="685442" r:id="rId15" name="Drop Down 1410">
              <controlPr defaultSize="0" autoLine="0" autoPict="0">
                <anchor moveWithCells="1">
                  <from>
                    <xdr:col>0</xdr:col>
                    <xdr:colOff>9525</xdr:colOff>
                    <xdr:row>56</xdr:row>
                    <xdr:rowOff>0</xdr:rowOff>
                  </from>
                  <to>
                    <xdr:col>1</xdr:col>
                    <xdr:colOff>76200</xdr:colOff>
                    <xdr:row>56</xdr:row>
                    <xdr:rowOff>180975</xdr:rowOff>
                  </to>
                </anchor>
              </controlPr>
            </control>
          </mc:Choice>
        </mc:AlternateContent>
        <mc:AlternateContent xmlns:mc="http://schemas.openxmlformats.org/markup-compatibility/2006">
          <mc:Choice Requires="x14">
            <control shapeId="685525" r:id="rId16" name="Spinner 1493">
              <controlPr defaultSize="0" autoPict="0">
                <anchor moveWithCells="1" sizeWithCells="1">
                  <from>
                    <xdr:col>10</xdr:col>
                    <xdr:colOff>9525</xdr:colOff>
                    <xdr:row>62</xdr:row>
                    <xdr:rowOff>0</xdr:rowOff>
                  </from>
                  <to>
                    <xdr:col>10</xdr:col>
                    <xdr:colOff>180975</xdr:colOff>
                    <xdr:row>62</xdr:row>
                    <xdr:rowOff>180975</xdr:rowOff>
                  </to>
                </anchor>
              </controlPr>
            </control>
          </mc:Choice>
        </mc:AlternateContent>
        <mc:AlternateContent xmlns:mc="http://schemas.openxmlformats.org/markup-compatibility/2006">
          <mc:Choice Requires="x14">
            <control shapeId="685729" r:id="rId17" name="Drop Down 1697">
              <controlPr defaultSize="0" autoLine="0" autoPict="0">
                <anchor>
                  <from>
                    <xdr:col>11</xdr:col>
                    <xdr:colOff>66675</xdr:colOff>
                    <xdr:row>41</xdr:row>
                    <xdr:rowOff>76200</xdr:rowOff>
                  </from>
                  <to>
                    <xdr:col>12</xdr:col>
                    <xdr:colOff>333375</xdr:colOff>
                    <xdr:row>43</xdr:row>
                    <xdr:rowOff>0</xdr:rowOff>
                  </to>
                </anchor>
              </controlPr>
            </control>
          </mc:Choice>
        </mc:AlternateContent>
        <mc:AlternateContent xmlns:mc="http://schemas.openxmlformats.org/markup-compatibility/2006">
          <mc:Choice Requires="x14">
            <control shapeId="685906" r:id="rId18" name="Drop Down 1874">
              <controlPr defaultSize="0" autoLine="0" autoPict="0">
                <anchor moveWithCells="1">
                  <from>
                    <xdr:col>0</xdr:col>
                    <xdr:colOff>19050</xdr:colOff>
                    <xdr:row>102</xdr:row>
                    <xdr:rowOff>0</xdr:rowOff>
                  </from>
                  <to>
                    <xdr:col>2</xdr:col>
                    <xdr:colOff>9525</xdr:colOff>
                    <xdr:row>103</xdr:row>
                    <xdr:rowOff>0</xdr:rowOff>
                  </to>
                </anchor>
              </controlPr>
            </control>
          </mc:Choice>
        </mc:AlternateContent>
        <mc:AlternateContent xmlns:mc="http://schemas.openxmlformats.org/markup-compatibility/2006">
          <mc:Choice Requires="x14">
            <control shapeId="700259" r:id="rId19" name="Drop Down 2915">
              <controlPr locked="0" defaultSize="0" autoLine="0" autoPict="0">
                <anchor moveWithCells="1">
                  <from>
                    <xdr:col>6</xdr:col>
                    <xdr:colOff>371475</xdr:colOff>
                    <xdr:row>4</xdr:row>
                    <xdr:rowOff>9525</xdr:rowOff>
                  </from>
                  <to>
                    <xdr:col>7</xdr:col>
                    <xdr:colOff>514350</xdr:colOff>
                    <xdr:row>4</xdr:row>
                    <xdr:rowOff>238125</xdr:rowOff>
                  </to>
                </anchor>
              </controlPr>
            </control>
          </mc:Choice>
        </mc:AlternateContent>
        <mc:AlternateContent xmlns:mc="http://schemas.openxmlformats.org/markup-compatibility/2006">
          <mc:Choice Requires="x14">
            <control shapeId="713934" r:id="rId20" name="Drop Down 3278">
              <controlPr locked="0" defaultSize="0" autoLine="0" autoPict="0">
                <anchor moveWithCells="1">
                  <from>
                    <xdr:col>5</xdr:col>
                    <xdr:colOff>219075</xdr:colOff>
                    <xdr:row>15</xdr:row>
                    <xdr:rowOff>9525</xdr:rowOff>
                  </from>
                  <to>
                    <xdr:col>7</xdr:col>
                    <xdr:colOff>476250</xdr:colOff>
                    <xdr:row>15</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0000"/>
  </sheetPr>
  <dimension ref="A1:M81"/>
  <sheetViews>
    <sheetView topLeftCell="A41" zoomScaleNormal="100" workbookViewId="0">
      <selection activeCell="D77" sqref="D77"/>
    </sheetView>
  </sheetViews>
  <sheetFormatPr defaultRowHeight="12.75" x14ac:dyDescent="0.2"/>
  <cols>
    <col min="1" max="1" width="9.5703125" style="214" customWidth="1"/>
    <col min="2" max="2" width="20.28515625" style="214" customWidth="1"/>
    <col min="3" max="3" width="16.140625" style="214" customWidth="1"/>
    <col min="4" max="4" width="20.140625" style="214" customWidth="1"/>
    <col min="5" max="5" width="17.28515625" style="214" customWidth="1"/>
    <col min="6" max="6" width="20.5703125" style="214" bestFit="1" customWidth="1"/>
    <col min="7" max="7" width="9.7109375" style="214" customWidth="1"/>
    <col min="8" max="8" width="16.140625" style="214" customWidth="1"/>
    <col min="9" max="9" width="17.28515625" style="214" customWidth="1"/>
    <col min="10" max="10" width="18.42578125" style="214" customWidth="1"/>
    <col min="11" max="11" width="26.42578125" style="214" customWidth="1"/>
    <col min="12" max="12" width="9.140625" style="214"/>
    <col min="13" max="13" width="9.140625" style="215"/>
    <col min="14" max="256" width="9.140625" style="214"/>
    <col min="257" max="257" width="8.7109375" style="214" bestFit="1" customWidth="1"/>
    <col min="258" max="258" width="13.28515625" style="214" customWidth="1"/>
    <col min="259" max="259" width="16.140625" style="214" bestFit="1" customWidth="1"/>
    <col min="260" max="260" width="23.5703125" style="214" customWidth="1"/>
    <col min="261" max="261" width="17.28515625" style="214" customWidth="1"/>
    <col min="262" max="262" width="20.5703125" style="214" bestFit="1" customWidth="1"/>
    <col min="263" max="263" width="17.140625" style="214" customWidth="1"/>
    <col min="264" max="264" width="21.85546875" style="214" bestFit="1" customWidth="1"/>
    <col min="265" max="265" width="17.140625" style="214" bestFit="1" customWidth="1"/>
    <col min="266" max="266" width="18.140625" style="214" bestFit="1" customWidth="1"/>
    <col min="267" max="267" width="26.42578125" style="214" customWidth="1"/>
    <col min="268" max="512" width="9.140625" style="214"/>
    <col min="513" max="513" width="8.7109375" style="214" bestFit="1" customWidth="1"/>
    <col min="514" max="514" width="13.28515625" style="214" customWidth="1"/>
    <col min="515" max="515" width="16.140625" style="214" bestFit="1" customWidth="1"/>
    <col min="516" max="516" width="23.5703125" style="214" customWidth="1"/>
    <col min="517" max="517" width="17.28515625" style="214" customWidth="1"/>
    <col min="518" max="518" width="20.5703125" style="214" bestFit="1" customWidth="1"/>
    <col min="519" max="519" width="17.140625" style="214" customWidth="1"/>
    <col min="520" max="520" width="21.85546875" style="214" bestFit="1" customWidth="1"/>
    <col min="521" max="521" width="17.140625" style="214" bestFit="1" customWidth="1"/>
    <col min="522" max="522" width="18.140625" style="214" bestFit="1" customWidth="1"/>
    <col min="523" max="523" width="26.42578125" style="214" customWidth="1"/>
    <col min="524" max="768" width="9.140625" style="214"/>
    <col min="769" max="769" width="8.7109375" style="214" bestFit="1" customWidth="1"/>
    <col min="770" max="770" width="13.28515625" style="214" customWidth="1"/>
    <col min="771" max="771" width="16.140625" style="214" bestFit="1" customWidth="1"/>
    <col min="772" max="772" width="23.5703125" style="214" customWidth="1"/>
    <col min="773" max="773" width="17.28515625" style="214" customWidth="1"/>
    <col min="774" max="774" width="20.5703125" style="214" bestFit="1" customWidth="1"/>
    <col min="775" max="775" width="17.140625" style="214" customWidth="1"/>
    <col min="776" max="776" width="21.85546875" style="214" bestFit="1" customWidth="1"/>
    <col min="777" max="777" width="17.140625" style="214" bestFit="1" customWidth="1"/>
    <col min="778" max="778" width="18.140625" style="214" bestFit="1" customWidth="1"/>
    <col min="779" max="779" width="26.42578125" style="214" customWidth="1"/>
    <col min="780" max="1024" width="9.140625" style="214"/>
    <col min="1025" max="1025" width="8.7109375" style="214" bestFit="1" customWidth="1"/>
    <col min="1026" max="1026" width="13.28515625" style="214" customWidth="1"/>
    <col min="1027" max="1027" width="16.140625" style="214" bestFit="1" customWidth="1"/>
    <col min="1028" max="1028" width="23.5703125" style="214" customWidth="1"/>
    <col min="1029" max="1029" width="17.28515625" style="214" customWidth="1"/>
    <col min="1030" max="1030" width="20.5703125" style="214" bestFit="1" customWidth="1"/>
    <col min="1031" max="1031" width="17.140625" style="214" customWidth="1"/>
    <col min="1032" max="1032" width="21.85546875" style="214" bestFit="1" customWidth="1"/>
    <col min="1033" max="1033" width="17.140625" style="214" bestFit="1" customWidth="1"/>
    <col min="1034" max="1034" width="18.140625" style="214" bestFit="1" customWidth="1"/>
    <col min="1035" max="1035" width="26.42578125" style="214" customWidth="1"/>
    <col min="1036" max="1280" width="9.140625" style="214"/>
    <col min="1281" max="1281" width="8.7109375" style="214" bestFit="1" customWidth="1"/>
    <col min="1282" max="1282" width="13.28515625" style="214" customWidth="1"/>
    <col min="1283" max="1283" width="16.140625" style="214" bestFit="1" customWidth="1"/>
    <col min="1284" max="1284" width="23.5703125" style="214" customWidth="1"/>
    <col min="1285" max="1285" width="17.28515625" style="214" customWidth="1"/>
    <col min="1286" max="1286" width="20.5703125" style="214" bestFit="1" customWidth="1"/>
    <col min="1287" max="1287" width="17.140625" style="214" customWidth="1"/>
    <col min="1288" max="1288" width="21.85546875" style="214" bestFit="1" customWidth="1"/>
    <col min="1289" max="1289" width="17.140625" style="214" bestFit="1" customWidth="1"/>
    <col min="1290" max="1290" width="18.140625" style="214" bestFit="1" customWidth="1"/>
    <col min="1291" max="1291" width="26.42578125" style="214" customWidth="1"/>
    <col min="1292" max="1536" width="9.140625" style="214"/>
    <col min="1537" max="1537" width="8.7109375" style="214" bestFit="1" customWidth="1"/>
    <col min="1538" max="1538" width="13.28515625" style="214" customWidth="1"/>
    <col min="1539" max="1539" width="16.140625" style="214" bestFit="1" customWidth="1"/>
    <col min="1540" max="1540" width="23.5703125" style="214" customWidth="1"/>
    <col min="1541" max="1541" width="17.28515625" style="214" customWidth="1"/>
    <col min="1542" max="1542" width="20.5703125" style="214" bestFit="1" customWidth="1"/>
    <col min="1543" max="1543" width="17.140625" style="214" customWidth="1"/>
    <col min="1544" max="1544" width="21.85546875" style="214" bestFit="1" customWidth="1"/>
    <col min="1545" max="1545" width="17.140625" style="214" bestFit="1" customWidth="1"/>
    <col min="1546" max="1546" width="18.140625" style="214" bestFit="1" customWidth="1"/>
    <col min="1547" max="1547" width="26.42578125" style="214" customWidth="1"/>
    <col min="1548" max="1792" width="9.140625" style="214"/>
    <col min="1793" max="1793" width="8.7109375" style="214" bestFit="1" customWidth="1"/>
    <col min="1794" max="1794" width="13.28515625" style="214" customWidth="1"/>
    <col min="1795" max="1795" width="16.140625" style="214" bestFit="1" customWidth="1"/>
    <col min="1796" max="1796" width="23.5703125" style="214" customWidth="1"/>
    <col min="1797" max="1797" width="17.28515625" style="214" customWidth="1"/>
    <col min="1798" max="1798" width="20.5703125" style="214" bestFit="1" customWidth="1"/>
    <col min="1799" max="1799" width="17.140625" style="214" customWidth="1"/>
    <col min="1800" max="1800" width="21.85546875" style="214" bestFit="1" customWidth="1"/>
    <col min="1801" max="1801" width="17.140625" style="214" bestFit="1" customWidth="1"/>
    <col min="1802" max="1802" width="18.140625" style="214" bestFit="1" customWidth="1"/>
    <col min="1803" max="1803" width="26.42578125" style="214" customWidth="1"/>
    <col min="1804" max="2048" width="9.140625" style="214"/>
    <col min="2049" max="2049" width="8.7109375" style="214" bestFit="1" customWidth="1"/>
    <col min="2050" max="2050" width="13.28515625" style="214" customWidth="1"/>
    <col min="2051" max="2051" width="16.140625" style="214" bestFit="1" customWidth="1"/>
    <col min="2052" max="2052" width="23.5703125" style="214" customWidth="1"/>
    <col min="2053" max="2053" width="17.28515625" style="214" customWidth="1"/>
    <col min="2054" max="2054" width="20.5703125" style="214" bestFit="1" customWidth="1"/>
    <col min="2055" max="2055" width="17.140625" style="214" customWidth="1"/>
    <col min="2056" max="2056" width="21.85546875" style="214" bestFit="1" customWidth="1"/>
    <col min="2057" max="2057" width="17.140625" style="214" bestFit="1" customWidth="1"/>
    <col min="2058" max="2058" width="18.140625" style="214" bestFit="1" customWidth="1"/>
    <col min="2059" max="2059" width="26.42578125" style="214" customWidth="1"/>
    <col min="2060" max="2304" width="9.140625" style="214"/>
    <col min="2305" max="2305" width="8.7109375" style="214" bestFit="1" customWidth="1"/>
    <col min="2306" max="2306" width="13.28515625" style="214" customWidth="1"/>
    <col min="2307" max="2307" width="16.140625" style="214" bestFit="1" customWidth="1"/>
    <col min="2308" max="2308" width="23.5703125" style="214" customWidth="1"/>
    <col min="2309" max="2309" width="17.28515625" style="214" customWidth="1"/>
    <col min="2310" max="2310" width="20.5703125" style="214" bestFit="1" customWidth="1"/>
    <col min="2311" max="2311" width="17.140625" style="214" customWidth="1"/>
    <col min="2312" max="2312" width="21.85546875" style="214" bestFit="1" customWidth="1"/>
    <col min="2313" max="2313" width="17.140625" style="214" bestFit="1" customWidth="1"/>
    <col min="2314" max="2314" width="18.140625" style="214" bestFit="1" customWidth="1"/>
    <col min="2315" max="2315" width="26.42578125" style="214" customWidth="1"/>
    <col min="2316" max="2560" width="9.140625" style="214"/>
    <col min="2561" max="2561" width="8.7109375" style="214" bestFit="1" customWidth="1"/>
    <col min="2562" max="2562" width="13.28515625" style="214" customWidth="1"/>
    <col min="2563" max="2563" width="16.140625" style="214" bestFit="1" customWidth="1"/>
    <col min="2564" max="2564" width="23.5703125" style="214" customWidth="1"/>
    <col min="2565" max="2565" width="17.28515625" style="214" customWidth="1"/>
    <col min="2566" max="2566" width="20.5703125" style="214" bestFit="1" customWidth="1"/>
    <col min="2567" max="2567" width="17.140625" style="214" customWidth="1"/>
    <col min="2568" max="2568" width="21.85546875" style="214" bestFit="1" customWidth="1"/>
    <col min="2569" max="2569" width="17.140625" style="214" bestFit="1" customWidth="1"/>
    <col min="2570" max="2570" width="18.140625" style="214" bestFit="1" customWidth="1"/>
    <col min="2571" max="2571" width="26.42578125" style="214" customWidth="1"/>
    <col min="2572" max="2816" width="9.140625" style="214"/>
    <col min="2817" max="2817" width="8.7109375" style="214" bestFit="1" customWidth="1"/>
    <col min="2818" max="2818" width="13.28515625" style="214" customWidth="1"/>
    <col min="2819" max="2819" width="16.140625" style="214" bestFit="1" customWidth="1"/>
    <col min="2820" max="2820" width="23.5703125" style="214" customWidth="1"/>
    <col min="2821" max="2821" width="17.28515625" style="214" customWidth="1"/>
    <col min="2822" max="2822" width="20.5703125" style="214" bestFit="1" customWidth="1"/>
    <col min="2823" max="2823" width="17.140625" style="214" customWidth="1"/>
    <col min="2824" max="2824" width="21.85546875" style="214" bestFit="1" customWidth="1"/>
    <col min="2825" max="2825" width="17.140625" style="214" bestFit="1" customWidth="1"/>
    <col min="2826" max="2826" width="18.140625" style="214" bestFit="1" customWidth="1"/>
    <col min="2827" max="2827" width="26.42578125" style="214" customWidth="1"/>
    <col min="2828" max="3072" width="9.140625" style="214"/>
    <col min="3073" max="3073" width="8.7109375" style="214" bestFit="1" customWidth="1"/>
    <col min="3074" max="3074" width="13.28515625" style="214" customWidth="1"/>
    <col min="3075" max="3075" width="16.140625" style="214" bestFit="1" customWidth="1"/>
    <col min="3076" max="3076" width="23.5703125" style="214" customWidth="1"/>
    <col min="3077" max="3077" width="17.28515625" style="214" customWidth="1"/>
    <col min="3078" max="3078" width="20.5703125" style="214" bestFit="1" customWidth="1"/>
    <col min="3079" max="3079" width="17.140625" style="214" customWidth="1"/>
    <col min="3080" max="3080" width="21.85546875" style="214" bestFit="1" customWidth="1"/>
    <col min="3081" max="3081" width="17.140625" style="214" bestFit="1" customWidth="1"/>
    <col min="3082" max="3082" width="18.140625" style="214" bestFit="1" customWidth="1"/>
    <col min="3083" max="3083" width="26.42578125" style="214" customWidth="1"/>
    <col min="3084" max="3328" width="9.140625" style="214"/>
    <col min="3329" max="3329" width="8.7109375" style="214" bestFit="1" customWidth="1"/>
    <col min="3330" max="3330" width="13.28515625" style="214" customWidth="1"/>
    <col min="3331" max="3331" width="16.140625" style="214" bestFit="1" customWidth="1"/>
    <col min="3332" max="3332" width="23.5703125" style="214" customWidth="1"/>
    <col min="3333" max="3333" width="17.28515625" style="214" customWidth="1"/>
    <col min="3334" max="3334" width="20.5703125" style="214" bestFit="1" customWidth="1"/>
    <col min="3335" max="3335" width="17.140625" style="214" customWidth="1"/>
    <col min="3336" max="3336" width="21.85546875" style="214" bestFit="1" customWidth="1"/>
    <col min="3337" max="3337" width="17.140625" style="214" bestFit="1" customWidth="1"/>
    <col min="3338" max="3338" width="18.140625" style="214" bestFit="1" customWidth="1"/>
    <col min="3339" max="3339" width="26.42578125" style="214" customWidth="1"/>
    <col min="3340" max="3584" width="9.140625" style="214"/>
    <col min="3585" max="3585" width="8.7109375" style="214" bestFit="1" customWidth="1"/>
    <col min="3586" max="3586" width="13.28515625" style="214" customWidth="1"/>
    <col min="3587" max="3587" width="16.140625" style="214" bestFit="1" customWidth="1"/>
    <col min="3588" max="3588" width="23.5703125" style="214" customWidth="1"/>
    <col min="3589" max="3589" width="17.28515625" style="214" customWidth="1"/>
    <col min="3590" max="3590" width="20.5703125" style="214" bestFit="1" customWidth="1"/>
    <col min="3591" max="3591" width="17.140625" style="214" customWidth="1"/>
    <col min="3592" max="3592" width="21.85546875" style="214" bestFit="1" customWidth="1"/>
    <col min="3593" max="3593" width="17.140625" style="214" bestFit="1" customWidth="1"/>
    <col min="3594" max="3594" width="18.140625" style="214" bestFit="1" customWidth="1"/>
    <col min="3595" max="3595" width="26.42578125" style="214" customWidth="1"/>
    <col min="3596" max="3840" width="9.140625" style="214"/>
    <col min="3841" max="3841" width="8.7109375" style="214" bestFit="1" customWidth="1"/>
    <col min="3842" max="3842" width="13.28515625" style="214" customWidth="1"/>
    <col min="3843" max="3843" width="16.140625" style="214" bestFit="1" customWidth="1"/>
    <col min="3844" max="3844" width="23.5703125" style="214" customWidth="1"/>
    <col min="3845" max="3845" width="17.28515625" style="214" customWidth="1"/>
    <col min="3846" max="3846" width="20.5703125" style="214" bestFit="1" customWidth="1"/>
    <col min="3847" max="3847" width="17.140625" style="214" customWidth="1"/>
    <col min="3848" max="3848" width="21.85546875" style="214" bestFit="1" customWidth="1"/>
    <col min="3849" max="3849" width="17.140625" style="214" bestFit="1" customWidth="1"/>
    <col min="3850" max="3850" width="18.140625" style="214" bestFit="1" customWidth="1"/>
    <col min="3851" max="3851" width="26.42578125" style="214" customWidth="1"/>
    <col min="3852" max="4096" width="9.140625" style="214"/>
    <col min="4097" max="4097" width="8.7109375" style="214" bestFit="1" customWidth="1"/>
    <col min="4098" max="4098" width="13.28515625" style="214" customWidth="1"/>
    <col min="4099" max="4099" width="16.140625" style="214" bestFit="1" customWidth="1"/>
    <col min="4100" max="4100" width="23.5703125" style="214" customWidth="1"/>
    <col min="4101" max="4101" width="17.28515625" style="214" customWidth="1"/>
    <col min="4102" max="4102" width="20.5703125" style="214" bestFit="1" customWidth="1"/>
    <col min="4103" max="4103" width="17.140625" style="214" customWidth="1"/>
    <col min="4104" max="4104" width="21.85546875" style="214" bestFit="1" customWidth="1"/>
    <col min="4105" max="4105" width="17.140625" style="214" bestFit="1" customWidth="1"/>
    <col min="4106" max="4106" width="18.140625" style="214" bestFit="1" customWidth="1"/>
    <col min="4107" max="4107" width="26.42578125" style="214" customWidth="1"/>
    <col min="4108" max="4352" width="9.140625" style="214"/>
    <col min="4353" max="4353" width="8.7109375" style="214" bestFit="1" customWidth="1"/>
    <col min="4354" max="4354" width="13.28515625" style="214" customWidth="1"/>
    <col min="4355" max="4355" width="16.140625" style="214" bestFit="1" customWidth="1"/>
    <col min="4356" max="4356" width="23.5703125" style="214" customWidth="1"/>
    <col min="4357" max="4357" width="17.28515625" style="214" customWidth="1"/>
    <col min="4358" max="4358" width="20.5703125" style="214" bestFit="1" customWidth="1"/>
    <col min="4359" max="4359" width="17.140625" style="214" customWidth="1"/>
    <col min="4360" max="4360" width="21.85546875" style="214" bestFit="1" customWidth="1"/>
    <col min="4361" max="4361" width="17.140625" style="214" bestFit="1" customWidth="1"/>
    <col min="4362" max="4362" width="18.140625" style="214" bestFit="1" customWidth="1"/>
    <col min="4363" max="4363" width="26.42578125" style="214" customWidth="1"/>
    <col min="4364" max="4608" width="9.140625" style="214"/>
    <col min="4609" max="4609" width="8.7109375" style="214" bestFit="1" customWidth="1"/>
    <col min="4610" max="4610" width="13.28515625" style="214" customWidth="1"/>
    <col min="4611" max="4611" width="16.140625" style="214" bestFit="1" customWidth="1"/>
    <col min="4612" max="4612" width="23.5703125" style="214" customWidth="1"/>
    <col min="4613" max="4613" width="17.28515625" style="214" customWidth="1"/>
    <col min="4614" max="4614" width="20.5703125" style="214" bestFit="1" customWidth="1"/>
    <col min="4615" max="4615" width="17.140625" style="214" customWidth="1"/>
    <col min="4616" max="4616" width="21.85546875" style="214" bestFit="1" customWidth="1"/>
    <col min="4617" max="4617" width="17.140625" style="214" bestFit="1" customWidth="1"/>
    <col min="4618" max="4618" width="18.140625" style="214" bestFit="1" customWidth="1"/>
    <col min="4619" max="4619" width="26.42578125" style="214" customWidth="1"/>
    <col min="4620" max="4864" width="9.140625" style="214"/>
    <col min="4865" max="4865" width="8.7109375" style="214" bestFit="1" customWidth="1"/>
    <col min="4866" max="4866" width="13.28515625" style="214" customWidth="1"/>
    <col min="4867" max="4867" width="16.140625" style="214" bestFit="1" customWidth="1"/>
    <col min="4868" max="4868" width="23.5703125" style="214" customWidth="1"/>
    <col min="4869" max="4869" width="17.28515625" style="214" customWidth="1"/>
    <col min="4870" max="4870" width="20.5703125" style="214" bestFit="1" customWidth="1"/>
    <col min="4871" max="4871" width="17.140625" style="214" customWidth="1"/>
    <col min="4872" max="4872" width="21.85546875" style="214" bestFit="1" customWidth="1"/>
    <col min="4873" max="4873" width="17.140625" style="214" bestFit="1" customWidth="1"/>
    <col min="4874" max="4874" width="18.140625" style="214" bestFit="1" customWidth="1"/>
    <col min="4875" max="4875" width="26.42578125" style="214" customWidth="1"/>
    <col min="4876" max="5120" width="9.140625" style="214"/>
    <col min="5121" max="5121" width="8.7109375" style="214" bestFit="1" customWidth="1"/>
    <col min="5122" max="5122" width="13.28515625" style="214" customWidth="1"/>
    <col min="5123" max="5123" width="16.140625" style="214" bestFit="1" customWidth="1"/>
    <col min="5124" max="5124" width="23.5703125" style="214" customWidth="1"/>
    <col min="5125" max="5125" width="17.28515625" style="214" customWidth="1"/>
    <col min="5126" max="5126" width="20.5703125" style="214" bestFit="1" customWidth="1"/>
    <col min="5127" max="5127" width="17.140625" style="214" customWidth="1"/>
    <col min="5128" max="5128" width="21.85546875" style="214" bestFit="1" customWidth="1"/>
    <col min="5129" max="5129" width="17.140625" style="214" bestFit="1" customWidth="1"/>
    <col min="5130" max="5130" width="18.140625" style="214" bestFit="1" customWidth="1"/>
    <col min="5131" max="5131" width="26.42578125" style="214" customWidth="1"/>
    <col min="5132" max="5376" width="9.140625" style="214"/>
    <col min="5377" max="5377" width="8.7109375" style="214" bestFit="1" customWidth="1"/>
    <col min="5378" max="5378" width="13.28515625" style="214" customWidth="1"/>
    <col min="5379" max="5379" width="16.140625" style="214" bestFit="1" customWidth="1"/>
    <col min="5380" max="5380" width="23.5703125" style="214" customWidth="1"/>
    <col min="5381" max="5381" width="17.28515625" style="214" customWidth="1"/>
    <col min="5382" max="5382" width="20.5703125" style="214" bestFit="1" customWidth="1"/>
    <col min="5383" max="5383" width="17.140625" style="214" customWidth="1"/>
    <col min="5384" max="5384" width="21.85546875" style="214" bestFit="1" customWidth="1"/>
    <col min="5385" max="5385" width="17.140625" style="214" bestFit="1" customWidth="1"/>
    <col min="5386" max="5386" width="18.140625" style="214" bestFit="1" customWidth="1"/>
    <col min="5387" max="5387" width="26.42578125" style="214" customWidth="1"/>
    <col min="5388" max="5632" width="9.140625" style="214"/>
    <col min="5633" max="5633" width="8.7109375" style="214" bestFit="1" customWidth="1"/>
    <col min="5634" max="5634" width="13.28515625" style="214" customWidth="1"/>
    <col min="5635" max="5635" width="16.140625" style="214" bestFit="1" customWidth="1"/>
    <col min="5636" max="5636" width="23.5703125" style="214" customWidth="1"/>
    <col min="5637" max="5637" width="17.28515625" style="214" customWidth="1"/>
    <col min="5638" max="5638" width="20.5703125" style="214" bestFit="1" customWidth="1"/>
    <col min="5639" max="5639" width="17.140625" style="214" customWidth="1"/>
    <col min="5640" max="5640" width="21.85546875" style="214" bestFit="1" customWidth="1"/>
    <col min="5641" max="5641" width="17.140625" style="214" bestFit="1" customWidth="1"/>
    <col min="5642" max="5642" width="18.140625" style="214" bestFit="1" customWidth="1"/>
    <col min="5643" max="5643" width="26.42578125" style="214" customWidth="1"/>
    <col min="5644" max="5888" width="9.140625" style="214"/>
    <col min="5889" max="5889" width="8.7109375" style="214" bestFit="1" customWidth="1"/>
    <col min="5890" max="5890" width="13.28515625" style="214" customWidth="1"/>
    <col min="5891" max="5891" width="16.140625" style="214" bestFit="1" customWidth="1"/>
    <col min="5892" max="5892" width="23.5703125" style="214" customWidth="1"/>
    <col min="5893" max="5893" width="17.28515625" style="214" customWidth="1"/>
    <col min="5894" max="5894" width="20.5703125" style="214" bestFit="1" customWidth="1"/>
    <col min="5895" max="5895" width="17.140625" style="214" customWidth="1"/>
    <col min="5896" max="5896" width="21.85546875" style="214" bestFit="1" customWidth="1"/>
    <col min="5897" max="5897" width="17.140625" style="214" bestFit="1" customWidth="1"/>
    <col min="5898" max="5898" width="18.140625" style="214" bestFit="1" customWidth="1"/>
    <col min="5899" max="5899" width="26.42578125" style="214" customWidth="1"/>
    <col min="5900" max="6144" width="9.140625" style="214"/>
    <col min="6145" max="6145" width="8.7109375" style="214" bestFit="1" customWidth="1"/>
    <col min="6146" max="6146" width="13.28515625" style="214" customWidth="1"/>
    <col min="6147" max="6147" width="16.140625" style="214" bestFit="1" customWidth="1"/>
    <col min="6148" max="6148" width="23.5703125" style="214" customWidth="1"/>
    <col min="6149" max="6149" width="17.28515625" style="214" customWidth="1"/>
    <col min="6150" max="6150" width="20.5703125" style="214" bestFit="1" customWidth="1"/>
    <col min="6151" max="6151" width="17.140625" style="214" customWidth="1"/>
    <col min="6152" max="6152" width="21.85546875" style="214" bestFit="1" customWidth="1"/>
    <col min="6153" max="6153" width="17.140625" style="214" bestFit="1" customWidth="1"/>
    <col min="6154" max="6154" width="18.140625" style="214" bestFit="1" customWidth="1"/>
    <col min="6155" max="6155" width="26.42578125" style="214" customWidth="1"/>
    <col min="6156" max="6400" width="9.140625" style="214"/>
    <col min="6401" max="6401" width="8.7109375" style="214" bestFit="1" customWidth="1"/>
    <col min="6402" max="6402" width="13.28515625" style="214" customWidth="1"/>
    <col min="6403" max="6403" width="16.140625" style="214" bestFit="1" customWidth="1"/>
    <col min="6404" max="6404" width="23.5703125" style="214" customWidth="1"/>
    <col min="6405" max="6405" width="17.28515625" style="214" customWidth="1"/>
    <col min="6406" max="6406" width="20.5703125" style="214" bestFit="1" customWidth="1"/>
    <col min="6407" max="6407" width="17.140625" style="214" customWidth="1"/>
    <col min="6408" max="6408" width="21.85546875" style="214" bestFit="1" customWidth="1"/>
    <col min="6409" max="6409" width="17.140625" style="214" bestFit="1" customWidth="1"/>
    <col min="6410" max="6410" width="18.140625" style="214" bestFit="1" customWidth="1"/>
    <col min="6411" max="6411" width="26.42578125" style="214" customWidth="1"/>
    <col min="6412" max="6656" width="9.140625" style="214"/>
    <col min="6657" max="6657" width="8.7109375" style="214" bestFit="1" customWidth="1"/>
    <col min="6658" max="6658" width="13.28515625" style="214" customWidth="1"/>
    <col min="6659" max="6659" width="16.140625" style="214" bestFit="1" customWidth="1"/>
    <col min="6660" max="6660" width="23.5703125" style="214" customWidth="1"/>
    <col min="6661" max="6661" width="17.28515625" style="214" customWidth="1"/>
    <col min="6662" max="6662" width="20.5703125" style="214" bestFit="1" customWidth="1"/>
    <col min="6663" max="6663" width="17.140625" style="214" customWidth="1"/>
    <col min="6664" max="6664" width="21.85546875" style="214" bestFit="1" customWidth="1"/>
    <col min="6665" max="6665" width="17.140625" style="214" bestFit="1" customWidth="1"/>
    <col min="6666" max="6666" width="18.140625" style="214" bestFit="1" customWidth="1"/>
    <col min="6667" max="6667" width="26.42578125" style="214" customWidth="1"/>
    <col min="6668" max="6912" width="9.140625" style="214"/>
    <col min="6913" max="6913" width="8.7109375" style="214" bestFit="1" customWidth="1"/>
    <col min="6914" max="6914" width="13.28515625" style="214" customWidth="1"/>
    <col min="6915" max="6915" width="16.140625" style="214" bestFit="1" customWidth="1"/>
    <col min="6916" max="6916" width="23.5703125" style="214" customWidth="1"/>
    <col min="6917" max="6917" width="17.28515625" style="214" customWidth="1"/>
    <col min="6918" max="6918" width="20.5703125" style="214" bestFit="1" customWidth="1"/>
    <col min="6919" max="6919" width="17.140625" style="214" customWidth="1"/>
    <col min="6920" max="6920" width="21.85546875" style="214" bestFit="1" customWidth="1"/>
    <col min="6921" max="6921" width="17.140625" style="214" bestFit="1" customWidth="1"/>
    <col min="6922" max="6922" width="18.140625" style="214" bestFit="1" customWidth="1"/>
    <col min="6923" max="6923" width="26.42578125" style="214" customWidth="1"/>
    <col min="6924" max="7168" width="9.140625" style="214"/>
    <col min="7169" max="7169" width="8.7109375" style="214" bestFit="1" customWidth="1"/>
    <col min="7170" max="7170" width="13.28515625" style="214" customWidth="1"/>
    <col min="7171" max="7171" width="16.140625" style="214" bestFit="1" customWidth="1"/>
    <col min="7172" max="7172" width="23.5703125" style="214" customWidth="1"/>
    <col min="7173" max="7173" width="17.28515625" style="214" customWidth="1"/>
    <col min="7174" max="7174" width="20.5703125" style="214" bestFit="1" customWidth="1"/>
    <col min="7175" max="7175" width="17.140625" style="214" customWidth="1"/>
    <col min="7176" max="7176" width="21.85546875" style="214" bestFit="1" customWidth="1"/>
    <col min="7177" max="7177" width="17.140625" style="214" bestFit="1" customWidth="1"/>
    <col min="7178" max="7178" width="18.140625" style="214" bestFit="1" customWidth="1"/>
    <col min="7179" max="7179" width="26.42578125" style="214" customWidth="1"/>
    <col min="7180" max="7424" width="9.140625" style="214"/>
    <col min="7425" max="7425" width="8.7109375" style="214" bestFit="1" customWidth="1"/>
    <col min="7426" max="7426" width="13.28515625" style="214" customWidth="1"/>
    <col min="7427" max="7427" width="16.140625" style="214" bestFit="1" customWidth="1"/>
    <col min="7428" max="7428" width="23.5703125" style="214" customWidth="1"/>
    <col min="7429" max="7429" width="17.28515625" style="214" customWidth="1"/>
    <col min="7430" max="7430" width="20.5703125" style="214" bestFit="1" customWidth="1"/>
    <col min="7431" max="7431" width="17.140625" style="214" customWidth="1"/>
    <col min="7432" max="7432" width="21.85546875" style="214" bestFit="1" customWidth="1"/>
    <col min="7433" max="7433" width="17.140625" style="214" bestFit="1" customWidth="1"/>
    <col min="7434" max="7434" width="18.140625" style="214" bestFit="1" customWidth="1"/>
    <col min="7435" max="7435" width="26.42578125" style="214" customWidth="1"/>
    <col min="7436" max="7680" width="9.140625" style="214"/>
    <col min="7681" max="7681" width="8.7109375" style="214" bestFit="1" customWidth="1"/>
    <col min="7682" max="7682" width="13.28515625" style="214" customWidth="1"/>
    <col min="7683" max="7683" width="16.140625" style="214" bestFit="1" customWidth="1"/>
    <col min="7684" max="7684" width="23.5703125" style="214" customWidth="1"/>
    <col min="7685" max="7685" width="17.28515625" style="214" customWidth="1"/>
    <col min="7686" max="7686" width="20.5703125" style="214" bestFit="1" customWidth="1"/>
    <col min="7687" max="7687" width="17.140625" style="214" customWidth="1"/>
    <col min="7688" max="7688" width="21.85546875" style="214" bestFit="1" customWidth="1"/>
    <col min="7689" max="7689" width="17.140625" style="214" bestFit="1" customWidth="1"/>
    <col min="7690" max="7690" width="18.140625" style="214" bestFit="1" customWidth="1"/>
    <col min="7691" max="7691" width="26.42578125" style="214" customWidth="1"/>
    <col min="7692" max="7936" width="9.140625" style="214"/>
    <col min="7937" max="7937" width="8.7109375" style="214" bestFit="1" customWidth="1"/>
    <col min="7938" max="7938" width="13.28515625" style="214" customWidth="1"/>
    <col min="7939" max="7939" width="16.140625" style="214" bestFit="1" customWidth="1"/>
    <col min="7940" max="7940" width="23.5703125" style="214" customWidth="1"/>
    <col min="7941" max="7941" width="17.28515625" style="214" customWidth="1"/>
    <col min="7942" max="7942" width="20.5703125" style="214" bestFit="1" customWidth="1"/>
    <col min="7943" max="7943" width="17.140625" style="214" customWidth="1"/>
    <col min="7944" max="7944" width="21.85546875" style="214" bestFit="1" customWidth="1"/>
    <col min="7945" max="7945" width="17.140625" style="214" bestFit="1" customWidth="1"/>
    <col min="7946" max="7946" width="18.140625" style="214" bestFit="1" customWidth="1"/>
    <col min="7947" max="7947" width="26.42578125" style="214" customWidth="1"/>
    <col min="7948" max="8192" width="9.140625" style="214"/>
    <col min="8193" max="8193" width="8.7109375" style="214" bestFit="1" customWidth="1"/>
    <col min="8194" max="8194" width="13.28515625" style="214" customWidth="1"/>
    <col min="8195" max="8195" width="16.140625" style="214" bestFit="1" customWidth="1"/>
    <col min="8196" max="8196" width="23.5703125" style="214" customWidth="1"/>
    <col min="8197" max="8197" width="17.28515625" style="214" customWidth="1"/>
    <col min="8198" max="8198" width="20.5703125" style="214" bestFit="1" customWidth="1"/>
    <col min="8199" max="8199" width="17.140625" style="214" customWidth="1"/>
    <col min="8200" max="8200" width="21.85546875" style="214" bestFit="1" customWidth="1"/>
    <col min="8201" max="8201" width="17.140625" style="214" bestFit="1" customWidth="1"/>
    <col min="8202" max="8202" width="18.140625" style="214" bestFit="1" customWidth="1"/>
    <col min="8203" max="8203" width="26.42578125" style="214" customWidth="1"/>
    <col min="8204" max="8448" width="9.140625" style="214"/>
    <col min="8449" max="8449" width="8.7109375" style="214" bestFit="1" customWidth="1"/>
    <col min="8450" max="8450" width="13.28515625" style="214" customWidth="1"/>
    <col min="8451" max="8451" width="16.140625" style="214" bestFit="1" customWidth="1"/>
    <col min="8452" max="8452" width="23.5703125" style="214" customWidth="1"/>
    <col min="8453" max="8453" width="17.28515625" style="214" customWidth="1"/>
    <col min="8454" max="8454" width="20.5703125" style="214" bestFit="1" customWidth="1"/>
    <col min="8455" max="8455" width="17.140625" style="214" customWidth="1"/>
    <col min="8456" max="8456" width="21.85546875" style="214" bestFit="1" customWidth="1"/>
    <col min="8457" max="8457" width="17.140625" style="214" bestFit="1" customWidth="1"/>
    <col min="8458" max="8458" width="18.140625" style="214" bestFit="1" customWidth="1"/>
    <col min="8459" max="8459" width="26.42578125" style="214" customWidth="1"/>
    <col min="8460" max="8704" width="9.140625" style="214"/>
    <col min="8705" max="8705" width="8.7109375" style="214" bestFit="1" customWidth="1"/>
    <col min="8706" max="8706" width="13.28515625" style="214" customWidth="1"/>
    <col min="8707" max="8707" width="16.140625" style="214" bestFit="1" customWidth="1"/>
    <col min="8708" max="8708" width="23.5703125" style="214" customWidth="1"/>
    <col min="8709" max="8709" width="17.28515625" style="214" customWidth="1"/>
    <col min="8710" max="8710" width="20.5703125" style="214" bestFit="1" customWidth="1"/>
    <col min="8711" max="8711" width="17.140625" style="214" customWidth="1"/>
    <col min="8712" max="8712" width="21.85546875" style="214" bestFit="1" customWidth="1"/>
    <col min="8713" max="8713" width="17.140625" style="214" bestFit="1" customWidth="1"/>
    <col min="8714" max="8714" width="18.140625" style="214" bestFit="1" customWidth="1"/>
    <col min="8715" max="8715" width="26.42578125" style="214" customWidth="1"/>
    <col min="8716" max="8960" width="9.140625" style="214"/>
    <col min="8961" max="8961" width="8.7109375" style="214" bestFit="1" customWidth="1"/>
    <col min="8962" max="8962" width="13.28515625" style="214" customWidth="1"/>
    <col min="8963" max="8963" width="16.140625" style="214" bestFit="1" customWidth="1"/>
    <col min="8964" max="8964" width="23.5703125" style="214" customWidth="1"/>
    <col min="8965" max="8965" width="17.28515625" style="214" customWidth="1"/>
    <col min="8966" max="8966" width="20.5703125" style="214" bestFit="1" customWidth="1"/>
    <col min="8967" max="8967" width="17.140625" style="214" customWidth="1"/>
    <col min="8968" max="8968" width="21.85546875" style="214" bestFit="1" customWidth="1"/>
    <col min="8969" max="8969" width="17.140625" style="214" bestFit="1" customWidth="1"/>
    <col min="8970" max="8970" width="18.140625" style="214" bestFit="1" customWidth="1"/>
    <col min="8971" max="8971" width="26.42578125" style="214" customWidth="1"/>
    <col min="8972" max="9216" width="9.140625" style="214"/>
    <col min="9217" max="9217" width="8.7109375" style="214" bestFit="1" customWidth="1"/>
    <col min="9218" max="9218" width="13.28515625" style="214" customWidth="1"/>
    <col min="9219" max="9219" width="16.140625" style="214" bestFit="1" customWidth="1"/>
    <col min="9220" max="9220" width="23.5703125" style="214" customWidth="1"/>
    <col min="9221" max="9221" width="17.28515625" style="214" customWidth="1"/>
    <col min="9222" max="9222" width="20.5703125" style="214" bestFit="1" customWidth="1"/>
    <col min="9223" max="9223" width="17.140625" style="214" customWidth="1"/>
    <col min="9224" max="9224" width="21.85546875" style="214" bestFit="1" customWidth="1"/>
    <col min="9225" max="9225" width="17.140625" style="214" bestFit="1" customWidth="1"/>
    <col min="9226" max="9226" width="18.140625" style="214" bestFit="1" customWidth="1"/>
    <col min="9227" max="9227" width="26.42578125" style="214" customWidth="1"/>
    <col min="9228" max="9472" width="9.140625" style="214"/>
    <col min="9473" max="9473" width="8.7109375" style="214" bestFit="1" customWidth="1"/>
    <col min="9474" max="9474" width="13.28515625" style="214" customWidth="1"/>
    <col min="9475" max="9475" width="16.140625" style="214" bestFit="1" customWidth="1"/>
    <col min="9476" max="9476" width="23.5703125" style="214" customWidth="1"/>
    <col min="9477" max="9477" width="17.28515625" style="214" customWidth="1"/>
    <col min="9478" max="9478" width="20.5703125" style="214" bestFit="1" customWidth="1"/>
    <col min="9479" max="9479" width="17.140625" style="214" customWidth="1"/>
    <col min="9480" max="9480" width="21.85546875" style="214" bestFit="1" customWidth="1"/>
    <col min="9481" max="9481" width="17.140625" style="214" bestFit="1" customWidth="1"/>
    <col min="9482" max="9482" width="18.140625" style="214" bestFit="1" customWidth="1"/>
    <col min="9483" max="9483" width="26.42578125" style="214" customWidth="1"/>
    <col min="9484" max="9728" width="9.140625" style="214"/>
    <col min="9729" max="9729" width="8.7109375" style="214" bestFit="1" customWidth="1"/>
    <col min="9730" max="9730" width="13.28515625" style="214" customWidth="1"/>
    <col min="9731" max="9731" width="16.140625" style="214" bestFit="1" customWidth="1"/>
    <col min="9732" max="9732" width="23.5703125" style="214" customWidth="1"/>
    <col min="9733" max="9733" width="17.28515625" style="214" customWidth="1"/>
    <col min="9734" max="9734" width="20.5703125" style="214" bestFit="1" customWidth="1"/>
    <col min="9735" max="9735" width="17.140625" style="214" customWidth="1"/>
    <col min="9736" max="9736" width="21.85546875" style="214" bestFit="1" customWidth="1"/>
    <col min="9737" max="9737" width="17.140625" style="214" bestFit="1" customWidth="1"/>
    <col min="9738" max="9738" width="18.140625" style="214" bestFit="1" customWidth="1"/>
    <col min="9739" max="9739" width="26.42578125" style="214" customWidth="1"/>
    <col min="9740" max="9984" width="9.140625" style="214"/>
    <col min="9985" max="9985" width="8.7109375" style="214" bestFit="1" customWidth="1"/>
    <col min="9986" max="9986" width="13.28515625" style="214" customWidth="1"/>
    <col min="9987" max="9987" width="16.140625" style="214" bestFit="1" customWidth="1"/>
    <col min="9988" max="9988" width="23.5703125" style="214" customWidth="1"/>
    <col min="9989" max="9989" width="17.28515625" style="214" customWidth="1"/>
    <col min="9990" max="9990" width="20.5703125" style="214" bestFit="1" customWidth="1"/>
    <col min="9991" max="9991" width="17.140625" style="214" customWidth="1"/>
    <col min="9992" max="9992" width="21.85546875" style="214" bestFit="1" customWidth="1"/>
    <col min="9993" max="9993" width="17.140625" style="214" bestFit="1" customWidth="1"/>
    <col min="9994" max="9994" width="18.140625" style="214" bestFit="1" customWidth="1"/>
    <col min="9995" max="9995" width="26.42578125" style="214" customWidth="1"/>
    <col min="9996" max="10240" width="9.140625" style="214"/>
    <col min="10241" max="10241" width="8.7109375" style="214" bestFit="1" customWidth="1"/>
    <col min="10242" max="10242" width="13.28515625" style="214" customWidth="1"/>
    <col min="10243" max="10243" width="16.140625" style="214" bestFit="1" customWidth="1"/>
    <col min="10244" max="10244" width="23.5703125" style="214" customWidth="1"/>
    <col min="10245" max="10245" width="17.28515625" style="214" customWidth="1"/>
    <col min="10246" max="10246" width="20.5703125" style="214" bestFit="1" customWidth="1"/>
    <col min="10247" max="10247" width="17.140625" style="214" customWidth="1"/>
    <col min="10248" max="10248" width="21.85546875" style="214" bestFit="1" customWidth="1"/>
    <col min="10249" max="10249" width="17.140625" style="214" bestFit="1" customWidth="1"/>
    <col min="10250" max="10250" width="18.140625" style="214" bestFit="1" customWidth="1"/>
    <col min="10251" max="10251" width="26.42578125" style="214" customWidth="1"/>
    <col min="10252" max="10496" width="9.140625" style="214"/>
    <col min="10497" max="10497" width="8.7109375" style="214" bestFit="1" customWidth="1"/>
    <col min="10498" max="10498" width="13.28515625" style="214" customWidth="1"/>
    <col min="10499" max="10499" width="16.140625" style="214" bestFit="1" customWidth="1"/>
    <col min="10500" max="10500" width="23.5703125" style="214" customWidth="1"/>
    <col min="10501" max="10501" width="17.28515625" style="214" customWidth="1"/>
    <col min="10502" max="10502" width="20.5703125" style="214" bestFit="1" customWidth="1"/>
    <col min="10503" max="10503" width="17.140625" style="214" customWidth="1"/>
    <col min="10504" max="10504" width="21.85546875" style="214" bestFit="1" customWidth="1"/>
    <col min="10505" max="10505" width="17.140625" style="214" bestFit="1" customWidth="1"/>
    <col min="10506" max="10506" width="18.140625" style="214" bestFit="1" customWidth="1"/>
    <col min="10507" max="10507" width="26.42578125" style="214" customWidth="1"/>
    <col min="10508" max="10752" width="9.140625" style="214"/>
    <col min="10753" max="10753" width="8.7109375" style="214" bestFit="1" customWidth="1"/>
    <col min="10754" max="10754" width="13.28515625" style="214" customWidth="1"/>
    <col min="10755" max="10755" width="16.140625" style="214" bestFit="1" customWidth="1"/>
    <col min="10756" max="10756" width="23.5703125" style="214" customWidth="1"/>
    <col min="10757" max="10757" width="17.28515625" style="214" customWidth="1"/>
    <col min="10758" max="10758" width="20.5703125" style="214" bestFit="1" customWidth="1"/>
    <col min="10759" max="10759" width="17.140625" style="214" customWidth="1"/>
    <col min="10760" max="10760" width="21.85546875" style="214" bestFit="1" customWidth="1"/>
    <col min="10761" max="10761" width="17.140625" style="214" bestFit="1" customWidth="1"/>
    <col min="10762" max="10762" width="18.140625" style="214" bestFit="1" customWidth="1"/>
    <col min="10763" max="10763" width="26.42578125" style="214" customWidth="1"/>
    <col min="10764" max="11008" width="9.140625" style="214"/>
    <col min="11009" max="11009" width="8.7109375" style="214" bestFit="1" customWidth="1"/>
    <col min="11010" max="11010" width="13.28515625" style="214" customWidth="1"/>
    <col min="11011" max="11011" width="16.140625" style="214" bestFit="1" customWidth="1"/>
    <col min="11012" max="11012" width="23.5703125" style="214" customWidth="1"/>
    <col min="11013" max="11013" width="17.28515625" style="214" customWidth="1"/>
    <col min="11014" max="11014" width="20.5703125" style="214" bestFit="1" customWidth="1"/>
    <col min="11015" max="11015" width="17.140625" style="214" customWidth="1"/>
    <col min="11016" max="11016" width="21.85546875" style="214" bestFit="1" customWidth="1"/>
    <col min="11017" max="11017" width="17.140625" style="214" bestFit="1" customWidth="1"/>
    <col min="11018" max="11018" width="18.140625" style="214" bestFit="1" customWidth="1"/>
    <col min="11019" max="11019" width="26.42578125" style="214" customWidth="1"/>
    <col min="11020" max="11264" width="9.140625" style="214"/>
    <col min="11265" max="11265" width="8.7109375" style="214" bestFit="1" customWidth="1"/>
    <col min="11266" max="11266" width="13.28515625" style="214" customWidth="1"/>
    <col min="11267" max="11267" width="16.140625" style="214" bestFit="1" customWidth="1"/>
    <col min="11268" max="11268" width="23.5703125" style="214" customWidth="1"/>
    <col min="11269" max="11269" width="17.28515625" style="214" customWidth="1"/>
    <col min="11270" max="11270" width="20.5703125" style="214" bestFit="1" customWidth="1"/>
    <col min="11271" max="11271" width="17.140625" style="214" customWidth="1"/>
    <col min="11272" max="11272" width="21.85546875" style="214" bestFit="1" customWidth="1"/>
    <col min="11273" max="11273" width="17.140625" style="214" bestFit="1" customWidth="1"/>
    <col min="11274" max="11274" width="18.140625" style="214" bestFit="1" customWidth="1"/>
    <col min="11275" max="11275" width="26.42578125" style="214" customWidth="1"/>
    <col min="11276" max="11520" width="9.140625" style="214"/>
    <col min="11521" max="11521" width="8.7109375" style="214" bestFit="1" customWidth="1"/>
    <col min="11522" max="11522" width="13.28515625" style="214" customWidth="1"/>
    <col min="11523" max="11523" width="16.140625" style="214" bestFit="1" customWidth="1"/>
    <col min="11524" max="11524" width="23.5703125" style="214" customWidth="1"/>
    <col min="11525" max="11525" width="17.28515625" style="214" customWidth="1"/>
    <col min="11526" max="11526" width="20.5703125" style="214" bestFit="1" customWidth="1"/>
    <col min="11527" max="11527" width="17.140625" style="214" customWidth="1"/>
    <col min="11528" max="11528" width="21.85546875" style="214" bestFit="1" customWidth="1"/>
    <col min="11529" max="11529" width="17.140625" style="214" bestFit="1" customWidth="1"/>
    <col min="11530" max="11530" width="18.140625" style="214" bestFit="1" customWidth="1"/>
    <col min="11531" max="11531" width="26.42578125" style="214" customWidth="1"/>
    <col min="11532" max="11776" width="9.140625" style="214"/>
    <col min="11777" max="11777" width="8.7109375" style="214" bestFit="1" customWidth="1"/>
    <col min="11778" max="11778" width="13.28515625" style="214" customWidth="1"/>
    <col min="11779" max="11779" width="16.140625" style="214" bestFit="1" customWidth="1"/>
    <col min="11780" max="11780" width="23.5703125" style="214" customWidth="1"/>
    <col min="11781" max="11781" width="17.28515625" style="214" customWidth="1"/>
    <col min="11782" max="11782" width="20.5703125" style="214" bestFit="1" customWidth="1"/>
    <col min="11783" max="11783" width="17.140625" style="214" customWidth="1"/>
    <col min="11784" max="11784" width="21.85546875" style="214" bestFit="1" customWidth="1"/>
    <col min="11785" max="11785" width="17.140625" style="214" bestFit="1" customWidth="1"/>
    <col min="11786" max="11786" width="18.140625" style="214" bestFit="1" customWidth="1"/>
    <col min="11787" max="11787" width="26.42578125" style="214" customWidth="1"/>
    <col min="11788" max="12032" width="9.140625" style="214"/>
    <col min="12033" max="12033" width="8.7109375" style="214" bestFit="1" customWidth="1"/>
    <col min="12034" max="12034" width="13.28515625" style="214" customWidth="1"/>
    <col min="12035" max="12035" width="16.140625" style="214" bestFit="1" customWidth="1"/>
    <col min="12036" max="12036" width="23.5703125" style="214" customWidth="1"/>
    <col min="12037" max="12037" width="17.28515625" style="214" customWidth="1"/>
    <col min="12038" max="12038" width="20.5703125" style="214" bestFit="1" customWidth="1"/>
    <col min="12039" max="12039" width="17.140625" style="214" customWidth="1"/>
    <col min="12040" max="12040" width="21.85546875" style="214" bestFit="1" customWidth="1"/>
    <col min="12041" max="12041" width="17.140625" style="214" bestFit="1" customWidth="1"/>
    <col min="12042" max="12042" width="18.140625" style="214" bestFit="1" customWidth="1"/>
    <col min="12043" max="12043" width="26.42578125" style="214" customWidth="1"/>
    <col min="12044" max="12288" width="9.140625" style="214"/>
    <col min="12289" max="12289" width="8.7109375" style="214" bestFit="1" customWidth="1"/>
    <col min="12290" max="12290" width="13.28515625" style="214" customWidth="1"/>
    <col min="12291" max="12291" width="16.140625" style="214" bestFit="1" customWidth="1"/>
    <col min="12292" max="12292" width="23.5703125" style="214" customWidth="1"/>
    <col min="12293" max="12293" width="17.28515625" style="214" customWidth="1"/>
    <col min="12294" max="12294" width="20.5703125" style="214" bestFit="1" customWidth="1"/>
    <col min="12295" max="12295" width="17.140625" style="214" customWidth="1"/>
    <col min="12296" max="12296" width="21.85546875" style="214" bestFit="1" customWidth="1"/>
    <col min="12297" max="12297" width="17.140625" style="214" bestFit="1" customWidth="1"/>
    <col min="12298" max="12298" width="18.140625" style="214" bestFit="1" customWidth="1"/>
    <col min="12299" max="12299" width="26.42578125" style="214" customWidth="1"/>
    <col min="12300" max="12544" width="9.140625" style="214"/>
    <col min="12545" max="12545" width="8.7109375" style="214" bestFit="1" customWidth="1"/>
    <col min="12546" max="12546" width="13.28515625" style="214" customWidth="1"/>
    <col min="12547" max="12547" width="16.140625" style="214" bestFit="1" customWidth="1"/>
    <col min="12548" max="12548" width="23.5703125" style="214" customWidth="1"/>
    <col min="12549" max="12549" width="17.28515625" style="214" customWidth="1"/>
    <col min="12550" max="12550" width="20.5703125" style="214" bestFit="1" customWidth="1"/>
    <col min="12551" max="12551" width="17.140625" style="214" customWidth="1"/>
    <col min="12552" max="12552" width="21.85546875" style="214" bestFit="1" customWidth="1"/>
    <col min="12553" max="12553" width="17.140625" style="214" bestFit="1" customWidth="1"/>
    <col min="12554" max="12554" width="18.140625" style="214" bestFit="1" customWidth="1"/>
    <col min="12555" max="12555" width="26.42578125" style="214" customWidth="1"/>
    <col min="12556" max="12800" width="9.140625" style="214"/>
    <col min="12801" max="12801" width="8.7109375" style="214" bestFit="1" customWidth="1"/>
    <col min="12802" max="12802" width="13.28515625" style="214" customWidth="1"/>
    <col min="12803" max="12803" width="16.140625" style="214" bestFit="1" customWidth="1"/>
    <col min="12804" max="12804" width="23.5703125" style="214" customWidth="1"/>
    <col min="12805" max="12805" width="17.28515625" style="214" customWidth="1"/>
    <col min="12806" max="12806" width="20.5703125" style="214" bestFit="1" customWidth="1"/>
    <col min="12807" max="12807" width="17.140625" style="214" customWidth="1"/>
    <col min="12808" max="12808" width="21.85546875" style="214" bestFit="1" customWidth="1"/>
    <col min="12809" max="12809" width="17.140625" style="214" bestFit="1" customWidth="1"/>
    <col min="12810" max="12810" width="18.140625" style="214" bestFit="1" customWidth="1"/>
    <col min="12811" max="12811" width="26.42578125" style="214" customWidth="1"/>
    <col min="12812" max="13056" width="9.140625" style="214"/>
    <col min="13057" max="13057" width="8.7109375" style="214" bestFit="1" customWidth="1"/>
    <col min="13058" max="13058" width="13.28515625" style="214" customWidth="1"/>
    <col min="13059" max="13059" width="16.140625" style="214" bestFit="1" customWidth="1"/>
    <col min="13060" max="13060" width="23.5703125" style="214" customWidth="1"/>
    <col min="13061" max="13061" width="17.28515625" style="214" customWidth="1"/>
    <col min="13062" max="13062" width="20.5703125" style="214" bestFit="1" customWidth="1"/>
    <col min="13063" max="13063" width="17.140625" style="214" customWidth="1"/>
    <col min="13064" max="13064" width="21.85546875" style="214" bestFit="1" customWidth="1"/>
    <col min="13065" max="13065" width="17.140625" style="214" bestFit="1" customWidth="1"/>
    <col min="13066" max="13066" width="18.140625" style="214" bestFit="1" customWidth="1"/>
    <col min="13067" max="13067" width="26.42578125" style="214" customWidth="1"/>
    <col min="13068" max="13312" width="9.140625" style="214"/>
    <col min="13313" max="13313" width="8.7109375" style="214" bestFit="1" customWidth="1"/>
    <col min="13314" max="13314" width="13.28515625" style="214" customWidth="1"/>
    <col min="13315" max="13315" width="16.140625" style="214" bestFit="1" customWidth="1"/>
    <col min="13316" max="13316" width="23.5703125" style="214" customWidth="1"/>
    <col min="13317" max="13317" width="17.28515625" style="214" customWidth="1"/>
    <col min="13318" max="13318" width="20.5703125" style="214" bestFit="1" customWidth="1"/>
    <col min="13319" max="13319" width="17.140625" style="214" customWidth="1"/>
    <col min="13320" max="13320" width="21.85546875" style="214" bestFit="1" customWidth="1"/>
    <col min="13321" max="13321" width="17.140625" style="214" bestFit="1" customWidth="1"/>
    <col min="13322" max="13322" width="18.140625" style="214" bestFit="1" customWidth="1"/>
    <col min="13323" max="13323" width="26.42578125" style="214" customWidth="1"/>
    <col min="13324" max="13568" width="9.140625" style="214"/>
    <col min="13569" max="13569" width="8.7109375" style="214" bestFit="1" customWidth="1"/>
    <col min="13570" max="13570" width="13.28515625" style="214" customWidth="1"/>
    <col min="13571" max="13571" width="16.140625" style="214" bestFit="1" customWidth="1"/>
    <col min="13572" max="13572" width="23.5703125" style="214" customWidth="1"/>
    <col min="13573" max="13573" width="17.28515625" style="214" customWidth="1"/>
    <col min="13574" max="13574" width="20.5703125" style="214" bestFit="1" customWidth="1"/>
    <col min="13575" max="13575" width="17.140625" style="214" customWidth="1"/>
    <col min="13576" max="13576" width="21.85546875" style="214" bestFit="1" customWidth="1"/>
    <col min="13577" max="13577" width="17.140625" style="214" bestFit="1" customWidth="1"/>
    <col min="13578" max="13578" width="18.140625" style="214" bestFit="1" customWidth="1"/>
    <col min="13579" max="13579" width="26.42578125" style="214" customWidth="1"/>
    <col min="13580" max="13824" width="9.140625" style="214"/>
    <col min="13825" max="13825" width="8.7109375" style="214" bestFit="1" customWidth="1"/>
    <col min="13826" max="13826" width="13.28515625" style="214" customWidth="1"/>
    <col min="13827" max="13827" width="16.140625" style="214" bestFit="1" customWidth="1"/>
    <col min="13828" max="13828" width="23.5703125" style="214" customWidth="1"/>
    <col min="13829" max="13829" width="17.28515625" style="214" customWidth="1"/>
    <col min="13830" max="13830" width="20.5703125" style="214" bestFit="1" customWidth="1"/>
    <col min="13831" max="13831" width="17.140625" style="214" customWidth="1"/>
    <col min="13832" max="13832" width="21.85546875" style="214" bestFit="1" customWidth="1"/>
    <col min="13833" max="13833" width="17.140625" style="214" bestFit="1" customWidth="1"/>
    <col min="13834" max="13834" width="18.140625" style="214" bestFit="1" customWidth="1"/>
    <col min="13835" max="13835" width="26.42578125" style="214" customWidth="1"/>
    <col min="13836" max="14080" width="9.140625" style="214"/>
    <col min="14081" max="14081" width="8.7109375" style="214" bestFit="1" customWidth="1"/>
    <col min="14082" max="14082" width="13.28515625" style="214" customWidth="1"/>
    <col min="14083" max="14083" width="16.140625" style="214" bestFit="1" customWidth="1"/>
    <col min="14084" max="14084" width="23.5703125" style="214" customWidth="1"/>
    <col min="14085" max="14085" width="17.28515625" style="214" customWidth="1"/>
    <col min="14086" max="14086" width="20.5703125" style="214" bestFit="1" customWidth="1"/>
    <col min="14087" max="14087" width="17.140625" style="214" customWidth="1"/>
    <col min="14088" max="14088" width="21.85546875" style="214" bestFit="1" customWidth="1"/>
    <col min="14089" max="14089" width="17.140625" style="214" bestFit="1" customWidth="1"/>
    <col min="14090" max="14090" width="18.140625" style="214" bestFit="1" customWidth="1"/>
    <col min="14091" max="14091" width="26.42578125" style="214" customWidth="1"/>
    <col min="14092" max="14336" width="9.140625" style="214"/>
    <col min="14337" max="14337" width="8.7109375" style="214" bestFit="1" customWidth="1"/>
    <col min="14338" max="14338" width="13.28515625" style="214" customWidth="1"/>
    <col min="14339" max="14339" width="16.140625" style="214" bestFit="1" customWidth="1"/>
    <col min="14340" max="14340" width="23.5703125" style="214" customWidth="1"/>
    <col min="14341" max="14341" width="17.28515625" style="214" customWidth="1"/>
    <col min="14342" max="14342" width="20.5703125" style="214" bestFit="1" customWidth="1"/>
    <col min="14343" max="14343" width="17.140625" style="214" customWidth="1"/>
    <col min="14344" max="14344" width="21.85546875" style="214" bestFit="1" customWidth="1"/>
    <col min="14345" max="14345" width="17.140625" style="214" bestFit="1" customWidth="1"/>
    <col min="14346" max="14346" width="18.140625" style="214" bestFit="1" customWidth="1"/>
    <col min="14347" max="14347" width="26.42578125" style="214" customWidth="1"/>
    <col min="14348" max="14592" width="9.140625" style="214"/>
    <col min="14593" max="14593" width="8.7109375" style="214" bestFit="1" customWidth="1"/>
    <col min="14594" max="14594" width="13.28515625" style="214" customWidth="1"/>
    <col min="14595" max="14595" width="16.140625" style="214" bestFit="1" customWidth="1"/>
    <col min="14596" max="14596" width="23.5703125" style="214" customWidth="1"/>
    <col min="14597" max="14597" width="17.28515625" style="214" customWidth="1"/>
    <col min="14598" max="14598" width="20.5703125" style="214" bestFit="1" customWidth="1"/>
    <col min="14599" max="14599" width="17.140625" style="214" customWidth="1"/>
    <col min="14600" max="14600" width="21.85546875" style="214" bestFit="1" customWidth="1"/>
    <col min="14601" max="14601" width="17.140625" style="214" bestFit="1" customWidth="1"/>
    <col min="14602" max="14602" width="18.140625" style="214" bestFit="1" customWidth="1"/>
    <col min="14603" max="14603" width="26.42578125" style="214" customWidth="1"/>
    <col min="14604" max="14848" width="9.140625" style="214"/>
    <col min="14849" max="14849" width="8.7109375" style="214" bestFit="1" customWidth="1"/>
    <col min="14850" max="14850" width="13.28515625" style="214" customWidth="1"/>
    <col min="14851" max="14851" width="16.140625" style="214" bestFit="1" customWidth="1"/>
    <col min="14852" max="14852" width="23.5703125" style="214" customWidth="1"/>
    <col min="14853" max="14853" width="17.28515625" style="214" customWidth="1"/>
    <col min="14854" max="14854" width="20.5703125" style="214" bestFit="1" customWidth="1"/>
    <col min="14855" max="14855" width="17.140625" style="214" customWidth="1"/>
    <col min="14856" max="14856" width="21.85546875" style="214" bestFit="1" customWidth="1"/>
    <col min="14857" max="14857" width="17.140625" style="214" bestFit="1" customWidth="1"/>
    <col min="14858" max="14858" width="18.140625" style="214" bestFit="1" customWidth="1"/>
    <col min="14859" max="14859" width="26.42578125" style="214" customWidth="1"/>
    <col min="14860" max="15104" width="9.140625" style="214"/>
    <col min="15105" max="15105" width="8.7109375" style="214" bestFit="1" customWidth="1"/>
    <col min="15106" max="15106" width="13.28515625" style="214" customWidth="1"/>
    <col min="15107" max="15107" width="16.140625" style="214" bestFit="1" customWidth="1"/>
    <col min="15108" max="15108" width="23.5703125" style="214" customWidth="1"/>
    <col min="15109" max="15109" width="17.28515625" style="214" customWidth="1"/>
    <col min="15110" max="15110" width="20.5703125" style="214" bestFit="1" customWidth="1"/>
    <col min="15111" max="15111" width="17.140625" style="214" customWidth="1"/>
    <col min="15112" max="15112" width="21.85546875" style="214" bestFit="1" customWidth="1"/>
    <col min="15113" max="15113" width="17.140625" style="214" bestFit="1" customWidth="1"/>
    <col min="15114" max="15114" width="18.140625" style="214" bestFit="1" customWidth="1"/>
    <col min="15115" max="15115" width="26.42578125" style="214" customWidth="1"/>
    <col min="15116" max="15360" width="9.140625" style="214"/>
    <col min="15361" max="15361" width="8.7109375" style="214" bestFit="1" customWidth="1"/>
    <col min="15362" max="15362" width="13.28515625" style="214" customWidth="1"/>
    <col min="15363" max="15363" width="16.140625" style="214" bestFit="1" customWidth="1"/>
    <col min="15364" max="15364" width="23.5703125" style="214" customWidth="1"/>
    <col min="15365" max="15365" width="17.28515625" style="214" customWidth="1"/>
    <col min="15366" max="15366" width="20.5703125" style="214" bestFit="1" customWidth="1"/>
    <col min="15367" max="15367" width="17.140625" style="214" customWidth="1"/>
    <col min="15368" max="15368" width="21.85546875" style="214" bestFit="1" customWidth="1"/>
    <col min="15369" max="15369" width="17.140625" style="214" bestFit="1" customWidth="1"/>
    <col min="15370" max="15370" width="18.140625" style="214" bestFit="1" customWidth="1"/>
    <col min="15371" max="15371" width="26.42578125" style="214" customWidth="1"/>
    <col min="15372" max="15616" width="9.140625" style="214"/>
    <col min="15617" max="15617" width="8.7109375" style="214" bestFit="1" customWidth="1"/>
    <col min="15618" max="15618" width="13.28515625" style="214" customWidth="1"/>
    <col min="15619" max="15619" width="16.140625" style="214" bestFit="1" customWidth="1"/>
    <col min="15620" max="15620" width="23.5703125" style="214" customWidth="1"/>
    <col min="15621" max="15621" width="17.28515625" style="214" customWidth="1"/>
    <col min="15622" max="15622" width="20.5703125" style="214" bestFit="1" customWidth="1"/>
    <col min="15623" max="15623" width="17.140625" style="214" customWidth="1"/>
    <col min="15624" max="15624" width="21.85546875" style="214" bestFit="1" customWidth="1"/>
    <col min="15625" max="15625" width="17.140625" style="214" bestFit="1" customWidth="1"/>
    <col min="15626" max="15626" width="18.140625" style="214" bestFit="1" customWidth="1"/>
    <col min="15627" max="15627" width="26.42578125" style="214" customWidth="1"/>
    <col min="15628" max="15872" width="9.140625" style="214"/>
    <col min="15873" max="15873" width="8.7109375" style="214" bestFit="1" customWidth="1"/>
    <col min="15874" max="15874" width="13.28515625" style="214" customWidth="1"/>
    <col min="15875" max="15875" width="16.140625" style="214" bestFit="1" customWidth="1"/>
    <col min="15876" max="15876" width="23.5703125" style="214" customWidth="1"/>
    <col min="15877" max="15877" width="17.28515625" style="214" customWidth="1"/>
    <col min="15878" max="15878" width="20.5703125" style="214" bestFit="1" customWidth="1"/>
    <col min="15879" max="15879" width="17.140625" style="214" customWidth="1"/>
    <col min="15880" max="15880" width="21.85546875" style="214" bestFit="1" customWidth="1"/>
    <col min="15881" max="15881" width="17.140625" style="214" bestFit="1" customWidth="1"/>
    <col min="15882" max="15882" width="18.140625" style="214" bestFit="1" customWidth="1"/>
    <col min="15883" max="15883" width="26.42578125" style="214" customWidth="1"/>
    <col min="15884" max="16128" width="9.140625" style="214"/>
    <col min="16129" max="16129" width="8.7109375" style="214" bestFit="1" customWidth="1"/>
    <col min="16130" max="16130" width="13.28515625" style="214" customWidth="1"/>
    <col min="16131" max="16131" width="16.140625" style="214" bestFit="1" customWidth="1"/>
    <col min="16132" max="16132" width="23.5703125" style="214" customWidth="1"/>
    <col min="16133" max="16133" width="17.28515625" style="214" customWidth="1"/>
    <col min="16134" max="16134" width="20.5703125" style="214" bestFit="1" customWidth="1"/>
    <col min="16135" max="16135" width="17.140625" style="214" customWidth="1"/>
    <col min="16136" max="16136" width="21.85546875" style="214" bestFit="1" customWidth="1"/>
    <col min="16137" max="16137" width="17.140625" style="214" bestFit="1" customWidth="1"/>
    <col min="16138" max="16138" width="18.140625" style="214" bestFit="1" customWidth="1"/>
    <col min="16139" max="16139" width="26.42578125" style="214" customWidth="1"/>
    <col min="16140" max="16384" width="9.140625" style="214"/>
  </cols>
  <sheetData>
    <row r="1" spans="13:13" s="248" customFormat="1" x14ac:dyDescent="0.2">
      <c r="M1" s="249"/>
    </row>
    <row r="2" spans="13:13" s="248" customFormat="1" x14ac:dyDescent="0.2">
      <c r="M2" s="249"/>
    </row>
    <row r="3" spans="13:13" s="248" customFormat="1" x14ac:dyDescent="0.2">
      <c r="M3" s="249"/>
    </row>
    <row r="4" spans="13:13" s="248" customFormat="1" x14ac:dyDescent="0.2">
      <c r="M4" s="249"/>
    </row>
    <row r="5" spans="13:13" s="248" customFormat="1" x14ac:dyDescent="0.2">
      <c r="M5" s="249"/>
    </row>
    <row r="6" spans="13:13" s="248" customFormat="1" x14ac:dyDescent="0.2">
      <c r="M6" s="249"/>
    </row>
    <row r="7" spans="13:13" s="248" customFormat="1" x14ac:dyDescent="0.2">
      <c r="M7" s="249"/>
    </row>
    <row r="8" spans="13:13" s="248" customFormat="1" x14ac:dyDescent="0.2">
      <c r="M8" s="249"/>
    </row>
    <row r="9" spans="13:13" s="248" customFormat="1" x14ac:dyDescent="0.2">
      <c r="M9" s="249"/>
    </row>
    <row r="10" spans="13:13" s="248" customFormat="1" x14ac:dyDescent="0.2">
      <c r="M10" s="249"/>
    </row>
    <row r="11" spans="13:13" s="248" customFormat="1" x14ac:dyDescent="0.2">
      <c r="M11" s="249"/>
    </row>
    <row r="12" spans="13:13" s="248" customFormat="1" x14ac:dyDescent="0.2">
      <c r="M12" s="249"/>
    </row>
    <row r="13" spans="13:13" s="248" customFormat="1" x14ac:dyDescent="0.2">
      <c r="M13" s="249"/>
    </row>
    <row r="14" spans="13:13" s="248" customFormat="1" x14ac:dyDescent="0.2">
      <c r="M14" s="249"/>
    </row>
    <row r="15" spans="13:13" s="248" customFormat="1" x14ac:dyDescent="0.2">
      <c r="M15" s="249"/>
    </row>
    <row r="16" spans="13:13" s="248" customFormat="1" x14ac:dyDescent="0.2">
      <c r="M16" s="249"/>
    </row>
    <row r="17" spans="13:13" s="248" customFormat="1" x14ac:dyDescent="0.2">
      <c r="M17" s="249"/>
    </row>
    <row r="18" spans="13:13" s="248" customFormat="1" x14ac:dyDescent="0.2">
      <c r="M18" s="249"/>
    </row>
    <row r="19" spans="13:13" s="248" customFormat="1" x14ac:dyDescent="0.2">
      <c r="M19" s="249"/>
    </row>
    <row r="20" spans="13:13" s="248" customFormat="1" x14ac:dyDescent="0.2">
      <c r="M20" s="249"/>
    </row>
    <row r="21" spans="13:13" s="248" customFormat="1" x14ac:dyDescent="0.2">
      <c r="M21" s="249"/>
    </row>
    <row r="22" spans="13:13" s="248" customFormat="1" x14ac:dyDescent="0.2">
      <c r="M22" s="249"/>
    </row>
    <row r="23" spans="13:13" s="248" customFormat="1" x14ac:dyDescent="0.2">
      <c r="M23" s="249"/>
    </row>
    <row r="24" spans="13:13" s="248" customFormat="1" x14ac:dyDescent="0.2">
      <c r="M24" s="249"/>
    </row>
    <row r="25" spans="13:13" s="248" customFormat="1" x14ac:dyDescent="0.2">
      <c r="M25" s="249"/>
    </row>
    <row r="26" spans="13:13" s="248" customFormat="1" x14ac:dyDescent="0.2">
      <c r="M26" s="249"/>
    </row>
    <row r="27" spans="13:13" s="248" customFormat="1" x14ac:dyDescent="0.2">
      <c r="M27" s="249"/>
    </row>
    <row r="28" spans="13:13" s="248" customFormat="1" x14ac:dyDescent="0.2">
      <c r="M28" s="249"/>
    </row>
    <row r="29" spans="13:13" s="248" customFormat="1" x14ac:dyDescent="0.2">
      <c r="M29" s="249"/>
    </row>
    <row r="30" spans="13:13" s="248" customFormat="1" x14ac:dyDescent="0.2">
      <c r="M30" s="249"/>
    </row>
    <row r="31" spans="13:13" s="248" customFormat="1" x14ac:dyDescent="0.2">
      <c r="M31" s="249"/>
    </row>
    <row r="32" spans="13:13" s="248" customFormat="1" x14ac:dyDescent="0.2">
      <c r="M32" s="249"/>
    </row>
    <row r="33" spans="1:13" s="248" customFormat="1" x14ac:dyDescent="0.2">
      <c r="M33" s="249"/>
    </row>
    <row r="34" spans="1:13" s="248" customFormat="1" x14ac:dyDescent="0.2">
      <c r="M34" s="249"/>
    </row>
    <row r="35" spans="1:13" s="248" customFormat="1" x14ac:dyDescent="0.2">
      <c r="M35" s="249"/>
    </row>
    <row r="36" spans="1:13" s="248" customFormat="1" x14ac:dyDescent="0.2">
      <c r="M36" s="249"/>
    </row>
    <row r="37" spans="1:13" s="248" customFormat="1" ht="15.75" customHeight="1" x14ac:dyDescent="0.2">
      <c r="A37" s="248" t="s">
        <v>787</v>
      </c>
      <c r="I37" s="158" t="str">
        <f>IF(OR(SCH_MODE=3, SCH_MODE=4), "** Slave controller (CNTRL2) not shown **","** Tie VCCX to GND if not used **")</f>
        <v>** Tie VCCX to GND if not used **</v>
      </c>
    </row>
    <row r="38" spans="1:13" s="248" customFormat="1" ht="15.75" customHeight="1" x14ac:dyDescent="0.2">
      <c r="A38" s="248" t="s">
        <v>786</v>
      </c>
      <c r="I38" s="279" t="str">
        <f>IF(OR(SCH_MODE=3, SCH_MODE=4),"** Tie VCCX to GND if not used **", "")</f>
        <v/>
      </c>
    </row>
    <row r="39" spans="1:13" s="248" customFormat="1" ht="15.75" customHeight="1" x14ac:dyDescent="0.2">
      <c r="A39" s="248" t="s">
        <v>785</v>
      </c>
    </row>
    <row r="40" spans="1:13" s="248" customFormat="1" ht="15.75" customHeight="1" x14ac:dyDescent="0.2">
      <c r="A40" s="248" t="s">
        <v>788</v>
      </c>
    </row>
    <row r="41" spans="1:13" s="248" customFormat="1" ht="15.75" customHeight="1" x14ac:dyDescent="0.2">
      <c r="A41" s="248" t="s">
        <v>789</v>
      </c>
    </row>
    <row r="42" spans="1:13" s="248" customFormat="1" ht="24.75" customHeight="1" x14ac:dyDescent="0.25">
      <c r="A42" s="253" t="str">
        <f>CHOOSE(MODE, "VIN = "&amp;VIN_min&amp;" V to "&amp;VIN_max&amp;" V, VOUT1 = "&amp; Vout &amp;" V, IOUT1 = " &amp;Iout &amp;"A"&amp;", VOUT2 = "&amp; Vout2 &amp;" V, IOUT2 = " &amp;Iout2 &amp; " A,  Fsw = " &amp; Fsw/1000 &amp;" kHz, Current Limit = "&amp;ROUNDUP(Ilimit_DC,0)&amp;" A", "VIN = "&amp;VIN_min&amp;" V to "&amp;VIN_max&amp;" V, VOUT = "&amp; Vout &amp;" V, IOUT = " &amp;Iout &amp; " A,  Fsw = " &amp; Fsw/1000 &amp;" kHz, Current Limit = "&amp;ROUNDUP(Ilimit_DC,0)&amp;" A")</f>
        <v>VIN = 20 V to 26 V, VOUT1 = 5 V, IOUT1 = 5A, VOUT2 = 20 V, IOUT2 = 5 A,  Fsw = 2100 kHz, Current Limit = 6 A</v>
      </c>
    </row>
    <row r="43" spans="1:13" ht="24.75" customHeight="1" thickBot="1" x14ac:dyDescent="0.25">
      <c r="A43" s="216" t="s">
        <v>755</v>
      </c>
    </row>
    <row r="44" spans="1:13" ht="18" customHeight="1" x14ac:dyDescent="0.2">
      <c r="A44" s="487" t="s">
        <v>254</v>
      </c>
      <c r="B44" s="488" t="s">
        <v>253</v>
      </c>
      <c r="C44" s="488" t="s">
        <v>7</v>
      </c>
      <c r="D44" s="696" t="s">
        <v>107</v>
      </c>
      <c r="E44" s="697"/>
      <c r="F44" s="697"/>
      <c r="G44" s="698"/>
      <c r="H44" s="489" t="s">
        <v>243</v>
      </c>
      <c r="I44" s="489" t="s">
        <v>159</v>
      </c>
      <c r="J44" s="489" t="s">
        <v>244</v>
      </c>
      <c r="L44" s="215"/>
      <c r="M44" s="214"/>
    </row>
    <row r="45" spans="1:13" s="221" customFormat="1" ht="15.75" customHeight="1" x14ac:dyDescent="0.2">
      <c r="A45" s="218">
        <v>2</v>
      </c>
      <c r="B45" s="219" t="s">
        <v>463</v>
      </c>
      <c r="C45" s="233">
        <v>0.1</v>
      </c>
      <c r="D45" s="711">
        <f t="shared" ref="D45:D56" si="0">C45</f>
        <v>0.1</v>
      </c>
      <c r="E45" s="712"/>
      <c r="F45" s="712"/>
      <c r="G45" s="234"/>
      <c r="H45" s="235" t="s">
        <v>248</v>
      </c>
      <c r="I45" s="220" t="s">
        <v>245</v>
      </c>
      <c r="J45" s="220" t="s">
        <v>245</v>
      </c>
      <c r="L45" s="222"/>
    </row>
    <row r="46" spans="1:13" s="221" customFormat="1" ht="15.75" x14ac:dyDescent="0.2">
      <c r="A46" s="217">
        <v>1</v>
      </c>
      <c r="B46" s="236" t="s">
        <v>249</v>
      </c>
      <c r="C46" s="244">
        <f>'Design Regulator'!D71</f>
        <v>18</v>
      </c>
      <c r="D46" s="688">
        <f t="shared" si="0"/>
        <v>18</v>
      </c>
      <c r="E46" s="689"/>
      <c r="F46" s="689"/>
      <c r="G46" s="238"/>
      <c r="H46" s="239" t="s">
        <v>248</v>
      </c>
      <c r="I46" s="240" t="s">
        <v>245</v>
      </c>
      <c r="J46" s="240" t="s">
        <v>245</v>
      </c>
      <c r="L46" s="222"/>
    </row>
    <row r="47" spans="1:13" s="221" customFormat="1" ht="15.75" x14ac:dyDescent="0.2">
      <c r="A47" s="217">
        <v>1</v>
      </c>
      <c r="B47" s="236" t="s">
        <v>250</v>
      </c>
      <c r="C47" s="237">
        <f>'Design Regulator'!D72</f>
        <v>100</v>
      </c>
      <c r="D47" s="679">
        <f t="shared" si="0"/>
        <v>100</v>
      </c>
      <c r="E47" s="680"/>
      <c r="F47" s="680"/>
      <c r="G47" s="238"/>
      <c r="H47" s="239" t="s">
        <v>248</v>
      </c>
      <c r="I47" s="240" t="s">
        <v>245</v>
      </c>
      <c r="J47" s="240" t="s">
        <v>245</v>
      </c>
      <c r="L47" s="222"/>
    </row>
    <row r="48" spans="1:13" s="221" customFormat="1" ht="15.75" x14ac:dyDescent="0.2">
      <c r="A48" s="217">
        <v>1</v>
      </c>
      <c r="B48" s="236" t="s">
        <v>770</v>
      </c>
      <c r="C48" s="244">
        <f>IF(MODE=1, 'Variable Management'!E354, "N/A")</f>
        <v>4.7000000000000011</v>
      </c>
      <c r="D48" s="688">
        <f t="shared" ref="D48:D49" si="1">C48</f>
        <v>4.7000000000000011</v>
      </c>
      <c r="E48" s="689"/>
      <c r="F48" s="689"/>
      <c r="G48" s="238"/>
      <c r="H48" s="239" t="str">
        <f>IF(MODE=1, "0603", "-")</f>
        <v>0603</v>
      </c>
      <c r="I48" s="239" t="str">
        <f>IF(MODE=1, "Std", "-")</f>
        <v>Std</v>
      </c>
      <c r="J48" s="239" t="str">
        <f>IF(MODE=1, "Std", "-")</f>
        <v>Std</v>
      </c>
      <c r="L48" s="222"/>
    </row>
    <row r="49" spans="1:12" s="221" customFormat="1" ht="15.75" x14ac:dyDescent="0.2">
      <c r="A49" s="217">
        <v>1</v>
      </c>
      <c r="B49" s="236" t="s">
        <v>771</v>
      </c>
      <c r="C49" s="237">
        <f>IF(MODE=1, 'Variable Management'!E355, "N/A")</f>
        <v>18</v>
      </c>
      <c r="D49" s="679">
        <f t="shared" si="1"/>
        <v>18</v>
      </c>
      <c r="E49" s="680"/>
      <c r="F49" s="680"/>
      <c r="G49" s="238"/>
      <c r="H49" s="239" t="str">
        <f>IF(MODE=1, "0603", "-")</f>
        <v>0603</v>
      </c>
      <c r="I49" s="239" t="str">
        <f>IF(MODE=1, "Std", "-")</f>
        <v>Std</v>
      </c>
      <c r="J49" s="239" t="str">
        <f>IF(MODE=1, "Std", "-")</f>
        <v>Std</v>
      </c>
      <c r="L49" s="222"/>
    </row>
    <row r="50" spans="1:12" s="221" customFormat="1" ht="15.75" x14ac:dyDescent="0.2">
      <c r="A50" s="223">
        <v>1</v>
      </c>
      <c r="B50" s="224" t="s">
        <v>769</v>
      </c>
      <c r="C50" s="438">
        <f>Cres_u*1000000000</f>
        <v>470</v>
      </c>
      <c r="D50" s="692">
        <f>C50</f>
        <v>470</v>
      </c>
      <c r="E50" s="693"/>
      <c r="F50" s="693"/>
      <c r="G50" s="439"/>
      <c r="H50" s="226" t="s">
        <v>248</v>
      </c>
      <c r="I50" s="227" t="s">
        <v>245</v>
      </c>
      <c r="J50" s="227" t="s">
        <v>245</v>
      </c>
      <c r="L50" s="222"/>
    </row>
    <row r="51" spans="1:12" s="221" customFormat="1" ht="15.75" x14ac:dyDescent="0.2">
      <c r="A51" s="223">
        <v>1</v>
      </c>
      <c r="B51" s="224" t="s">
        <v>462</v>
      </c>
      <c r="C51" s="438">
        <f>Cdither*1000000000</f>
        <v>10</v>
      </c>
      <c r="D51" s="692">
        <f>C51</f>
        <v>10</v>
      </c>
      <c r="E51" s="693"/>
      <c r="F51" s="693"/>
      <c r="G51" s="439"/>
      <c r="H51" s="226" t="s">
        <v>248</v>
      </c>
      <c r="I51" s="227" t="s">
        <v>245</v>
      </c>
      <c r="J51" s="227" t="s">
        <v>245</v>
      </c>
      <c r="L51" s="222"/>
    </row>
    <row r="52" spans="1:12" s="221" customFormat="1" ht="15.75" x14ac:dyDescent="0.2">
      <c r="A52" s="217">
        <f>ROUNDUP('Design Regulator'!E44/10,0)</f>
        <v>5</v>
      </c>
      <c r="B52" s="236" t="s">
        <v>251</v>
      </c>
      <c r="C52" s="243">
        <v>10</v>
      </c>
      <c r="D52" s="694">
        <f>C52</f>
        <v>10</v>
      </c>
      <c r="E52" s="695"/>
      <c r="F52" s="695"/>
      <c r="G52" s="238"/>
      <c r="H52" s="239">
        <v>1210</v>
      </c>
      <c r="I52" s="240" t="s">
        <v>245</v>
      </c>
      <c r="J52" s="240" t="s">
        <v>245</v>
      </c>
      <c r="L52" s="222"/>
    </row>
    <row r="53" spans="1:12" s="221" customFormat="1" ht="15.75" x14ac:dyDescent="0.2">
      <c r="A53" s="217">
        <f>ROUNDUP('Design Regulator'!E35/47,0)</f>
        <v>1</v>
      </c>
      <c r="B53" s="236" t="s">
        <v>252</v>
      </c>
      <c r="C53" s="243">
        <v>47</v>
      </c>
      <c r="D53" s="686">
        <f>C53</f>
        <v>47</v>
      </c>
      <c r="E53" s="687"/>
      <c r="F53" s="687"/>
      <c r="G53" s="238"/>
      <c r="H53" s="239">
        <v>1210</v>
      </c>
      <c r="I53" s="240" t="s">
        <v>245</v>
      </c>
      <c r="J53" s="240" t="s">
        <v>245</v>
      </c>
      <c r="L53" s="222"/>
    </row>
    <row r="54" spans="1:12" s="221" customFormat="1" ht="15.75" x14ac:dyDescent="0.2">
      <c r="A54" s="217">
        <v>2</v>
      </c>
      <c r="B54" s="236" t="s">
        <v>767</v>
      </c>
      <c r="C54" s="244">
        <f>'Design Regulator'!E52</f>
        <v>100</v>
      </c>
      <c r="D54" s="688">
        <f>C54</f>
        <v>100</v>
      </c>
      <c r="E54" s="689"/>
      <c r="F54" s="689"/>
      <c r="G54" s="238"/>
      <c r="H54" s="239" t="s">
        <v>248</v>
      </c>
      <c r="I54" s="240" t="s">
        <v>245</v>
      </c>
      <c r="J54" s="240" t="s">
        <v>245</v>
      </c>
      <c r="L54" s="222"/>
    </row>
    <row r="55" spans="1:12" s="221" customFormat="1" ht="15.75" x14ac:dyDescent="0.2">
      <c r="A55" s="228">
        <v>3</v>
      </c>
      <c r="B55" s="229" t="s">
        <v>768</v>
      </c>
      <c r="C55" s="242">
        <v>2.2000000000000002</v>
      </c>
      <c r="D55" s="690">
        <f t="shared" si="0"/>
        <v>2.2000000000000002</v>
      </c>
      <c r="E55" s="691"/>
      <c r="F55" s="691"/>
      <c r="G55" s="241"/>
      <c r="H55" s="231" t="s">
        <v>248</v>
      </c>
      <c r="I55" s="232" t="s">
        <v>245</v>
      </c>
      <c r="J55" s="232" t="s">
        <v>245</v>
      </c>
      <c r="L55" s="222"/>
    </row>
    <row r="56" spans="1:12" s="221" customFormat="1" ht="15.75" x14ac:dyDescent="0.2">
      <c r="A56" s="228">
        <v>1</v>
      </c>
      <c r="B56" s="229" t="s">
        <v>772</v>
      </c>
      <c r="C56" s="242">
        <v>0.47</v>
      </c>
      <c r="D56" s="690">
        <f t="shared" si="0"/>
        <v>0.47</v>
      </c>
      <c r="E56" s="691"/>
      <c r="F56" s="691"/>
      <c r="G56" s="241"/>
      <c r="H56" s="231" t="s">
        <v>248</v>
      </c>
      <c r="I56" s="232" t="s">
        <v>245</v>
      </c>
      <c r="J56" s="232" t="s">
        <v>245</v>
      </c>
      <c r="L56" s="222"/>
    </row>
    <row r="57" spans="1:12" s="221" customFormat="1" ht="15.75" customHeight="1" x14ac:dyDescent="0.2">
      <c r="A57" s="228">
        <v>2</v>
      </c>
      <c r="B57" s="229" t="s">
        <v>760</v>
      </c>
      <c r="C57" s="245" t="s">
        <v>246</v>
      </c>
      <c r="D57" s="684" t="s">
        <v>802</v>
      </c>
      <c r="E57" s="685"/>
      <c r="F57" s="685"/>
      <c r="G57" s="241"/>
      <c r="H57" s="246" t="s">
        <v>256</v>
      </c>
      <c r="I57" s="232" t="s">
        <v>256</v>
      </c>
      <c r="J57" s="232" t="s">
        <v>255</v>
      </c>
      <c r="L57" s="222"/>
    </row>
    <row r="58" spans="1:12" s="221" customFormat="1" ht="15.75" x14ac:dyDescent="0.2">
      <c r="A58" s="217">
        <v>1</v>
      </c>
      <c r="B58" s="236" t="s">
        <v>758</v>
      </c>
      <c r="C58" s="247">
        <f>'Design Regulator'!E28</f>
        <v>2.2000000000000002</v>
      </c>
      <c r="D58" s="708" t="str">
        <f>"Inductor, "&amp;Lf*1000000&amp;"µH, "&amp;Rdcr*1000&amp;"mΩ, &gt;"&amp;ROUNDUP(Ilimit_DC*1.3/SCH_MODE,0)&amp;"A"</f>
        <v>Inductor, 2.2µH, 1.35mΩ, &gt;8A</v>
      </c>
      <c r="E58" s="709"/>
      <c r="F58" s="709"/>
      <c r="G58" s="710"/>
      <c r="H58" s="240" t="s">
        <v>256</v>
      </c>
      <c r="I58" s="240" t="s">
        <v>256</v>
      </c>
      <c r="J58" s="240" t="s">
        <v>255</v>
      </c>
      <c r="L58" s="222"/>
    </row>
    <row r="59" spans="1:12" s="221" customFormat="1" ht="15.75" x14ac:dyDescent="0.2">
      <c r="A59" s="217">
        <v>1</v>
      </c>
      <c r="B59" s="236" t="s">
        <v>759</v>
      </c>
      <c r="C59" s="247">
        <f>IF(MODE = 1, 'Design Regulator'!J28, 'Design Regulator'!E28)</f>
        <v>2.2000000000000002</v>
      </c>
      <c r="D59" s="708" t="str">
        <f>IF(MODE=1, "Inductor, "&amp;Lo_2*1000000&amp;"µH, "&amp;Rdcr2*1000&amp;"mΩ, &gt;"&amp;ROUNDUP(Ilimit2_DC*1.3,0)&amp;"A", "Inductor, "&amp;Lf*1000000&amp;"µH, "&amp;Rdcr*1000&amp;"mΩ, &gt;"&amp;ROUNDUP(Ilimit_DC*1.3/SCH_MODE,0)&amp;"A")</f>
        <v>Inductor, 2.2µH, 1.35mΩ, &gt;8A</v>
      </c>
      <c r="E59" s="709"/>
      <c r="F59" s="709"/>
      <c r="G59" s="710"/>
      <c r="H59" s="240" t="s">
        <v>256</v>
      </c>
      <c r="I59" s="240" t="s">
        <v>256</v>
      </c>
      <c r="J59" s="240" t="s">
        <v>255</v>
      </c>
      <c r="L59" s="222"/>
    </row>
    <row r="60" spans="1:12" s="221" customFormat="1" ht="15.75" x14ac:dyDescent="0.2">
      <c r="A60" s="228">
        <v>2</v>
      </c>
      <c r="B60" s="229" t="s">
        <v>523</v>
      </c>
      <c r="C60" s="245" t="s">
        <v>246</v>
      </c>
      <c r="D60" s="702">
        <f>'Design Regulator'!E83</f>
        <v>6</v>
      </c>
      <c r="E60" s="703"/>
      <c r="F60" s="703"/>
      <c r="G60" s="704"/>
      <c r="H60" s="232" t="s">
        <v>245</v>
      </c>
      <c r="I60" s="232" t="str">
        <f>'Design Regulator'!E81</f>
        <v>NVMFS5H663, NVMFS5C628NL</v>
      </c>
      <c r="J60" s="232" t="s">
        <v>256</v>
      </c>
      <c r="L60" s="222"/>
    </row>
    <row r="61" spans="1:12" s="221" customFormat="1" ht="15.75" x14ac:dyDescent="0.2">
      <c r="A61" s="228">
        <v>2</v>
      </c>
      <c r="B61" s="229" t="s">
        <v>524</v>
      </c>
      <c r="C61" s="245" t="s">
        <v>246</v>
      </c>
      <c r="D61" s="702">
        <f>'Design Regulator'!H83</f>
        <v>6</v>
      </c>
      <c r="E61" s="703"/>
      <c r="F61" s="703"/>
      <c r="G61" s="704"/>
      <c r="H61" s="232" t="s">
        <v>245</v>
      </c>
      <c r="I61" s="232" t="str">
        <f>IF(MODE=1, 'Design Regulator'!H81, 'Design Regulator'!E81)</f>
        <v>NVMFS5H663, NVMFS5C628NL</v>
      </c>
      <c r="J61" s="232" t="s">
        <v>256</v>
      </c>
      <c r="L61" s="222"/>
    </row>
    <row r="62" spans="1:12" s="221" customFormat="1" ht="15.75" x14ac:dyDescent="0.2">
      <c r="A62" s="223">
        <v>1</v>
      </c>
      <c r="B62" s="224" t="s">
        <v>257</v>
      </c>
      <c r="C62" s="225">
        <f>'Design Regulator'!D70</f>
        <v>1.47</v>
      </c>
      <c r="D62" s="676">
        <f t="shared" ref="D62:D74" si="2">C62</f>
        <v>1.47</v>
      </c>
      <c r="E62" s="677"/>
      <c r="F62" s="677"/>
      <c r="G62" s="678"/>
      <c r="H62" s="226" t="s">
        <v>248</v>
      </c>
      <c r="I62" s="227" t="s">
        <v>245</v>
      </c>
      <c r="J62" s="227" t="s">
        <v>245</v>
      </c>
      <c r="L62" s="222"/>
    </row>
    <row r="63" spans="1:12" s="221" customFormat="1" ht="15.75" x14ac:dyDescent="0.2">
      <c r="A63" s="223">
        <v>1</v>
      </c>
      <c r="B63" s="224" t="s">
        <v>761</v>
      </c>
      <c r="C63" s="225">
        <f>IF(MODE=1, 'Variable Management'!E353, "N/A")</f>
        <v>5.9</v>
      </c>
      <c r="D63" s="676">
        <f t="shared" ref="D63" si="3">C63</f>
        <v>5.9</v>
      </c>
      <c r="E63" s="677"/>
      <c r="F63" s="677"/>
      <c r="G63" s="678"/>
      <c r="H63" s="239" t="str">
        <f>IF(MODE=1, "0603", "-")</f>
        <v>0603</v>
      </c>
      <c r="I63" s="239" t="str">
        <f>IF(MODE=1, "Std", "-")</f>
        <v>Std</v>
      </c>
      <c r="J63" s="239" t="str">
        <f>IF(MODE=1, "Std", "-")</f>
        <v>Std</v>
      </c>
      <c r="L63" s="222"/>
    </row>
    <row r="64" spans="1:12" s="221" customFormat="1" ht="15.75" x14ac:dyDescent="0.2">
      <c r="A64" s="223">
        <v>1</v>
      </c>
      <c r="B64" s="224" t="s">
        <v>762</v>
      </c>
      <c r="C64" s="437">
        <f>Rs*1000</f>
        <v>10</v>
      </c>
      <c r="D64" s="705">
        <f t="shared" si="2"/>
        <v>10</v>
      </c>
      <c r="E64" s="706"/>
      <c r="F64" s="706"/>
      <c r="G64" s="707"/>
      <c r="H64" s="226" t="s">
        <v>763</v>
      </c>
      <c r="I64" s="227" t="s">
        <v>245</v>
      </c>
      <c r="J64" s="227" t="s">
        <v>245</v>
      </c>
      <c r="L64" s="222"/>
    </row>
    <row r="65" spans="1:12" s="221" customFormat="1" ht="15.75" x14ac:dyDescent="0.2">
      <c r="A65" s="223">
        <v>1</v>
      </c>
      <c r="B65" s="224" t="s">
        <v>764</v>
      </c>
      <c r="C65" s="437">
        <f>IF(MODE=1, Rs_Ch2*1000, Rs*1000)</f>
        <v>10</v>
      </c>
      <c r="D65" s="705">
        <f t="shared" ref="D65" si="4">C65</f>
        <v>10</v>
      </c>
      <c r="E65" s="706"/>
      <c r="F65" s="706"/>
      <c r="G65" s="707"/>
      <c r="H65" s="226" t="s">
        <v>763</v>
      </c>
      <c r="I65" s="227" t="s">
        <v>245</v>
      </c>
      <c r="J65" s="227" t="s">
        <v>245</v>
      </c>
      <c r="L65" s="222"/>
    </row>
    <row r="66" spans="1:12" s="221" customFormat="1" ht="15.75" x14ac:dyDescent="0.2">
      <c r="A66" s="223">
        <v>1</v>
      </c>
      <c r="B66" s="224" t="s">
        <v>460</v>
      </c>
      <c r="C66" s="225">
        <f>'Design Regulator'!E13</f>
        <v>10.5</v>
      </c>
      <c r="D66" s="676">
        <f t="shared" si="2"/>
        <v>10.5</v>
      </c>
      <c r="E66" s="677"/>
      <c r="F66" s="677"/>
      <c r="G66" s="678"/>
      <c r="H66" s="226" t="s">
        <v>248</v>
      </c>
      <c r="I66" s="227" t="s">
        <v>245</v>
      </c>
      <c r="J66" s="227" t="s">
        <v>245</v>
      </c>
      <c r="L66" s="222"/>
    </row>
    <row r="67" spans="1:12" s="221" customFormat="1" ht="15.75" x14ac:dyDescent="0.2">
      <c r="A67" s="223">
        <v>1</v>
      </c>
      <c r="B67" s="224" t="s">
        <v>259</v>
      </c>
      <c r="C67" s="225">
        <f>'Design Regulator'!E65</f>
        <v>10</v>
      </c>
      <c r="D67" s="676">
        <f t="shared" si="2"/>
        <v>10</v>
      </c>
      <c r="E67" s="677"/>
      <c r="F67" s="677"/>
      <c r="G67" s="678"/>
      <c r="H67" s="226" t="s">
        <v>248</v>
      </c>
      <c r="I67" s="227" t="s">
        <v>245</v>
      </c>
      <c r="J67" s="227" t="s">
        <v>245</v>
      </c>
      <c r="L67" s="222"/>
    </row>
    <row r="68" spans="1:12" s="221" customFormat="1" ht="15.75" x14ac:dyDescent="0.2">
      <c r="A68" s="223">
        <v>1</v>
      </c>
      <c r="B68" s="224" t="s">
        <v>260</v>
      </c>
      <c r="C68" s="225">
        <f>'Design Regulator'!E66</f>
        <v>1.37</v>
      </c>
      <c r="D68" s="676">
        <f t="shared" si="2"/>
        <v>1.37</v>
      </c>
      <c r="E68" s="677"/>
      <c r="F68" s="677"/>
      <c r="G68" s="678"/>
      <c r="H68" s="226" t="s">
        <v>248</v>
      </c>
      <c r="I68" s="227" t="s">
        <v>245</v>
      </c>
      <c r="J68" s="227" t="s">
        <v>245</v>
      </c>
      <c r="L68" s="222"/>
    </row>
    <row r="69" spans="1:12" s="221" customFormat="1" ht="15.75" x14ac:dyDescent="0.2">
      <c r="A69" s="223">
        <v>1</v>
      </c>
      <c r="B69" s="224" t="s">
        <v>765</v>
      </c>
      <c r="C69" s="225">
        <f>IF(MODE=1, 'Design Regulator'!J65, "N/A")</f>
        <v>10</v>
      </c>
      <c r="D69" s="676">
        <f t="shared" ref="D69:D70" si="5">C69</f>
        <v>10</v>
      </c>
      <c r="E69" s="677"/>
      <c r="F69" s="677"/>
      <c r="G69" s="678"/>
      <c r="H69" s="239" t="str">
        <f>IF(MODE=1, "0603", "-")</f>
        <v>0603</v>
      </c>
      <c r="I69" s="239" t="str">
        <f>IF(MODE=1, "Std", "-")</f>
        <v>Std</v>
      </c>
      <c r="J69" s="239" t="str">
        <f>IF(MODE=1, "Std", "-")</f>
        <v>Std</v>
      </c>
      <c r="L69" s="222"/>
    </row>
    <row r="70" spans="1:12" s="221" customFormat="1" ht="15.75" x14ac:dyDescent="0.2">
      <c r="A70" s="223">
        <v>1</v>
      </c>
      <c r="B70" s="224" t="s">
        <v>766</v>
      </c>
      <c r="C70" s="225">
        <f>IF(MODE=1, 'Design Regulator'!J66, "N/A")</f>
        <v>0.309</v>
      </c>
      <c r="D70" s="676">
        <f t="shared" si="5"/>
        <v>0.309</v>
      </c>
      <c r="E70" s="677"/>
      <c r="F70" s="677"/>
      <c r="G70" s="678"/>
      <c r="H70" s="239" t="str">
        <f>IF(MODE=1, "0603", "-")</f>
        <v>0603</v>
      </c>
      <c r="I70" s="239" t="str">
        <f>IF(MODE=1, "Std", "-")</f>
        <v>Std</v>
      </c>
      <c r="J70" s="239" t="str">
        <f>IF(MODE=1, "Std", "-")</f>
        <v>Std</v>
      </c>
      <c r="L70" s="222"/>
    </row>
    <row r="71" spans="1:12" s="221" customFormat="1" ht="15.75" x14ac:dyDescent="0.2">
      <c r="A71" s="228">
        <v>2</v>
      </c>
      <c r="B71" s="229" t="s">
        <v>773</v>
      </c>
      <c r="C71" s="230">
        <v>100</v>
      </c>
      <c r="D71" s="699">
        <f t="shared" si="2"/>
        <v>100</v>
      </c>
      <c r="E71" s="700"/>
      <c r="F71" s="700"/>
      <c r="G71" s="701"/>
      <c r="H71" s="231" t="s">
        <v>248</v>
      </c>
      <c r="I71" s="232" t="s">
        <v>245</v>
      </c>
      <c r="J71" s="232" t="s">
        <v>245</v>
      </c>
      <c r="L71" s="222"/>
    </row>
    <row r="72" spans="1:12" s="221" customFormat="1" ht="15.75" x14ac:dyDescent="0.2">
      <c r="A72" s="223">
        <v>2</v>
      </c>
      <c r="B72" s="224" t="s">
        <v>801</v>
      </c>
      <c r="C72" s="225">
        <v>100</v>
      </c>
      <c r="D72" s="676">
        <f t="shared" si="2"/>
        <v>100</v>
      </c>
      <c r="E72" s="677"/>
      <c r="F72" s="677"/>
      <c r="G72" s="678"/>
      <c r="H72" s="226" t="s">
        <v>248</v>
      </c>
      <c r="I72" s="227" t="s">
        <v>245</v>
      </c>
      <c r="J72" s="227" t="s">
        <v>245</v>
      </c>
      <c r="L72" s="222"/>
    </row>
    <row r="73" spans="1:12" s="221" customFormat="1" ht="15.75" x14ac:dyDescent="0.2">
      <c r="A73" s="223">
        <v>1</v>
      </c>
      <c r="B73" s="224" t="s">
        <v>800</v>
      </c>
      <c r="C73" s="225">
        <v>100</v>
      </c>
      <c r="D73" s="676">
        <f t="shared" si="2"/>
        <v>100</v>
      </c>
      <c r="E73" s="677"/>
      <c r="F73" s="677"/>
      <c r="G73" s="678"/>
      <c r="H73" s="226" t="s">
        <v>248</v>
      </c>
      <c r="I73" s="227" t="s">
        <v>245</v>
      </c>
      <c r="J73" s="227" t="s">
        <v>245</v>
      </c>
      <c r="L73" s="222"/>
    </row>
    <row r="74" spans="1:12" s="221" customFormat="1" ht="15.75" x14ac:dyDescent="0.2">
      <c r="A74" s="228">
        <v>1</v>
      </c>
      <c r="B74" s="229" t="s">
        <v>258</v>
      </c>
      <c r="C74" s="245">
        <v>2.2000000000000002</v>
      </c>
      <c r="D74" s="681">
        <f t="shared" si="2"/>
        <v>2.2000000000000002</v>
      </c>
      <c r="E74" s="682"/>
      <c r="F74" s="682"/>
      <c r="G74" s="683"/>
      <c r="H74" s="231" t="s">
        <v>248</v>
      </c>
      <c r="I74" s="232" t="s">
        <v>245</v>
      </c>
      <c r="J74" s="232" t="s">
        <v>245</v>
      </c>
      <c r="L74" s="222"/>
    </row>
    <row r="75" spans="1:12" s="221" customFormat="1" ht="14.25" customHeight="1" x14ac:dyDescent="0.2">
      <c r="A75" s="713">
        <v>1</v>
      </c>
      <c r="B75" s="725" t="s">
        <v>261</v>
      </c>
      <c r="C75" s="723" t="str">
        <f>CHOOSE(VARIANT, "LM5143", "LM5143-Q1", "LM5143A-Q1","LM25143","LM25143-Q1")</f>
        <v>LM5143-Q1</v>
      </c>
      <c r="D75" s="717" t="str">
        <f>CHOOSE(VARIANT, "IC, LM5143, Buck PWM Controller, 3.5V–65V Input","IC, LM5143-Q1, Buck PWM Controller, 3.5V–65V Input","IC, LM5143A-Q1, Buck PWM Controller, 3.5V–65V Input","IC, LM25143, Buck PWM Controller, 3.5V–42V Input","IC, LM25143-Q1, Buck PWM Controller, 3.5V–42V Input")</f>
        <v>IC, LM5143-Q1, Buck PWM Controller, 3.5V–65V Input</v>
      </c>
      <c r="E75" s="718"/>
      <c r="F75" s="718"/>
      <c r="G75" s="719"/>
      <c r="H75" s="715" t="s">
        <v>757</v>
      </c>
      <c r="I75" s="715" t="str">
        <f>CHOOSE(VARIANT, "LM5143RHAR", "LM5143QRWGRQ1", "LM5143QRHARQ1", "LM25143RHAR", "LM25143QRHARQ1")</f>
        <v>LM5143QRWGRQ1</v>
      </c>
      <c r="J75" s="715" t="s">
        <v>247</v>
      </c>
      <c r="L75" s="222"/>
    </row>
    <row r="76" spans="1:12" x14ac:dyDescent="0.2">
      <c r="A76" s="714"/>
      <c r="B76" s="726"/>
      <c r="C76" s="724"/>
      <c r="D76" s="720"/>
      <c r="E76" s="721"/>
      <c r="F76" s="721"/>
      <c r="G76" s="722"/>
      <c r="H76" s="716"/>
      <c r="I76" s="716"/>
      <c r="J76" s="716"/>
    </row>
    <row r="78" spans="1:12" x14ac:dyDescent="0.2">
      <c r="A78" s="255" t="s">
        <v>269</v>
      </c>
    </row>
    <row r="79" spans="1:12" ht="17.100000000000001" customHeight="1" x14ac:dyDescent="0.2">
      <c r="A79" s="128" t="s">
        <v>606</v>
      </c>
      <c r="D79" s="553" t="s">
        <v>605</v>
      </c>
      <c r="E79" s="214" t="s">
        <v>607</v>
      </c>
    </row>
    <row r="80" spans="1:12" ht="17.100000000000001" customHeight="1" x14ac:dyDescent="0.2">
      <c r="A80" s="214" t="s">
        <v>464</v>
      </c>
    </row>
    <row r="81" spans="1:1" ht="17.100000000000001" customHeight="1" x14ac:dyDescent="0.2">
      <c r="A81" s="214" t="s">
        <v>461</v>
      </c>
    </row>
  </sheetData>
  <sheetProtection algorithmName="SHA-512" hashValue="noeROmgzs74+Ki+xq76TMsItNlfdGQzl7OsBLV4r541aV1xEIRFKWVAt0RfsYVUAI3hU+P78zAm5MGmv0EiM3w==" saltValue="4R3/p4V7jC78QHG7g2IlVw==" spinCount="100000" sheet="1" objects="1" scenarios="1" selectLockedCells="1" selectUnlockedCells="1"/>
  <mergeCells count="38">
    <mergeCell ref="A75:A76"/>
    <mergeCell ref="J75:J76"/>
    <mergeCell ref="D75:G76"/>
    <mergeCell ref="C75:C76"/>
    <mergeCell ref="B75:B76"/>
    <mergeCell ref="H75:H76"/>
    <mergeCell ref="I75:I76"/>
    <mergeCell ref="D44:G44"/>
    <mergeCell ref="D51:F51"/>
    <mergeCell ref="D71:G71"/>
    <mergeCell ref="D67:G67"/>
    <mergeCell ref="D68:G68"/>
    <mergeCell ref="D60:G60"/>
    <mergeCell ref="D61:G61"/>
    <mergeCell ref="D66:G66"/>
    <mergeCell ref="D64:G64"/>
    <mergeCell ref="D58:G58"/>
    <mergeCell ref="D59:G59"/>
    <mergeCell ref="D63:G63"/>
    <mergeCell ref="D65:G65"/>
    <mergeCell ref="D69:G69"/>
    <mergeCell ref="D45:F45"/>
    <mergeCell ref="D46:F46"/>
    <mergeCell ref="D47:F47"/>
    <mergeCell ref="D48:F48"/>
    <mergeCell ref="D50:F50"/>
    <mergeCell ref="D55:F55"/>
    <mergeCell ref="D52:F52"/>
    <mergeCell ref="D70:G70"/>
    <mergeCell ref="D49:F49"/>
    <mergeCell ref="D72:G72"/>
    <mergeCell ref="D73:G73"/>
    <mergeCell ref="D74:G74"/>
    <mergeCell ref="D57:F57"/>
    <mergeCell ref="D62:G62"/>
    <mergeCell ref="D53:F53"/>
    <mergeCell ref="D54:F54"/>
    <mergeCell ref="D56:F56"/>
  </mergeCells>
  <hyperlinks>
    <hyperlink ref="D79" r:id="rId1" xr:uid="{00000000-0004-0000-0100-000000000000}"/>
  </hyperlinks>
  <printOptions horizontalCentered="1"/>
  <pageMargins left="0.23" right="0.23" top="0.7" bottom="0.61" header="0.3" footer="0.5"/>
  <pageSetup scale="46" fitToHeight="2" orientation="landscape" r:id="rId2"/>
  <headerFooter alignWithMargins="0"/>
  <ignoredErrors>
    <ignoredError sqref="H45:H47 H56 H58 H71 H55 H62 H66:H68 H54 H51 H50 H72:H74 H64:H65" numberStoredAsText="1"/>
  </ignoredErrors>
  <drawing r:id="rId3"/>
  <legacy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0000FF"/>
    <pageSetUpPr fitToPage="1"/>
  </sheetPr>
  <dimension ref="A1:W6"/>
  <sheetViews>
    <sheetView topLeftCell="A7" zoomScaleNormal="100" zoomScaleSheetLayoutView="80" workbookViewId="0">
      <selection activeCell="A2" sqref="A2"/>
    </sheetView>
  </sheetViews>
  <sheetFormatPr defaultColWidth="9.140625" defaultRowHeight="12.75" x14ac:dyDescent="0.2"/>
  <cols>
    <col min="1" max="13" width="9.140625" style="121"/>
    <col min="14" max="14" width="11.85546875" style="121" customWidth="1"/>
    <col min="15" max="16" width="9.140625" style="121"/>
    <col min="17" max="17" width="15.7109375" style="121" customWidth="1"/>
    <col min="18" max="16384" width="9.140625" style="121"/>
  </cols>
  <sheetData>
    <row r="1" spans="1:23" s="113" customFormat="1" ht="47.25" customHeight="1" x14ac:dyDescent="0.2">
      <c r="A1" s="727" t="s">
        <v>857</v>
      </c>
      <c r="B1" s="728"/>
      <c r="C1" s="728"/>
      <c r="D1" s="728"/>
      <c r="E1" s="728"/>
      <c r="F1" s="728"/>
      <c r="G1" s="728"/>
      <c r="H1" s="728"/>
      <c r="I1" s="728"/>
      <c r="J1" s="728"/>
      <c r="K1" s="728"/>
      <c r="L1" s="728"/>
      <c r="M1" s="728"/>
      <c r="N1" s="728"/>
      <c r="O1" s="728"/>
      <c r="P1" s="728"/>
      <c r="Q1" s="728"/>
    </row>
    <row r="6" spans="1:23" ht="20.25" x14ac:dyDescent="0.3">
      <c r="B6" s="122" t="s">
        <v>618</v>
      </c>
      <c r="M6" s="122"/>
      <c r="W6" s="122"/>
    </row>
  </sheetData>
  <sheetProtection algorithmName="SHA-512" hashValue="ME2Liox88eb1tlMmpYGEI0zgr4rj6az9EPWygQscUZuf8Jy4pmR0dor3AWEEhfdErV15IkKQScFM+imSN0HfQg==" saltValue="7qRta+P6OvzdH2eW5Q2trw==" spinCount="100000" sheet="1" objects="1" scenarios="1"/>
  <mergeCells count="1">
    <mergeCell ref="A1:Q1"/>
  </mergeCells>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A390"/>
  <sheetViews>
    <sheetView zoomScaleNormal="100" workbookViewId="0">
      <pane ySplit="5" topLeftCell="A15" activePane="bottomLeft" state="frozenSplit"/>
      <selection pane="bottomLeft" activeCell="A4" sqref="A4"/>
    </sheetView>
  </sheetViews>
  <sheetFormatPr defaultRowHeight="12.75" x14ac:dyDescent="0.2"/>
  <cols>
    <col min="1" max="1" width="35.7109375" customWidth="1"/>
    <col min="2" max="2" width="12" customWidth="1"/>
    <col min="3" max="3" width="12.140625" style="2" customWidth="1"/>
    <col min="4" max="4" width="13.42578125" customWidth="1"/>
    <col min="5" max="5" width="11.5703125" customWidth="1"/>
    <col min="6" max="6" width="12.42578125" bestFit="1" customWidth="1"/>
    <col min="7" max="7" width="17.42578125" customWidth="1"/>
    <col min="8" max="8" width="34.7109375" customWidth="1"/>
    <col min="9" max="9" width="11.7109375" customWidth="1"/>
    <col min="10" max="10" width="12.42578125" bestFit="1" customWidth="1"/>
    <col min="11" max="11" width="15.140625" customWidth="1"/>
    <col min="12" max="12" width="13.28515625" customWidth="1"/>
    <col min="14" max="14" width="8.7109375" customWidth="1"/>
    <col min="16" max="16" width="8.28515625" customWidth="1"/>
    <col min="23" max="23" width="11.5703125" bestFit="1" customWidth="1"/>
    <col min="24" max="24" width="12.5703125" customWidth="1"/>
    <col min="25" max="25" width="12.42578125" customWidth="1"/>
  </cols>
  <sheetData>
    <row r="1" spans="1:27" ht="30.75" customHeight="1" x14ac:dyDescent="0.4">
      <c r="A1" s="730" t="s">
        <v>393</v>
      </c>
      <c r="B1" s="730"/>
      <c r="C1" s="730"/>
      <c r="D1" s="730"/>
      <c r="E1" s="730"/>
      <c r="F1" s="730"/>
      <c r="G1" s="730"/>
      <c r="H1" s="730"/>
      <c r="I1" s="730"/>
    </row>
    <row r="2" spans="1:27" ht="12" customHeight="1" x14ac:dyDescent="0.2">
      <c r="A2" s="49"/>
      <c r="B2" s="49" t="s">
        <v>191</v>
      </c>
      <c r="C2" s="50"/>
      <c r="E2" s="49"/>
      <c r="F2" s="49"/>
      <c r="G2" s="49"/>
      <c r="H2" s="49"/>
      <c r="I2" s="49"/>
    </row>
    <row r="3" spans="1:27" ht="11.25" customHeight="1" x14ac:dyDescent="0.2">
      <c r="A3" s="49"/>
      <c r="B3" s="49" t="s">
        <v>223</v>
      </c>
      <c r="C3" s="51"/>
      <c r="E3" s="49"/>
      <c r="F3" s="49"/>
      <c r="G3" s="49"/>
      <c r="H3" s="49"/>
      <c r="I3" s="49"/>
    </row>
    <row r="4" spans="1:27" ht="11.25" customHeight="1" x14ac:dyDescent="0.2">
      <c r="A4" s="49"/>
      <c r="B4" s="49" t="s">
        <v>192</v>
      </c>
      <c r="C4" s="52"/>
      <c r="E4" s="49"/>
      <c r="F4" s="49"/>
      <c r="G4" s="49"/>
      <c r="H4" s="49"/>
      <c r="I4" s="49"/>
    </row>
    <row r="5" spans="1:27" x14ac:dyDescent="0.2">
      <c r="A5" s="2" t="s">
        <v>47</v>
      </c>
      <c r="B5" s="2" t="s">
        <v>7</v>
      </c>
      <c r="C5" s="2" t="s">
        <v>8</v>
      </c>
      <c r="E5" s="729" t="s">
        <v>12</v>
      </c>
      <c r="F5" s="729"/>
      <c r="G5" s="729"/>
      <c r="H5" s="729"/>
      <c r="I5" s="2" t="s">
        <v>414</v>
      </c>
    </row>
    <row r="6" spans="1:27" ht="16.5" thickBot="1" x14ac:dyDescent="0.3">
      <c r="A6" s="525" t="s">
        <v>148</v>
      </c>
      <c r="B6" s="2"/>
      <c r="D6" s="2"/>
      <c r="E6" s="49"/>
      <c r="F6" s="49"/>
      <c r="G6" s="49"/>
      <c r="H6" s="49"/>
      <c r="I6" s="2"/>
    </row>
    <row r="7" spans="1:27" x14ac:dyDescent="0.2">
      <c r="A7" s="211" t="s">
        <v>289</v>
      </c>
      <c r="B7" s="12">
        <f>'Design Regulator'!E7</f>
        <v>20</v>
      </c>
      <c r="C7" s="63" t="s">
        <v>0</v>
      </c>
      <c r="D7" s="117" t="s">
        <v>290</v>
      </c>
      <c r="E7" s="63"/>
      <c r="F7" s="63"/>
      <c r="G7" s="63"/>
      <c r="H7" s="63"/>
      <c r="I7" s="64">
        <v>1</v>
      </c>
    </row>
    <row r="8" spans="1:27" x14ac:dyDescent="0.2">
      <c r="A8" s="212" t="s">
        <v>625</v>
      </c>
      <c r="B8" s="29">
        <f>'Design Regulator'!E8</f>
        <v>21</v>
      </c>
      <c r="C8" t="s">
        <v>0</v>
      </c>
      <c r="D8" t="s">
        <v>13</v>
      </c>
      <c r="I8" s="57"/>
      <c r="K8" s="294" t="str">
        <f>CHOOSE(SCH_MODE, "Efficiency vs. IOUT (Ch1)", "Efficiency vs. IOUT - 2 Ph", "Efficiency vs. IOUT - 3 Ph", "Efficiency vs. IOUT - 4 Ph")</f>
        <v>Efficiency vs. IOUT (Ch1)</v>
      </c>
      <c r="L8" s="116">
        <v>1</v>
      </c>
      <c r="N8" s="294" t="s">
        <v>612</v>
      </c>
      <c r="O8" s="116">
        <v>1</v>
      </c>
      <c r="T8" s="294" t="s">
        <v>780</v>
      </c>
      <c r="U8" s="116">
        <v>1</v>
      </c>
      <c r="W8" s="294" t="s">
        <v>677</v>
      </c>
      <c r="X8" s="116">
        <v>1</v>
      </c>
      <c r="Z8" s="294" t="str">
        <f>CHOOSE(SCH_MODE, "Bode Plot (Ch1)", "Bode Plot - 2 Ph", "Bode Plot - 3 Ph", "Bode Plot - 4 Ph")</f>
        <v>Bode Plot (Ch1)</v>
      </c>
      <c r="AA8" s="116">
        <v>1</v>
      </c>
    </row>
    <row r="9" spans="1:27" x14ac:dyDescent="0.2">
      <c r="A9" s="212" t="s">
        <v>288</v>
      </c>
      <c r="B9" s="29">
        <f>'Design Regulator'!E9</f>
        <v>26</v>
      </c>
      <c r="C9" t="s">
        <v>0</v>
      </c>
      <c r="D9" s="114" t="s">
        <v>291</v>
      </c>
      <c r="I9" s="57"/>
      <c r="K9" s="294" t="str">
        <f>IF(MODE=1, "Efficiency vs. IOUT (Ch2)", "N/A - Do Not Use")</f>
        <v>Efficiency vs. IOUT (Ch2)</v>
      </c>
      <c r="L9" s="116">
        <v>2</v>
      </c>
      <c r="N9" s="294" t="s">
        <v>611</v>
      </c>
      <c r="O9" s="116">
        <v>2</v>
      </c>
      <c r="T9" s="294" t="s">
        <v>781</v>
      </c>
      <c r="U9" s="116">
        <v>2</v>
      </c>
      <c r="W9" s="294" t="s">
        <v>678</v>
      </c>
      <c r="X9" s="116">
        <v>2</v>
      </c>
      <c r="Z9" s="294" t="str">
        <f>IF(MODE=1, "Bode Plot (Ch2)", "N/A - Do Not Use")</f>
        <v>Bode Plot (Ch2)</v>
      </c>
      <c r="AA9" s="116">
        <v>2</v>
      </c>
    </row>
    <row r="10" spans="1:27" x14ac:dyDescent="0.2">
      <c r="A10" s="212"/>
      <c r="B10" s="4"/>
      <c r="C10"/>
      <c r="D10" s="114"/>
      <c r="I10" s="57"/>
      <c r="K10" s="535" t="s">
        <v>586</v>
      </c>
      <c r="L10" s="536">
        <v>1</v>
      </c>
      <c r="N10" s="535" t="s">
        <v>609</v>
      </c>
      <c r="O10" s="536">
        <v>2</v>
      </c>
      <c r="P10" s="114" t="s">
        <v>610</v>
      </c>
      <c r="T10" s="294" t="s">
        <v>782</v>
      </c>
      <c r="U10" s="116">
        <v>3</v>
      </c>
      <c r="W10" s="535" t="s">
        <v>679</v>
      </c>
      <c r="X10" s="536">
        <v>2</v>
      </c>
      <c r="Z10" s="535" t="s">
        <v>784</v>
      </c>
      <c r="AA10" s="536">
        <v>1</v>
      </c>
    </row>
    <row r="11" spans="1:27" x14ac:dyDescent="0.2">
      <c r="A11" s="56" t="s">
        <v>4</v>
      </c>
      <c r="B11" s="29">
        <f>'Design Regulator'!E10</f>
        <v>5</v>
      </c>
      <c r="C11" t="s">
        <v>0</v>
      </c>
      <c r="D11" s="114" t="s">
        <v>639</v>
      </c>
      <c r="I11" s="57"/>
      <c r="T11" s="294" t="s">
        <v>783</v>
      </c>
      <c r="U11" s="116">
        <v>4</v>
      </c>
      <c r="V11" s="114"/>
    </row>
    <row r="12" spans="1:27" x14ac:dyDescent="0.2">
      <c r="A12" s="56" t="s">
        <v>5</v>
      </c>
      <c r="B12" s="29">
        <f>'Design Regulator'!E11</f>
        <v>5</v>
      </c>
      <c r="C12" t="s">
        <v>1</v>
      </c>
      <c r="D12" s="114" t="s">
        <v>640</v>
      </c>
      <c r="I12" s="57">
        <v>1</v>
      </c>
      <c r="T12" s="535" t="s">
        <v>631</v>
      </c>
      <c r="U12" s="536">
        <v>1</v>
      </c>
      <c r="V12" s="114"/>
    </row>
    <row r="13" spans="1:27" x14ac:dyDescent="0.2">
      <c r="A13" s="212" t="s">
        <v>626</v>
      </c>
      <c r="B13" s="29">
        <f>'Design Regulator'!J10</f>
        <v>20</v>
      </c>
      <c r="C13" t="s">
        <v>0</v>
      </c>
      <c r="D13" s="114" t="s">
        <v>642</v>
      </c>
      <c r="I13" s="57">
        <v>1</v>
      </c>
      <c r="K13" s="294" t="s">
        <v>712</v>
      </c>
      <c r="L13" s="116">
        <v>1</v>
      </c>
      <c r="N13" s="294" t="s">
        <v>712</v>
      </c>
      <c r="O13" s="116">
        <v>1</v>
      </c>
      <c r="T13" s="598" t="s">
        <v>797</v>
      </c>
      <c r="U13" s="594">
        <f>IF(U12=1, 1, 2)</f>
        <v>1</v>
      </c>
      <c r="V13" s="114"/>
      <c r="W13" s="294" t="s">
        <v>808</v>
      </c>
      <c r="X13" s="116">
        <v>1</v>
      </c>
    </row>
    <row r="14" spans="1:27" x14ac:dyDescent="0.2">
      <c r="A14" s="212" t="s">
        <v>627</v>
      </c>
      <c r="B14" s="29">
        <f>'Design Regulator'!J11</f>
        <v>5</v>
      </c>
      <c r="C14" t="s">
        <v>1</v>
      </c>
      <c r="D14" s="114" t="s">
        <v>641</v>
      </c>
      <c r="I14" s="57"/>
      <c r="K14" s="294" t="s">
        <v>713</v>
      </c>
      <c r="L14" s="116">
        <v>2</v>
      </c>
      <c r="N14" s="294" t="s">
        <v>713</v>
      </c>
      <c r="O14" s="116">
        <v>2</v>
      </c>
      <c r="T14" s="296" t="s">
        <v>796</v>
      </c>
      <c r="U14" s="599">
        <f>IF(U12=1, 2, 1)</f>
        <v>2</v>
      </c>
      <c r="W14" s="294" t="s">
        <v>809</v>
      </c>
      <c r="X14" s="116">
        <v>2</v>
      </c>
    </row>
    <row r="15" spans="1:27" x14ac:dyDescent="0.2">
      <c r="A15" s="212"/>
      <c r="C15"/>
      <c r="D15" s="114"/>
      <c r="I15" s="57"/>
      <c r="K15" s="294" t="s">
        <v>714</v>
      </c>
      <c r="L15" s="116">
        <v>3</v>
      </c>
      <c r="N15" s="294" t="s">
        <v>714</v>
      </c>
      <c r="O15" s="116">
        <v>3</v>
      </c>
      <c r="T15" s="296" t="s">
        <v>795</v>
      </c>
      <c r="U15" s="299">
        <f>SCH_MODE</f>
        <v>1</v>
      </c>
      <c r="W15" s="535" t="s">
        <v>810</v>
      </c>
      <c r="X15" s="536">
        <v>1</v>
      </c>
      <c r="Z15" s="294" t="s">
        <v>858</v>
      </c>
      <c r="AA15" s="116">
        <v>1</v>
      </c>
    </row>
    <row r="16" spans="1:27" x14ac:dyDescent="0.2">
      <c r="A16" s="212" t="s">
        <v>326</v>
      </c>
      <c r="B16" s="520">
        <f>Vout/Iout</f>
        <v>1</v>
      </c>
      <c r="C16" s="213" t="s">
        <v>116</v>
      </c>
      <c r="D16" s="114" t="s">
        <v>629</v>
      </c>
      <c r="I16" s="57"/>
      <c r="K16" s="535" t="s">
        <v>715</v>
      </c>
      <c r="L16" s="536">
        <f>IF(Vout=3.3, 1, IF(Vout=5, 2, 3))</f>
        <v>2</v>
      </c>
      <c r="N16" s="535" t="s">
        <v>716</v>
      </c>
      <c r="O16" s="536">
        <f>IF(Vout2=3.3, 1, IF(Vout2=5, 2, 3))</f>
        <v>3</v>
      </c>
      <c r="Z16" s="294" t="s">
        <v>859</v>
      </c>
      <c r="AA16" s="116">
        <v>2</v>
      </c>
    </row>
    <row r="17" spans="1:27" x14ac:dyDescent="0.2">
      <c r="A17" s="212" t="s">
        <v>628</v>
      </c>
      <c r="B17" s="520">
        <f>Vout2/Iout2</f>
        <v>4</v>
      </c>
      <c r="C17" s="213" t="s">
        <v>116</v>
      </c>
      <c r="D17" s="114"/>
      <c r="I17" s="57"/>
      <c r="Z17" s="535" t="s">
        <v>860</v>
      </c>
      <c r="AA17" s="536">
        <v>1</v>
      </c>
    </row>
    <row r="18" spans="1:27" x14ac:dyDescent="0.2">
      <c r="A18" s="212" t="s">
        <v>295</v>
      </c>
      <c r="B18" s="293">
        <f>CHOOSE(MODE, Vout*Iout+Vout2*Iout2, Vout*Iout)</f>
        <v>125</v>
      </c>
      <c r="C18" t="s">
        <v>116</v>
      </c>
      <c r="D18" s="114" t="s">
        <v>311</v>
      </c>
      <c r="I18" s="57"/>
      <c r="Y18" s="2"/>
    </row>
    <row r="19" spans="1:27" x14ac:dyDescent="0.2">
      <c r="A19" s="212"/>
      <c r="C19"/>
      <c r="D19" s="114"/>
      <c r="I19" s="57"/>
      <c r="Y19" s="2"/>
      <c r="AA19" s="116">
        <f>SENSING_TYPE</f>
        <v>1</v>
      </c>
    </row>
    <row r="20" spans="1:27" x14ac:dyDescent="0.2">
      <c r="A20" s="212" t="s">
        <v>127</v>
      </c>
      <c r="B20" s="408">
        <v>0.9</v>
      </c>
      <c r="C20"/>
      <c r="D20" s="114" t="s">
        <v>427</v>
      </c>
      <c r="I20" s="57"/>
      <c r="X20" s="294" t="s">
        <v>853</v>
      </c>
      <c r="Y20" s="299">
        <v>1</v>
      </c>
    </row>
    <row r="21" spans="1:27" x14ac:dyDescent="0.2">
      <c r="A21" s="212" t="s">
        <v>299</v>
      </c>
      <c r="B21" s="312">
        <f>Pout/Efficiency</f>
        <v>138.88888888888889</v>
      </c>
      <c r="C21" t="s">
        <v>116</v>
      </c>
      <c r="D21" s="114" t="s">
        <v>630</v>
      </c>
      <c r="I21" s="57"/>
      <c r="L21">
        <f>Vout</f>
        <v>5</v>
      </c>
      <c r="X21" s="294" t="s">
        <v>756</v>
      </c>
      <c r="Y21" s="299">
        <v>2</v>
      </c>
    </row>
    <row r="22" spans="1:27" x14ac:dyDescent="0.2">
      <c r="A22" s="212"/>
      <c r="B22" s="48"/>
      <c r="C22"/>
      <c r="D22" s="114"/>
      <c r="I22" s="57"/>
      <c r="X22" s="294" t="s">
        <v>861</v>
      </c>
      <c r="Y22" s="299">
        <v>3</v>
      </c>
      <c r="Z22" s="114"/>
    </row>
    <row r="23" spans="1:27" x14ac:dyDescent="0.2">
      <c r="A23" s="212" t="s">
        <v>296</v>
      </c>
      <c r="B23" s="305">
        <f>Pin/VIN_min</f>
        <v>6.9444444444444446</v>
      </c>
      <c r="C23" t="s">
        <v>1</v>
      </c>
      <c r="D23" s="114"/>
      <c r="I23" s="57"/>
      <c r="X23" s="294" t="s">
        <v>855</v>
      </c>
      <c r="Y23" s="299">
        <v>4</v>
      </c>
    </row>
    <row r="24" spans="1:27" x14ac:dyDescent="0.2">
      <c r="A24" s="212" t="s">
        <v>297</v>
      </c>
      <c r="B24" s="305">
        <f>Pin/VIN_nom</f>
        <v>6.6137566137566139</v>
      </c>
      <c r="C24" t="s">
        <v>1</v>
      </c>
      <c r="D24" s="114" t="s">
        <v>312</v>
      </c>
      <c r="I24" s="57"/>
      <c r="X24" s="294" t="s">
        <v>854</v>
      </c>
      <c r="Y24" s="299">
        <v>5</v>
      </c>
    </row>
    <row r="25" spans="1:27" x14ac:dyDescent="0.2">
      <c r="A25" s="212" t="s">
        <v>298</v>
      </c>
      <c r="B25" s="305">
        <f>Pin/VIN_max</f>
        <v>5.3418803418803416</v>
      </c>
      <c r="C25" t="s">
        <v>1</v>
      </c>
      <c r="D25" s="114"/>
      <c r="I25" s="57"/>
      <c r="W25" s="536" t="s">
        <v>851</v>
      </c>
      <c r="X25" s="296" t="str">
        <f>CHOOSE(VARIANT, "LM5143", "LM5143-Q1", "LM5143A-Q1", "LM25143", "LM25143-Q1")</f>
        <v>LM5143-Q1</v>
      </c>
      <c r="Y25" s="536">
        <v>2</v>
      </c>
    </row>
    <row r="26" spans="1:27" x14ac:dyDescent="0.2">
      <c r="A26" s="212"/>
      <c r="C26"/>
      <c r="D26" s="114"/>
      <c r="I26" s="57"/>
      <c r="W26" s="536" t="s">
        <v>852</v>
      </c>
      <c r="X26" s="296">
        <f>CHOOSE(VARIANT, 65, 65, 65, 42, 42)</f>
        <v>65</v>
      </c>
      <c r="Y26" t="s">
        <v>0</v>
      </c>
    </row>
    <row r="27" spans="1:27" x14ac:dyDescent="0.2">
      <c r="A27" s="58" t="s">
        <v>6</v>
      </c>
      <c r="B27" s="256">
        <f>'Design Regulator'!E12*1000</f>
        <v>2100000</v>
      </c>
      <c r="C27" s="114" t="s">
        <v>9</v>
      </c>
      <c r="D27" s="114" t="s">
        <v>646</v>
      </c>
      <c r="I27" s="57"/>
      <c r="W27" s="114" t="s">
        <v>856</v>
      </c>
      <c r="X27" s="294">
        <f>CHOOSE(VARIANT, 55, 55, 55, 36, 36)</f>
        <v>55</v>
      </c>
      <c r="Y27" s="114" t="s">
        <v>0</v>
      </c>
    </row>
    <row r="28" spans="1:27" x14ac:dyDescent="0.2">
      <c r="A28" s="212" t="s">
        <v>827</v>
      </c>
      <c r="B28" s="528">
        <f>1/Fsw</f>
        <v>4.7619047619047617E-7</v>
      </c>
      <c r="C28" s="114" t="s">
        <v>549</v>
      </c>
      <c r="D28" s="114" t="s">
        <v>643</v>
      </c>
      <c r="I28" s="57">
        <v>1</v>
      </c>
    </row>
    <row r="29" spans="1:27" x14ac:dyDescent="0.2">
      <c r="A29" s="58" t="s">
        <v>41</v>
      </c>
      <c r="B29" s="59">
        <v>0.6</v>
      </c>
      <c r="C29" t="s">
        <v>0</v>
      </c>
      <c r="D29" s="114" t="s">
        <v>644</v>
      </c>
      <c r="I29" s="57"/>
    </row>
    <row r="30" spans="1:27" x14ac:dyDescent="0.2">
      <c r="A30" s="212" t="s">
        <v>280</v>
      </c>
      <c r="B30" s="306">
        <f>22*1000/(Fsw/1000000)</f>
        <v>10476.190476190475</v>
      </c>
      <c r="C30" s="213" t="s">
        <v>116</v>
      </c>
      <c r="D30" s="114" t="s">
        <v>645</v>
      </c>
      <c r="I30" s="57"/>
    </row>
    <row r="31" spans="1:27" ht="13.5" thickBot="1" x14ac:dyDescent="0.25">
      <c r="A31" s="384"/>
      <c r="B31" s="384"/>
      <c r="C31" s="576"/>
      <c r="D31" s="384"/>
      <c r="E31" s="384"/>
      <c r="F31" s="384"/>
      <c r="G31" s="384"/>
      <c r="H31" s="384"/>
      <c r="I31" s="577"/>
    </row>
    <row r="33" spans="1:9" ht="16.5" thickBot="1" x14ac:dyDescent="0.3">
      <c r="A33" s="525" t="s">
        <v>721</v>
      </c>
      <c r="B33" s="2" t="s">
        <v>649</v>
      </c>
      <c r="D33" s="2" t="s">
        <v>650</v>
      </c>
    </row>
    <row r="34" spans="1:9" x14ac:dyDescent="0.2">
      <c r="A34" s="211" t="s">
        <v>14</v>
      </c>
      <c r="B34" s="289">
        <f>Vout/VIN_nom</f>
        <v>0.23809523809523808</v>
      </c>
      <c r="C34" s="579"/>
      <c r="D34" s="292"/>
      <c r="E34" s="292"/>
      <c r="F34" s="117" t="s">
        <v>293</v>
      </c>
      <c r="G34" s="63"/>
      <c r="H34" s="63"/>
      <c r="I34" s="64"/>
    </row>
    <row r="35" spans="1:9" x14ac:dyDescent="0.2">
      <c r="A35" s="212" t="s">
        <v>15</v>
      </c>
      <c r="B35" s="290">
        <f>1-34:34</f>
        <v>0.76190476190476186</v>
      </c>
      <c r="C35"/>
      <c r="F35" s="114" t="s">
        <v>294</v>
      </c>
      <c r="I35" s="57"/>
    </row>
    <row r="36" spans="1:9" x14ac:dyDescent="0.2">
      <c r="A36" s="114"/>
      <c r="C36"/>
      <c r="E36" s="114"/>
      <c r="I36" s="57"/>
    </row>
    <row r="37" spans="1:9" x14ac:dyDescent="0.2">
      <c r="A37" s="212" t="s">
        <v>723</v>
      </c>
      <c r="B37" s="300">
        <f>Vout/VIN_min</f>
        <v>0.25</v>
      </c>
      <c r="C37"/>
      <c r="D37" s="300">
        <f>Vout2/VIN_min</f>
        <v>1</v>
      </c>
      <c r="E37" s="114"/>
      <c r="I37" s="57"/>
    </row>
    <row r="38" spans="1:9" x14ac:dyDescent="0.2">
      <c r="A38" s="212" t="s">
        <v>724</v>
      </c>
      <c r="B38" s="300">
        <f>Vout/VIN_nom</f>
        <v>0.23809523809523808</v>
      </c>
      <c r="C38"/>
      <c r="D38" s="300">
        <f>Vout2/VIN_nom</f>
        <v>0.95238095238095233</v>
      </c>
      <c r="I38" s="57"/>
    </row>
    <row r="39" spans="1:9" x14ac:dyDescent="0.2">
      <c r="A39" s="212" t="s">
        <v>725</v>
      </c>
      <c r="B39" s="300">
        <f>Vout/VIN_max</f>
        <v>0.19230769230769232</v>
      </c>
      <c r="C39"/>
      <c r="D39" s="300">
        <f>Vout2/VIN_max</f>
        <v>0.76923076923076927</v>
      </c>
      <c r="E39" s="114"/>
      <c r="I39" s="57"/>
    </row>
    <row r="40" spans="1:9" x14ac:dyDescent="0.2">
      <c r="A40" s="114"/>
      <c r="B40" s="559"/>
      <c r="C40" s="114"/>
      <c r="E40" s="114"/>
      <c r="I40" s="57"/>
    </row>
    <row r="41" spans="1:9" x14ac:dyDescent="0.2">
      <c r="A41" s="114" t="s">
        <v>303</v>
      </c>
      <c r="B41" s="291">
        <f>(VIN_nom-Vout)*D1_Vinnom/(Fsw*(Iout/Number_of_Phases)*0.35)</f>
        <v>1.0366051182377713E-6</v>
      </c>
      <c r="C41" t="s">
        <v>19</v>
      </c>
      <c r="D41" s="291">
        <f>(VIN_nom-Vout2)*D2_Vinnom/(Fsw*Iout2*0.35)</f>
        <v>2.5915127955944284E-7</v>
      </c>
      <c r="E41" t="s">
        <v>19</v>
      </c>
      <c r="F41" s="114" t="s">
        <v>651</v>
      </c>
      <c r="I41" s="57"/>
    </row>
    <row r="42" spans="1:9" x14ac:dyDescent="0.2">
      <c r="A42" s="114" t="s">
        <v>647</v>
      </c>
      <c r="B42" s="291">
        <f>1000*Vout*Rs/24/Fsw</f>
        <v>9.9206349206349223E-7</v>
      </c>
      <c r="C42" t="s">
        <v>19</v>
      </c>
      <c r="D42" s="291">
        <f>1000*Vout2*Rs_Ch2/24/Fsw</f>
        <v>3.9682539682539689E-6</v>
      </c>
      <c r="E42" t="s">
        <v>19</v>
      </c>
      <c r="F42" s="114" t="s">
        <v>722</v>
      </c>
      <c r="I42" s="57"/>
    </row>
    <row r="43" spans="1:9" x14ac:dyDescent="0.2">
      <c r="A43" s="114"/>
      <c r="C43" s="114"/>
      <c r="E43" s="114"/>
      <c r="I43" s="57"/>
    </row>
    <row r="44" spans="1:9" x14ac:dyDescent="0.2">
      <c r="A44" s="212" t="s">
        <v>304</v>
      </c>
      <c r="B44" s="291">
        <f>B42</f>
        <v>9.9206349206349223E-7</v>
      </c>
      <c r="C44" t="s">
        <v>19</v>
      </c>
      <c r="D44" s="532">
        <f>D42</f>
        <v>3.9682539682539689E-6</v>
      </c>
      <c r="E44" s="114" t="s">
        <v>19</v>
      </c>
      <c r="F44" s="114" t="s">
        <v>550</v>
      </c>
      <c r="I44" s="57"/>
    </row>
    <row r="45" spans="1:9" x14ac:dyDescent="0.2">
      <c r="A45" s="212"/>
      <c r="C45"/>
      <c r="E45" s="114"/>
      <c r="I45" s="57"/>
    </row>
    <row r="46" spans="1:9" x14ac:dyDescent="0.2">
      <c r="A46" s="212" t="s">
        <v>669</v>
      </c>
      <c r="B46" s="72">
        <f>'Design Regulator'!E28/1000000</f>
        <v>2.2000000000000001E-6</v>
      </c>
      <c r="C46" t="s">
        <v>19</v>
      </c>
      <c r="D46" s="72">
        <f>'Design Regulator'!J28/1000000</f>
        <v>2.2000000000000001E-6</v>
      </c>
      <c r="E46" t="s">
        <v>19</v>
      </c>
      <c r="F46" s="114" t="s">
        <v>551</v>
      </c>
      <c r="I46" s="57"/>
    </row>
    <row r="47" spans="1:9" x14ac:dyDescent="0.2">
      <c r="A47" s="212" t="s">
        <v>11</v>
      </c>
      <c r="B47" s="29">
        <f>'Design Regulator'!E29/1000</f>
        <v>1.3500000000000001E-3</v>
      </c>
      <c r="C47" s="213" t="s">
        <v>116</v>
      </c>
      <c r="D47" s="29">
        <f>'Design Regulator'!J29/1000</f>
        <v>1.3500000000000001E-3</v>
      </c>
      <c r="E47" s="213" t="s">
        <v>116</v>
      </c>
      <c r="F47" s="114" t="s">
        <v>552</v>
      </c>
      <c r="I47" s="57"/>
    </row>
    <row r="48" spans="1:9" x14ac:dyDescent="0.2">
      <c r="A48" s="212"/>
      <c r="B48" s="114"/>
      <c r="C48" s="114"/>
      <c r="D48" s="114"/>
      <c r="E48" s="114"/>
      <c r="I48" s="57"/>
    </row>
    <row r="49" spans="1:9" x14ac:dyDescent="0.2">
      <c r="A49" s="212" t="s">
        <v>16</v>
      </c>
      <c r="B49" s="300">
        <f>(Vout+Iout*(Rdcr+Rs))/(Vin+Iout*Rs)</f>
        <v>0.24022565320665082</v>
      </c>
      <c r="C49"/>
      <c r="I49" s="57"/>
    </row>
    <row r="50" spans="1:9" x14ac:dyDescent="0.2">
      <c r="A50" s="212" t="s">
        <v>17</v>
      </c>
      <c r="B50" s="300">
        <f>1-_Don2</f>
        <v>0.75977434679334921</v>
      </c>
      <c r="C50"/>
      <c r="I50" s="57"/>
    </row>
    <row r="51" spans="1:9" x14ac:dyDescent="0.2">
      <c r="A51" s="212"/>
      <c r="C51"/>
      <c r="I51" s="57"/>
    </row>
    <row r="52" spans="1:9" x14ac:dyDescent="0.2">
      <c r="A52" s="212" t="s">
        <v>726</v>
      </c>
      <c r="B52" s="300">
        <f>CHOOSE(MODE, (Vout+Iout*(Rdcr+Rs))/(VIN_min+Iout*Rs), (Vout+Iout/Number_of_Phases*(Rdcr+Rs))/(VIN_min+Iout/Number_of_Phases*Rs))</f>
        <v>0.25220698254364088</v>
      </c>
      <c r="C52"/>
      <c r="D52" s="300">
        <f>(Vout2+Iout2*(Rdcr2+Rs_Ch2))/(VIN_min+Iout2*Rs_Ch2)</f>
        <v>1.0003366583541147</v>
      </c>
      <c r="F52" s="114" t="s">
        <v>652</v>
      </c>
      <c r="I52" s="57"/>
    </row>
    <row r="53" spans="1:9" ht="15.75" x14ac:dyDescent="0.3">
      <c r="A53" s="212" t="s">
        <v>727</v>
      </c>
      <c r="B53" s="300">
        <f>CHOOSE(MODE, (Vout+Iout*(Rdcr+Rs))/(VIN_nom+Iout*Rs), (Vout+Iout/Number_of_Phases*(Rdcr+Rs))/(VIN_nom+Iout/Number_of_Phases*Rs))</f>
        <v>0.24022565320665082</v>
      </c>
      <c r="C53"/>
      <c r="D53" s="300">
        <f>(Vout2+Iout2*(Rdcr2+Rs_Ch2))/(VIN_nom+Iout2*Rs_Ch2)</f>
        <v>0.95281472684085511</v>
      </c>
      <c r="F53" s="379" t="s">
        <v>428</v>
      </c>
      <c r="I53" s="57"/>
    </row>
    <row r="54" spans="1:9" x14ac:dyDescent="0.2">
      <c r="A54" s="212" t="s">
        <v>728</v>
      </c>
      <c r="B54" s="300">
        <f>CHOOSE(MODE, (Vout+Iout*(Rdcr+Rs))/(VIN_max+Iout*Rs), (Vout+Iout/Number_of_Phases*(Rdcr+Rs))/(VIN_max+Iout/Number_of_Phases*Rs))</f>
        <v>0.19411708253358925</v>
      </c>
      <c r="C54"/>
      <c r="D54" s="300">
        <f>(Vout2+Iout2*(Rdcr2+Rs_Ch2))/(VIN_max+Iout2*Rs_Ch2)</f>
        <v>0.76993282149712094</v>
      </c>
      <c r="I54" s="57"/>
    </row>
    <row r="55" spans="1:9" x14ac:dyDescent="0.2">
      <c r="A55" s="212"/>
      <c r="C55"/>
      <c r="I55" s="57"/>
    </row>
    <row r="56" spans="1:9" x14ac:dyDescent="0.2">
      <c r="A56" s="212" t="s">
        <v>300</v>
      </c>
      <c r="B56" s="521">
        <f>MAX(0, (VIN_min-Vout)*D1_Vinmin_2/(Fsw*Lf))</f>
        <v>0.81885383942740542</v>
      </c>
      <c r="C56" s="114" t="s">
        <v>1</v>
      </c>
      <c r="D56" s="521">
        <f>MAX(0.1, (VIN_min-Vout2)*D2_Vinmin_2/(Fsw*Lo_2))</f>
        <v>0.1</v>
      </c>
      <c r="E56" s="114" t="s">
        <v>1</v>
      </c>
      <c r="G56" s="30"/>
      <c r="I56" s="57"/>
    </row>
    <row r="57" spans="1:9" x14ac:dyDescent="0.2">
      <c r="A57" s="212" t="s">
        <v>301</v>
      </c>
      <c r="B57" s="521">
        <f>MAX(0, (VIN_nom-Vout)*D1_Vinnom_2/(Fsw*Lf))</f>
        <v>0.83195031413558718</v>
      </c>
      <c r="C57" s="114" t="s">
        <v>1</v>
      </c>
      <c r="D57" s="521">
        <f>MAX(0, (VIN_nom-Vout2)*D2_Vinnom_2/(Fsw*Lo_2))</f>
        <v>0.20623695386165694</v>
      </c>
      <c r="E57" s="114" t="s">
        <v>1</v>
      </c>
      <c r="I57" s="57"/>
    </row>
    <row r="58" spans="1:9" x14ac:dyDescent="0.2">
      <c r="A58" s="212" t="s">
        <v>302</v>
      </c>
      <c r="B58" s="521">
        <f>MAX(0, (VIN_max-Vout)*D1_Vinmax_2/(Fsw*Lf))</f>
        <v>0.88235037515267845</v>
      </c>
      <c r="C58" s="114" t="s">
        <v>1</v>
      </c>
      <c r="D58" s="521">
        <f>MAX(0, (VIN_max-Vout2)*D2_Vinmax_2/(Fsw*Lo_2))</f>
        <v>0.99991275519106615</v>
      </c>
      <c r="E58" s="114" t="s">
        <v>1</v>
      </c>
      <c r="I58" s="57"/>
    </row>
    <row r="59" spans="1:9" x14ac:dyDescent="0.2">
      <c r="A59" s="212"/>
      <c r="B59" s="578"/>
      <c r="D59" s="480"/>
      <c r="E59" s="114"/>
      <c r="I59" s="57"/>
    </row>
    <row r="60" spans="1:9" x14ac:dyDescent="0.2">
      <c r="A60" s="212" t="s">
        <v>567</v>
      </c>
      <c r="B60" s="580">
        <f>SQRT((Iout/Number_of_Phases)^2+(Iripple_Vinmin^2)/12)</f>
        <v>5.0055845613536567</v>
      </c>
      <c r="C60" s="114" t="s">
        <v>1</v>
      </c>
      <c r="D60" s="305">
        <f>SQRT(Iout2^2+(Iripple2_Vinmin^2)/12)</f>
        <v>5.0000833326389005</v>
      </c>
      <c r="E60" s="114" t="s">
        <v>1</v>
      </c>
      <c r="F60" s="360"/>
      <c r="I60" s="57"/>
    </row>
    <row r="61" spans="1:9" x14ac:dyDescent="0.2">
      <c r="A61" s="212" t="s">
        <v>568</v>
      </c>
      <c r="B61" s="580">
        <f>SQRT((Iout/Number_of_Phases)^2+(Iripple_Vinnom^2)/12)</f>
        <v>5.0057645214058821</v>
      </c>
      <c r="C61" s="114" t="s">
        <v>1</v>
      </c>
      <c r="D61" s="305">
        <f>SQRT(Iout2^2+(Iripple2_Vinnom^2)/12)</f>
        <v>5.0003544347804167</v>
      </c>
      <c r="E61" s="114" t="s">
        <v>1</v>
      </c>
      <c r="F61" s="360"/>
      <c r="I61" s="57"/>
    </row>
    <row r="62" spans="1:9" x14ac:dyDescent="0.2">
      <c r="A62" s="212" t="s">
        <v>569</v>
      </c>
      <c r="B62" s="580">
        <f>SQRT((Iout/Number_of_Phases)^2+(Iripple_Vinmax^2)/12)</f>
        <v>5.0064836477689276</v>
      </c>
      <c r="C62" s="114" t="s">
        <v>1</v>
      </c>
      <c r="D62" s="305">
        <f>SQRT(Iout2^2+(Iripple2_Vinmax^2)/12)</f>
        <v>5.0083249488392969</v>
      </c>
      <c r="E62" s="114" t="s">
        <v>1</v>
      </c>
      <c r="F62" s="360"/>
      <c r="I62" s="57"/>
    </row>
    <row r="63" spans="1:9" x14ac:dyDescent="0.2">
      <c r="A63" s="212" t="s">
        <v>570</v>
      </c>
      <c r="B63" s="581">
        <f>B61^2*Rs</f>
        <v>0.25057678443765857</v>
      </c>
      <c r="C63" s="114" t="s">
        <v>116</v>
      </c>
      <c r="D63" s="581">
        <f>D61^2*Rs</f>
        <v>0.2500354447342818</v>
      </c>
      <c r="E63" s="114" t="s">
        <v>116</v>
      </c>
      <c r="F63" s="395" t="s">
        <v>670</v>
      </c>
      <c r="I63" s="57"/>
    </row>
    <row r="64" spans="1:9" x14ac:dyDescent="0.2">
      <c r="A64" s="212"/>
      <c r="B64" s="114"/>
      <c r="C64" s="114"/>
      <c r="D64" s="114"/>
      <c r="I64" s="57"/>
    </row>
    <row r="65" spans="1:16" x14ac:dyDescent="0.2">
      <c r="A65" s="212" t="s">
        <v>310</v>
      </c>
      <c r="B65" s="301">
        <f>MAX(B56:B58)</f>
        <v>0.88235037515267845</v>
      </c>
      <c r="C65" s="395" t="s">
        <v>1</v>
      </c>
      <c r="D65" s="301">
        <f t="shared" ref="D65" si="0">MAX(D56:D58)</f>
        <v>0.99991275519106615</v>
      </c>
      <c r="E65" s="114" t="s">
        <v>1</v>
      </c>
      <c r="F65" s="114" t="s">
        <v>671</v>
      </c>
      <c r="I65" s="57"/>
    </row>
    <row r="66" spans="1:16" x14ac:dyDescent="0.2">
      <c r="A66" s="212"/>
      <c r="B66" s="114"/>
      <c r="C66" s="114"/>
      <c r="D66" s="114"/>
      <c r="F66" s="114"/>
      <c r="G66" s="294"/>
      <c r="I66" s="57"/>
    </row>
    <row r="67" spans="1:16" x14ac:dyDescent="0.2">
      <c r="B67" s="409">
        <f>B56/(Iout/Number_of_Phases)</f>
        <v>0.16377076788548109</v>
      </c>
      <c r="C67" s="583"/>
      <c r="D67" s="409">
        <f>D56/Iout2</f>
        <v>0.02</v>
      </c>
      <c r="F67" s="4"/>
      <c r="G67" s="410"/>
      <c r="I67" s="57"/>
    </row>
    <row r="68" spans="1:16" x14ac:dyDescent="0.2">
      <c r="A68" s="212" t="s">
        <v>775</v>
      </c>
      <c r="B68" s="409">
        <f>B57/(Iout/Number_of_Phases)</f>
        <v>0.16639006282711744</v>
      </c>
      <c r="C68"/>
      <c r="D68" s="409">
        <f>D57/Iout2</f>
        <v>4.1247390772331388E-2</v>
      </c>
      <c r="F68" s="4"/>
      <c r="G68" s="410"/>
      <c r="I68" s="57"/>
    </row>
    <row r="69" spans="1:16" x14ac:dyDescent="0.2">
      <c r="A69" s="212"/>
      <c r="B69" s="409">
        <f>B58/(Iout/Number_of_Phases)</f>
        <v>0.17647007503053569</v>
      </c>
      <c r="C69"/>
      <c r="D69" s="409">
        <f>D58/Iout2</f>
        <v>0.19998255103821322</v>
      </c>
      <c r="F69" s="4"/>
      <c r="G69" s="410"/>
      <c r="I69" s="57"/>
    </row>
    <row r="70" spans="1:16" x14ac:dyDescent="0.2">
      <c r="A70" s="212"/>
      <c r="C70"/>
      <c r="I70" s="57"/>
    </row>
    <row r="71" spans="1:16" x14ac:dyDescent="0.2">
      <c r="A71" s="114" t="s">
        <v>648</v>
      </c>
      <c r="B71" s="408">
        <v>100</v>
      </c>
      <c r="C71" s="114" t="s">
        <v>465</v>
      </c>
      <c r="D71" s="582">
        <v>100</v>
      </c>
      <c r="E71" s="114" t="s">
        <v>465</v>
      </c>
      <c r="I71" s="57"/>
    </row>
    <row r="72" spans="1:16" x14ac:dyDescent="0.2">
      <c r="A72" s="212" t="s">
        <v>216</v>
      </c>
      <c r="B72" s="390">
        <f>Rdcr*(1+0.0039*(B71-25))</f>
        <v>1.7448750000000001E-3</v>
      </c>
      <c r="C72" s="213" t="s">
        <v>116</v>
      </c>
      <c r="D72" s="307">
        <f>Rdcr2*(1+0.0039*(D71-25))</f>
        <v>1.7448750000000001E-3</v>
      </c>
      <c r="E72" s="213" t="s">
        <v>116</v>
      </c>
      <c r="I72" s="57"/>
    </row>
    <row r="73" spans="1:16" ht="13.5" thickBot="1" x14ac:dyDescent="0.25">
      <c r="A73" s="314"/>
      <c r="B73" s="315"/>
      <c r="C73" s="61"/>
      <c r="D73" s="61"/>
      <c r="E73" s="61"/>
      <c r="F73" s="61"/>
      <c r="G73" s="61"/>
      <c r="H73" s="61"/>
      <c r="I73" s="62"/>
    </row>
    <row r="74" spans="1:16" x14ac:dyDescent="0.2">
      <c r="A74" s="2"/>
      <c r="B74" s="1"/>
      <c r="C74" s="1"/>
    </row>
    <row r="75" spans="1:16" ht="16.5" thickBot="1" x14ac:dyDescent="0.3">
      <c r="A75" s="525" t="s">
        <v>390</v>
      </c>
      <c r="B75" s="1"/>
      <c r="C75" s="1"/>
    </row>
    <row r="76" spans="1:16" x14ac:dyDescent="0.2">
      <c r="A76" s="91"/>
      <c r="B76" s="63"/>
      <c r="C76" s="63"/>
      <c r="D76" s="63"/>
      <c r="E76" s="63"/>
      <c r="F76" s="63"/>
      <c r="G76" s="63"/>
      <c r="H76" s="63"/>
      <c r="I76" s="64"/>
    </row>
    <row r="77" spans="1:16" x14ac:dyDescent="0.2">
      <c r="A77" s="212" t="s">
        <v>309</v>
      </c>
      <c r="B77" s="29">
        <f>'Design Regulator'!E17</f>
        <v>6</v>
      </c>
      <c r="C77" t="s">
        <v>1</v>
      </c>
      <c r="D77" s="317">
        <f>'Design Regulator'!J17</f>
        <v>6</v>
      </c>
      <c r="E77" s="114" t="s">
        <v>1</v>
      </c>
      <c r="F77" s="114" t="s">
        <v>516</v>
      </c>
      <c r="I77" s="57"/>
      <c r="K77" s="114"/>
      <c r="N77" s="114"/>
    </row>
    <row r="78" spans="1:16" x14ac:dyDescent="0.2">
      <c r="A78" s="212"/>
      <c r="C78"/>
      <c r="I78" s="57"/>
      <c r="K78" s="114"/>
      <c r="L78" s="114"/>
    </row>
    <row r="79" spans="1:16" x14ac:dyDescent="0.2">
      <c r="A79" s="212" t="s">
        <v>314</v>
      </c>
      <c r="B79" s="305">
        <f>CHOOSE(MODE, Ilimit_DC+Iripple_Vinmin/2, Ilimit_DC/Number_of_Phases+Iripple_Vinmin/2)</f>
        <v>6.4094269197137024</v>
      </c>
      <c r="C79" t="s">
        <v>1</v>
      </c>
      <c r="D79" s="305">
        <f>Ilimit2_DC+Iripple2_Vinmin/2</f>
        <v>6.05</v>
      </c>
      <c r="E79" s="114" t="s">
        <v>1</v>
      </c>
      <c r="F79" s="114" t="s">
        <v>654</v>
      </c>
      <c r="I79" s="57"/>
      <c r="K79" s="4"/>
      <c r="L79" s="4"/>
      <c r="N79" s="311"/>
      <c r="P79" s="311"/>
    </row>
    <row r="80" spans="1:16" x14ac:dyDescent="0.2">
      <c r="A80" s="212" t="s">
        <v>316</v>
      </c>
      <c r="B80" s="305">
        <f>CHOOSE(MODE, Ilimit_DC+Iripple_Vinnom/2, Ilimit_DC/Number_of_Phases+Iripple_Vinnom/2)</f>
        <v>6.4159751570677939</v>
      </c>
      <c r="C80" t="s">
        <v>1</v>
      </c>
      <c r="D80" s="305">
        <f>Ilimit2_DC+Iripple2_Vinnom/2</f>
        <v>6.1031184769308284</v>
      </c>
      <c r="E80" s="114" t="s">
        <v>1</v>
      </c>
      <c r="I80" s="57"/>
      <c r="K80" s="4"/>
      <c r="L80" s="4"/>
      <c r="N80" s="311"/>
      <c r="P80" s="311"/>
    </row>
    <row r="81" spans="1:16" x14ac:dyDescent="0.2">
      <c r="A81" s="212" t="s">
        <v>315</v>
      </c>
      <c r="B81" s="305">
        <f>CHOOSE(MODE, Ilimit_DC+Iripple_Vinmax/2, Ilimit_DC/Number_of_Phases+Iripple_Vinmax/2)</f>
        <v>6.4411751875763397</v>
      </c>
      <c r="C81" t="s">
        <v>1</v>
      </c>
      <c r="D81" s="305">
        <f>Ilimit2_DC+Iripple2_Vinmax/2</f>
        <v>6.4999563775955327</v>
      </c>
      <c r="E81" s="114" t="s">
        <v>1</v>
      </c>
      <c r="I81" s="57"/>
      <c r="K81" s="4"/>
      <c r="L81" s="4"/>
      <c r="N81" s="311"/>
      <c r="P81" s="311"/>
    </row>
    <row r="82" spans="1:16" x14ac:dyDescent="0.2">
      <c r="A82" s="212"/>
      <c r="B82" s="4"/>
      <c r="C82" s="114"/>
      <c r="D82" s="114"/>
      <c r="I82" s="57"/>
    </row>
    <row r="83" spans="1:16" x14ac:dyDescent="0.2">
      <c r="I83" s="57"/>
    </row>
    <row r="84" spans="1:16" x14ac:dyDescent="0.2">
      <c r="A84" s="212" t="s">
        <v>656</v>
      </c>
      <c r="B84" s="481">
        <v>6.6000000000000003E-2</v>
      </c>
      <c r="C84" s="114" t="s">
        <v>0</v>
      </c>
      <c r="E84" s="114"/>
      <c r="I84" s="57"/>
    </row>
    <row r="85" spans="1:16" x14ac:dyDescent="0.2">
      <c r="A85" s="212" t="s">
        <v>655</v>
      </c>
      <c r="B85" s="481">
        <v>7.2999999999999995E-2</v>
      </c>
      <c r="C85" s="114" t="s">
        <v>0</v>
      </c>
      <c r="E85" s="114"/>
      <c r="F85" s="2"/>
      <c r="I85" s="57"/>
    </row>
    <row r="86" spans="1:16" x14ac:dyDescent="0.2">
      <c r="A86" s="212" t="s">
        <v>657</v>
      </c>
      <c r="B86" s="481">
        <v>0.08</v>
      </c>
      <c r="C86" s="114" t="s">
        <v>0</v>
      </c>
      <c r="E86" s="114"/>
      <c r="I86" s="57"/>
    </row>
    <row r="87" spans="1:16" x14ac:dyDescent="0.2">
      <c r="A87" s="212"/>
      <c r="B87" s="360"/>
      <c r="C87" s="114"/>
      <c r="E87" s="114"/>
      <c r="F87">
        <f>SENSING_TYPE</f>
        <v>1</v>
      </c>
      <c r="I87" s="57"/>
    </row>
    <row r="88" spans="1:16" x14ac:dyDescent="0.2">
      <c r="A88" s="212" t="s">
        <v>553</v>
      </c>
      <c r="B88" s="307">
        <f>Buck_CS_threshold/B79</f>
        <v>1.1389473803885851E-2</v>
      </c>
      <c r="C88" s="213" t="s">
        <v>116</v>
      </c>
      <c r="D88" s="307">
        <f>Buck_CS_threshold/D79</f>
        <v>1.2066115702479339E-2</v>
      </c>
      <c r="E88" s="213" t="s">
        <v>116</v>
      </c>
      <c r="I88" s="57"/>
    </row>
    <row r="89" spans="1:16" x14ac:dyDescent="0.2">
      <c r="A89" s="212" t="s">
        <v>554</v>
      </c>
      <c r="B89" s="307">
        <f>Buck_CS_threshold/B80</f>
        <v>1.1377849541637283E-2</v>
      </c>
      <c r="C89" s="213" t="s">
        <v>116</v>
      </c>
      <c r="D89" s="307">
        <f>Buck_CS_threshold/D80</f>
        <v>1.196109829359083E-2</v>
      </c>
      <c r="E89" s="213" t="s">
        <v>116</v>
      </c>
      <c r="I89" s="57"/>
    </row>
    <row r="90" spans="1:16" x14ac:dyDescent="0.2">
      <c r="A90" s="212" t="s">
        <v>555</v>
      </c>
      <c r="B90" s="307">
        <f>Buck_CS_threshold/B81</f>
        <v>1.1333335590809812E-2</v>
      </c>
      <c r="C90" s="213" t="s">
        <v>116</v>
      </c>
      <c r="D90" s="307">
        <f>Buck_CS_threshold/D81</f>
        <v>1.1230844602530116E-2</v>
      </c>
      <c r="E90" s="213" t="s">
        <v>116</v>
      </c>
      <c r="I90" s="57"/>
    </row>
    <row r="91" spans="1:16" x14ac:dyDescent="0.2">
      <c r="A91" s="212"/>
      <c r="B91" s="30"/>
      <c r="C91" s="213"/>
      <c r="E91" s="213"/>
      <c r="I91" s="57"/>
    </row>
    <row r="92" spans="1:16" x14ac:dyDescent="0.2">
      <c r="A92" s="212" t="s">
        <v>313</v>
      </c>
      <c r="B92" s="308">
        <f>B89</f>
        <v>1.1377849541637283E-2</v>
      </c>
      <c r="C92" s="213" t="s">
        <v>116</v>
      </c>
      <c r="D92" s="307">
        <f>D89</f>
        <v>1.196109829359083E-2</v>
      </c>
      <c r="E92" s="213" t="s">
        <v>116</v>
      </c>
      <c r="F92" s="114" t="s">
        <v>658</v>
      </c>
      <c r="I92" s="57"/>
    </row>
    <row r="93" spans="1:16" x14ac:dyDescent="0.2">
      <c r="A93" s="212" t="s">
        <v>167</v>
      </c>
      <c r="B93" s="664">
        <f>CHOOSE(SENSING_TYPE, 'Design Regulator'!E19/1000, Rdcr)</f>
        <v>0.01</v>
      </c>
      <c r="C93" s="213" t="s">
        <v>116</v>
      </c>
      <c r="D93" s="584">
        <f>CHOOSE(SENSING_TYPE, 'Design Regulator'!J19/1000, Rdcr2)</f>
        <v>0.01</v>
      </c>
      <c r="E93" s="213" t="s">
        <v>116</v>
      </c>
      <c r="F93" s="114" t="s">
        <v>317</v>
      </c>
      <c r="I93" s="57"/>
      <c r="K93" s="114"/>
      <c r="L93" s="114"/>
    </row>
    <row r="94" spans="1:16" x14ac:dyDescent="0.2">
      <c r="A94" s="212"/>
      <c r="B94" s="411"/>
      <c r="C94" s="213"/>
      <c r="E94" s="213"/>
      <c r="I94" s="57"/>
      <c r="K94" s="114"/>
      <c r="L94" s="114"/>
    </row>
    <row r="95" spans="1:16" x14ac:dyDescent="0.2">
      <c r="A95" s="212" t="s">
        <v>659</v>
      </c>
      <c r="B95" s="305">
        <f>Buck_CS_threshold/Rs</f>
        <v>7.3</v>
      </c>
      <c r="C95" s="114" t="s">
        <v>1</v>
      </c>
      <c r="D95" s="305">
        <f>Buck_CS_threshold/Rs_Ch2</f>
        <v>7.3</v>
      </c>
      <c r="E95" s="114" t="s">
        <v>1</v>
      </c>
      <c r="F95" s="114" t="s">
        <v>660</v>
      </c>
      <c r="I95" s="57"/>
    </row>
    <row r="96" spans="1:16" x14ac:dyDescent="0.2">
      <c r="A96" s="212"/>
      <c r="E96" s="2"/>
      <c r="I96" s="57"/>
    </row>
    <row r="97" spans="1:12" ht="15.75" x14ac:dyDescent="0.3">
      <c r="A97" s="212" t="s">
        <v>429</v>
      </c>
      <c r="B97" s="312">
        <f>Number_of_Phases*(Buck_CS_threshold/Rs-Iripple_Vinmin/2)</f>
        <v>6.8905730802862974</v>
      </c>
      <c r="C97" t="s">
        <v>1</v>
      </c>
      <c r="D97" s="312">
        <f>Buck_CS_threshold/Rs_Ch2-Iripple2_Vinmin/2</f>
        <v>7.25</v>
      </c>
      <c r="E97" t="s">
        <v>1</v>
      </c>
      <c r="F97" s="114" t="s">
        <v>431</v>
      </c>
      <c r="I97" s="57"/>
    </row>
    <row r="98" spans="1:12" x14ac:dyDescent="0.2">
      <c r="A98" s="212" t="s">
        <v>459</v>
      </c>
      <c r="B98" s="312">
        <f>Number_of_Phases*(Buck_CS_threshold/Rs-Iripple_Vinnom/2)</f>
        <v>6.884024842932206</v>
      </c>
      <c r="C98" t="s">
        <v>1</v>
      </c>
      <c r="D98" s="312">
        <f>Buck_CS_threshold/Rs_Ch2-Iripple2_Vinnom/2</f>
        <v>7.1968815230691714</v>
      </c>
      <c r="E98" t="s">
        <v>1</v>
      </c>
      <c r="I98" s="57"/>
    </row>
    <row r="99" spans="1:12" x14ac:dyDescent="0.2">
      <c r="A99" s="212" t="s">
        <v>430</v>
      </c>
      <c r="B99" s="312">
        <f>Number_of_Phases*(Buck_CS_threshold/Rs-Iripple_Vinmax/2)</f>
        <v>6.858824812423661</v>
      </c>
      <c r="C99" t="s">
        <v>1</v>
      </c>
      <c r="D99" s="312">
        <f>Buck_CS_threshold/Rs_Ch2-Iripple2_Vinmax/2</f>
        <v>6.8000436224044671</v>
      </c>
      <c r="E99" t="s">
        <v>1</v>
      </c>
      <c r="I99" s="57"/>
    </row>
    <row r="100" spans="1:12" x14ac:dyDescent="0.2">
      <c r="A100" s="212"/>
      <c r="B100" s="48"/>
      <c r="C100"/>
      <c r="D100" s="48"/>
      <c r="I100" s="57"/>
    </row>
    <row r="101" spans="1:12" x14ac:dyDescent="0.2">
      <c r="A101" s="212" t="s">
        <v>664</v>
      </c>
      <c r="B101" s="520">
        <f>SQRT((Iout_OCP_Vinmin/Number_of_Phases)^2+(Iripple_Vinmin^2)/12)</f>
        <v>6.8946264710735612</v>
      </c>
      <c r="C101" t="s">
        <v>1</v>
      </c>
      <c r="D101" s="520">
        <f>SQRT(Iout2_OCP_Vinmin^2+(Iripple2_Vinmin^2)/12)</f>
        <v>7.2500574710365804</v>
      </c>
      <c r="E101" t="s">
        <v>1</v>
      </c>
      <c r="I101" s="57"/>
    </row>
    <row r="102" spans="1:12" x14ac:dyDescent="0.2">
      <c r="A102" s="212" t="s">
        <v>665</v>
      </c>
      <c r="B102" s="520">
        <f>SQRT((Iout_OCP_Vinnom/Number_of_Phases)^2+(Iripple_Vinnom^2)/12)</f>
        <v>6.8882128656040855</v>
      </c>
      <c r="C102" t="s">
        <v>1</v>
      </c>
      <c r="D102" s="520">
        <f>SQRT(Iout2_OCP_Vinnom^2+(Iripple2_Vinnom^2)/12)</f>
        <v>7.1971277695010123</v>
      </c>
      <c r="E102" t="s">
        <v>1</v>
      </c>
      <c r="I102" s="57"/>
    </row>
    <row r="103" spans="1:12" x14ac:dyDescent="0.2">
      <c r="A103" s="212" t="s">
        <v>666</v>
      </c>
      <c r="B103" s="520">
        <f>SQRT((Iout_OCP_Vinmax/Number_of_Phases)^2+(Iripple_Vinmax^2)/12)</f>
        <v>6.8635527478774536</v>
      </c>
      <c r="C103" t="s">
        <v>1</v>
      </c>
      <c r="D103" s="520">
        <f>SQRT(Iout2_OCP_Vinmax^2+(Iripple2_Vinmax^2)/12)</f>
        <v>6.8061672077440045</v>
      </c>
      <c r="E103" t="s">
        <v>1</v>
      </c>
      <c r="I103" s="57"/>
    </row>
    <row r="104" spans="1:12" x14ac:dyDescent="0.2">
      <c r="A104" s="212"/>
      <c r="B104" s="48"/>
      <c r="C104"/>
      <c r="D104" s="48"/>
      <c r="I104" s="57"/>
    </row>
    <row r="105" spans="1:12" x14ac:dyDescent="0.2">
      <c r="A105" s="212" t="s">
        <v>661</v>
      </c>
      <c r="B105" s="520">
        <f>B101^2*Rs</f>
        <v>0.47535874175628268</v>
      </c>
      <c r="C105" s="114" t="s">
        <v>116</v>
      </c>
      <c r="D105" s="520">
        <f>D101^2*Rs_Ch2</f>
        <v>0.52563333333333329</v>
      </c>
      <c r="E105" s="114" t="s">
        <v>116</v>
      </c>
      <c r="F105" s="114" t="s">
        <v>667</v>
      </c>
      <c r="I105" s="57"/>
    </row>
    <row r="106" spans="1:12" x14ac:dyDescent="0.2">
      <c r="A106" s="212" t="s">
        <v>662</v>
      </c>
      <c r="B106" s="520">
        <f>B102^2*Rs</f>
        <v>0.47447476481873652</v>
      </c>
      <c r="C106" t="s">
        <v>116</v>
      </c>
      <c r="D106" s="520">
        <f>D102^2*Rs_Ch2</f>
        <v>0.51798648130522618</v>
      </c>
      <c r="E106" t="s">
        <v>116</v>
      </c>
      <c r="I106" s="57"/>
    </row>
    <row r="107" spans="1:12" x14ac:dyDescent="0.2">
      <c r="A107" s="212" t="s">
        <v>663</v>
      </c>
      <c r="B107" s="520">
        <f>B103^2*Rs</f>
        <v>0.47108356322896144</v>
      </c>
      <c r="C107" t="s">
        <v>116</v>
      </c>
      <c r="D107" s="520">
        <f>D103^2*Rs_Ch2</f>
        <v>0.46323912059769817</v>
      </c>
      <c r="E107" t="s">
        <v>116</v>
      </c>
      <c r="I107" s="57"/>
    </row>
    <row r="108" spans="1:12" ht="13.5" thickBot="1" x14ac:dyDescent="0.25">
      <c r="A108" s="60"/>
      <c r="B108" s="61"/>
      <c r="C108" s="61"/>
      <c r="D108" s="61"/>
      <c r="E108" s="118"/>
      <c r="F108" s="61"/>
      <c r="G108" s="61"/>
      <c r="H108" s="61"/>
      <c r="I108" s="62"/>
    </row>
    <row r="110" spans="1:12" ht="16.5" thickBot="1" x14ac:dyDescent="0.3">
      <c r="A110" s="534" t="s">
        <v>139</v>
      </c>
      <c r="D110" s="2"/>
    </row>
    <row r="111" spans="1:12" x14ac:dyDescent="0.2">
      <c r="A111" s="211" t="s">
        <v>320</v>
      </c>
      <c r="B111" s="589">
        <f>Iripple_Vinmin/SQRT(12)</f>
        <v>0.23638274231018558</v>
      </c>
      <c r="C111" s="313" t="s">
        <v>1</v>
      </c>
      <c r="D111" s="589">
        <f>Iripple2_Vinmin/SQRT(12)</f>
        <v>2.8867513459481291E-2</v>
      </c>
      <c r="E111" s="313" t="s">
        <v>1</v>
      </c>
      <c r="F111" s="117" t="s">
        <v>319</v>
      </c>
      <c r="G111" s="63"/>
      <c r="H111" s="63"/>
      <c r="I111" s="64"/>
      <c r="L111" s="4"/>
    </row>
    <row r="112" spans="1:12" x14ac:dyDescent="0.2">
      <c r="A112" s="212" t="s">
        <v>321</v>
      </c>
      <c r="B112" s="520">
        <f>Iripple_Vinnom/SQRT(12)</f>
        <v>0.24016336890928749</v>
      </c>
      <c r="C112" s="114" t="s">
        <v>1</v>
      </c>
      <c r="D112" s="520">
        <f>Iripple2_Vinnom/SQRT(12)</f>
        <v>5.9535480414438034E-2</v>
      </c>
      <c r="E112" s="114" t="s">
        <v>1</v>
      </c>
      <c r="F112" s="114"/>
      <c r="I112" s="57"/>
      <c r="L112" s="4"/>
    </row>
    <row r="113" spans="1:12" x14ac:dyDescent="0.2">
      <c r="A113" s="212" t="s">
        <v>322</v>
      </c>
      <c r="B113" s="520">
        <f>Iripple_Vinmax/SQRT(12)</f>
        <v>0.25471261330698308</v>
      </c>
      <c r="C113" s="114" t="s">
        <v>1</v>
      </c>
      <c r="D113" s="520">
        <f>Iripple2_Vinmax/SQRT(12)</f>
        <v>0.2886499491878512</v>
      </c>
      <c r="E113" s="114" t="s">
        <v>1</v>
      </c>
      <c r="F113" s="114"/>
      <c r="I113" s="57"/>
      <c r="L113" s="4"/>
    </row>
    <row r="114" spans="1:12" x14ac:dyDescent="0.2">
      <c r="A114" s="212" t="s">
        <v>558</v>
      </c>
      <c r="B114" s="520">
        <f>MAX(B111:B113)</f>
        <v>0.25471261330698308</v>
      </c>
      <c r="C114" s="114" t="s">
        <v>1</v>
      </c>
      <c r="D114" s="520">
        <f>MAX(D111:D113)</f>
        <v>0.2886499491878512</v>
      </c>
      <c r="E114" s="114" t="s">
        <v>1</v>
      </c>
      <c r="F114" s="114"/>
      <c r="I114" s="57"/>
      <c r="L114" s="4"/>
    </row>
    <row r="115" spans="1:12" x14ac:dyDescent="0.2">
      <c r="A115" s="212"/>
      <c r="B115" s="48"/>
      <c r="C115" s="114"/>
      <c r="F115" s="114"/>
      <c r="I115" s="57"/>
      <c r="L115" s="4"/>
    </row>
    <row r="116" spans="1:12" x14ac:dyDescent="0.2">
      <c r="A116" s="212" t="s">
        <v>21</v>
      </c>
      <c r="B116" s="413">
        <f>'Design Regulator'!E33/1000</f>
        <v>0.05</v>
      </c>
      <c r="C116" t="s">
        <v>0</v>
      </c>
      <c r="D116" s="317">
        <f>'Design Regulator'!J33/1000</f>
        <v>0.05</v>
      </c>
      <c r="E116" t="s">
        <v>0</v>
      </c>
      <c r="F116" s="114" t="s">
        <v>432</v>
      </c>
      <c r="I116" s="57"/>
    </row>
    <row r="117" spans="1:12" x14ac:dyDescent="0.2">
      <c r="A117" s="212"/>
      <c r="B117" s="114"/>
      <c r="C117"/>
      <c r="F117" s="114"/>
      <c r="I117" s="57"/>
    </row>
    <row r="118" spans="1:12" x14ac:dyDescent="0.2">
      <c r="A118" s="212" t="s">
        <v>415</v>
      </c>
      <c r="B118" s="412">
        <f>Vo1_ripple*1000</f>
        <v>50</v>
      </c>
      <c r="C118" s="114" t="s">
        <v>292</v>
      </c>
      <c r="D118" s="310">
        <f>Vo2_ripple*1000</f>
        <v>50</v>
      </c>
      <c r="E118" s="114" t="s">
        <v>292</v>
      </c>
      <c r="F118" s="114" t="s">
        <v>433</v>
      </c>
      <c r="I118" s="57"/>
      <c r="L118" s="4"/>
    </row>
    <row r="119" spans="1:12" x14ac:dyDescent="0.2">
      <c r="A119" s="56"/>
      <c r="B119" s="114"/>
      <c r="F119" s="114"/>
      <c r="I119" s="57"/>
    </row>
    <row r="120" spans="1:12" x14ac:dyDescent="0.2">
      <c r="A120" s="66" t="s">
        <v>22</v>
      </c>
      <c r="B120" s="422">
        <f>Iripple_Vinnom/(Fsw*8*Vo1_ripple)</f>
        <v>9.9041704063760369E-7</v>
      </c>
      <c r="C120" t="s">
        <v>24</v>
      </c>
      <c r="D120" s="422">
        <f>Iripple2_Vinnom/(Fsw*8*Vo2_ripple)</f>
        <v>2.455201831686392E-7</v>
      </c>
      <c r="E120" t="s">
        <v>24</v>
      </c>
      <c r="F120" s="114" t="s">
        <v>813</v>
      </c>
      <c r="H120">
        <f>Vo2_ripple</f>
        <v>0.05</v>
      </c>
      <c r="I120" s="57">
        <v>1</v>
      </c>
      <c r="K120" s="1"/>
    </row>
    <row r="121" spans="1:12" x14ac:dyDescent="0.2">
      <c r="A121" s="212" t="s">
        <v>564</v>
      </c>
      <c r="B121" s="478">
        <f>IF(Cout_min*1000000&lt;2, 2.2,Cout_min*1000000)</f>
        <v>2.2000000000000002</v>
      </c>
      <c r="C121" s="42" t="s">
        <v>23</v>
      </c>
      <c r="D121" s="478">
        <f>IF(Cout2_min*1000000&lt;2, 2.2,Cout2_min*1000000)</f>
        <v>2.2000000000000002</v>
      </c>
      <c r="E121" s="42" t="s">
        <v>23</v>
      </c>
      <c r="I121" s="57"/>
      <c r="K121" s="1"/>
    </row>
    <row r="122" spans="1:12" x14ac:dyDescent="0.2">
      <c r="A122" s="212" t="s">
        <v>25</v>
      </c>
      <c r="B122" s="423">
        <f>'Design Regulator'!E35/1000000</f>
        <v>4.6999999999999999E-6</v>
      </c>
      <c r="C122" t="s">
        <v>24</v>
      </c>
      <c r="D122" s="423">
        <f>'Design Regulator'!J35/1000000</f>
        <v>4.6999999999999999E-6</v>
      </c>
      <c r="E122" t="s">
        <v>24</v>
      </c>
      <c r="F122" s="114" t="s">
        <v>812</v>
      </c>
      <c r="I122" s="57">
        <v>1</v>
      </c>
    </row>
    <row r="123" spans="1:12" x14ac:dyDescent="0.2">
      <c r="A123" s="66" t="s">
        <v>48</v>
      </c>
      <c r="B123" s="479">
        <f>SQRT((Vo1_ripple/Iripple_Vinnom)^2-(1/(Fsw*Cout*8))^2)</f>
        <v>5.8750199865649708E-2</v>
      </c>
      <c r="C123" s="213" t="s">
        <v>116</v>
      </c>
      <c r="D123" s="479">
        <f>SQRT((Vo2_ripple/Iripple2_Vinnom)^2-(1/(Fsw*Cout2*8))^2)</f>
        <v>0.24210856184773635</v>
      </c>
      <c r="E123" s="213" t="s">
        <v>116</v>
      </c>
      <c r="F123" s="114" t="s">
        <v>239</v>
      </c>
      <c r="I123" s="57">
        <v>1</v>
      </c>
    </row>
    <row r="124" spans="1:12" x14ac:dyDescent="0.2">
      <c r="A124" s="2"/>
      <c r="B124" s="523"/>
      <c r="C124" s="213"/>
      <c r="D124" s="523"/>
      <c r="E124" s="213"/>
      <c r="F124" s="114"/>
      <c r="I124" s="57"/>
    </row>
    <row r="125" spans="1:12" x14ac:dyDescent="0.2">
      <c r="A125" s="476" t="s">
        <v>514</v>
      </c>
      <c r="B125" s="477">
        <f>IF(OR(CoutEsrMax&gt;0.3, CoutEsrMax&lt;0, (ISERROR(CoutEsrMax))), "N/A", CoutEsrMax*1000)</f>
        <v>58.750199865649705</v>
      </c>
      <c r="C125" s="45" t="s">
        <v>318</v>
      </c>
      <c r="D125" s="477">
        <f>IF(OR(Cout2EsrMax&gt;0.3, Cout2EsrMax&lt;0, (ISERROR(Cout2EsrMax))), "N/A", Cout2EsrMax*1000)</f>
        <v>242.10856184773635</v>
      </c>
      <c r="E125" s="45" t="s">
        <v>318</v>
      </c>
      <c r="F125" s="114"/>
      <c r="I125" s="57"/>
    </row>
    <row r="126" spans="1:12" x14ac:dyDescent="0.2">
      <c r="A126" s="212" t="s">
        <v>137</v>
      </c>
      <c r="B126" s="413">
        <f>'Design Regulator'!E37/1000</f>
        <v>2E-3</v>
      </c>
      <c r="C126" s="213" t="s">
        <v>116</v>
      </c>
      <c r="D126" s="413">
        <f>'Design Regulator'!J37/1000</f>
        <v>2E-3</v>
      </c>
      <c r="E126" s="213" t="s">
        <v>116</v>
      </c>
      <c r="F126" s="114" t="s">
        <v>240</v>
      </c>
      <c r="I126" s="57">
        <v>1</v>
      </c>
      <c r="K126" t="b">
        <f>ISERROR(CoutEsrMax)</f>
        <v>0</v>
      </c>
      <c r="L126" t="b">
        <f>ISERROR(B125)</f>
        <v>0</v>
      </c>
    </row>
    <row r="127" spans="1:12" ht="13.5" thickBot="1" x14ac:dyDescent="0.25">
      <c r="A127" s="381" t="s">
        <v>194</v>
      </c>
      <c r="B127" s="414">
        <f>Iripple_Vinnom*SQRT(Cout_ESR^2+(1/(8*Fsw*Cout))^2)</f>
        <v>1.0666924024810166E-2</v>
      </c>
      <c r="C127" s="105" t="s">
        <v>39</v>
      </c>
      <c r="D127" s="414">
        <f>Iripple2_Vinnom*SQRT(Cout2_ESR^2+(1/(8*Fsw*Cout2))^2)</f>
        <v>2.6442852182060033E-3</v>
      </c>
      <c r="E127" s="105" t="s">
        <v>39</v>
      </c>
      <c r="F127" s="61"/>
      <c r="G127" s="61"/>
      <c r="H127" s="61"/>
      <c r="I127" s="62"/>
      <c r="L127" t="b">
        <f>OR(CoutEsrMax&gt;0.3,CoutEsrMax&lt;0)</f>
        <v>0</v>
      </c>
    </row>
    <row r="128" spans="1:12" x14ac:dyDescent="0.2">
      <c r="K128" t="b">
        <f>OR(TRUE, FALSE, TRUE)</f>
        <v>1</v>
      </c>
    </row>
    <row r="129" spans="1:16" ht="16.5" thickBot="1" x14ac:dyDescent="0.3">
      <c r="A129" s="534" t="s">
        <v>140</v>
      </c>
    </row>
    <row r="130" spans="1:16" ht="15.75" x14ac:dyDescent="0.25">
      <c r="A130" s="95"/>
      <c r="B130" s="96"/>
      <c r="C130" s="316"/>
      <c r="D130" s="96"/>
      <c r="E130" s="96"/>
      <c r="F130" s="96"/>
      <c r="G130" s="96"/>
      <c r="H130" s="96"/>
      <c r="I130" s="97"/>
      <c r="K130" s="2" t="s">
        <v>836</v>
      </c>
    </row>
    <row r="131" spans="1:16" x14ac:dyDescent="0.2">
      <c r="A131" s="212" t="s">
        <v>556</v>
      </c>
      <c r="B131" s="112">
        <f>SQRT(D1_Vinmin_2*(Iout^2*(1-D1_Vinmin_2)+Iripple_Vinmin^2/12))</f>
        <v>2.1746397475987678</v>
      </c>
      <c r="C131" s="93" t="s">
        <v>1</v>
      </c>
      <c r="D131" s="112" t="e">
        <f>SQRT(D2_Vinmin_2*(Iout2^2*(1-D2_Vinmin_2)+Iripple2_Vinmin^2/12))</f>
        <v>#NUM!</v>
      </c>
      <c r="E131" s="93" t="s">
        <v>1</v>
      </c>
      <c r="F131" s="2" t="s">
        <v>837</v>
      </c>
      <c r="G131" s="360"/>
      <c r="H131" s="116"/>
      <c r="I131" s="99"/>
      <c r="K131" s="656" t="e">
        <f>SQRT(Iout^2*D1_Vinmin*(1-D1_Vinmin)+Iout2^2*D2_Vinmin*(1-D2_Vinmin)-2*Iout*Iout2*D1_Vinmin*D2_Vinmin)</f>
        <v>#NUM!</v>
      </c>
      <c r="L131" s="93" t="s">
        <v>1</v>
      </c>
      <c r="M131" s="305">
        <f>SQRT(Iout^2*D1_Vinmin*(1-D1_Vinmin)+Iout2^2*D2_Vinmin*(1-D2_Vinmin)-2*Iout*Iout2*(0.5-D2_Vinmin*(1-D1_Vinmin)))</f>
        <v>4.1457809879442502</v>
      </c>
      <c r="N131" t="s">
        <v>1</v>
      </c>
    </row>
    <row r="132" spans="1:16" x14ac:dyDescent="0.2">
      <c r="A132" s="212" t="s">
        <v>557</v>
      </c>
      <c r="B132" s="112">
        <f>SQRT(D1_Vinnom_2*(Iout^2*(1-D1_Vinnom_2)+Iripple_Vinnom^2/12))</f>
        <v>2.139342903915082</v>
      </c>
      <c r="C132" s="93" t="s">
        <v>1</v>
      </c>
      <c r="D132" s="112">
        <f>SQRT(D2_Vinnom_2*(Iout2^2*(1-D2_Vinnom_2)+Iripple2_Vinnom^2/12))</f>
        <v>1.0617663610146577</v>
      </c>
      <c r="E132" s="93" t="s">
        <v>1</v>
      </c>
      <c r="G132" s="360"/>
      <c r="I132" s="99"/>
      <c r="K132" s="305" t="e">
        <f>SQRT(Iout^2*D1_Vinnom*(1-D1_Vinnom)+Iout2^2*D2_Vinnom*(1-D2_Vinnom)-2*Iout*Iout2*D1_Vinnom*D2_Vinnom)</f>
        <v>#NUM!</v>
      </c>
      <c r="L132" s="93" t="s">
        <v>1</v>
      </c>
    </row>
    <row r="133" spans="1:16" x14ac:dyDescent="0.2">
      <c r="A133" s="212" t="s">
        <v>835</v>
      </c>
      <c r="B133" s="112">
        <f>SQRT(D1_Vinmax_2*(Iout^2*(1-D1_Vinmax_2)+Iripple_Vinmax^2/12))</f>
        <v>1.9807788993676574</v>
      </c>
      <c r="C133" s="93" t="s">
        <v>1</v>
      </c>
      <c r="D133" s="112">
        <f>SQRT(D2_Vinmax_2*(Iout2^2*(1-D2_Vinmax_2)+Iripple2_Vinmax^2/12))</f>
        <v>2.1195652078837384</v>
      </c>
      <c r="E133" s="93" t="s">
        <v>1</v>
      </c>
      <c r="G133" s="360"/>
      <c r="I133" s="99"/>
      <c r="K133" s="305">
        <f>SQRT(Iout^2*D1_Vinmax*(1-D1_Vinmax)+Iout2^2*D2_Vinmax*(1-D2_Vinmax)-2*Iout*Iout2*D1_Vinmax*D2_Vinmax)</f>
        <v>0.96153846153846123</v>
      </c>
      <c r="L133" s="93" t="s">
        <v>1</v>
      </c>
    </row>
    <row r="134" spans="1:16" x14ac:dyDescent="0.2">
      <c r="A134" s="212" t="s">
        <v>562</v>
      </c>
      <c r="B134" s="655" t="e">
        <f>MAX(B131:B133, D131:D133)</f>
        <v>#NUM!</v>
      </c>
      <c r="C134" s="42" t="s">
        <v>1</v>
      </c>
      <c r="I134" s="99"/>
      <c r="K134" s="657" t="e">
        <f>MAX(K131:K133)</f>
        <v>#NUM!</v>
      </c>
      <c r="L134" s="42" t="s">
        <v>1</v>
      </c>
    </row>
    <row r="135" spans="1:16" x14ac:dyDescent="0.2">
      <c r="A135" s="114"/>
      <c r="B135" s="658"/>
      <c r="C135" s="42"/>
      <c r="D135" s="2"/>
      <c r="F135">
        <f>Number_of_Phases*D1_Vinnom</f>
        <v>0.23809523809523808</v>
      </c>
      <c r="G135" t="s">
        <v>838</v>
      </c>
      <c r="I135" s="99"/>
      <c r="K135" s="657"/>
      <c r="L135" s="42"/>
      <c r="P135" s="4"/>
    </row>
    <row r="136" spans="1:16" x14ac:dyDescent="0.2">
      <c r="A136" s="114" t="s">
        <v>840</v>
      </c>
      <c r="B136" s="305">
        <f>Iout*SQRT((D1_Vinnom-F136/Number_of_Phases)*((F136+1)/Number_of_Phases-D1_Vinnom))</f>
        <v>2.1295885499997995</v>
      </c>
      <c r="C136" t="s">
        <v>1</v>
      </c>
      <c r="D136" s="2"/>
      <c r="F136">
        <f>FLOOR(Number_of_Phases*D1_Vinnom,1)</f>
        <v>0</v>
      </c>
      <c r="G136" t="s">
        <v>839</v>
      </c>
      <c r="I136" s="99"/>
      <c r="K136" s="657"/>
      <c r="L136" s="42"/>
      <c r="P136" s="4"/>
    </row>
    <row r="137" spans="1:16" x14ac:dyDescent="0.2">
      <c r="A137" s="114" t="s">
        <v>842</v>
      </c>
      <c r="B137">
        <f>Iout/2/Number_of_Phases</f>
        <v>2.5</v>
      </c>
      <c r="C137" s="114" t="s">
        <v>1</v>
      </c>
      <c r="I137" s="99"/>
      <c r="K137" s="657"/>
      <c r="L137" s="42"/>
      <c r="P137" s="4"/>
    </row>
    <row r="138" spans="1:16" x14ac:dyDescent="0.2">
      <c r="A138" s="114" t="s">
        <v>841</v>
      </c>
      <c r="B138" s="659" t="e">
        <f>CHOOSE(MODE, B134, B137)</f>
        <v>#NUM!</v>
      </c>
      <c r="C138" s="42" t="s">
        <v>1</v>
      </c>
      <c r="D138" s="2" t="s">
        <v>585</v>
      </c>
      <c r="I138" s="99"/>
      <c r="K138" s="657"/>
      <c r="L138" s="42"/>
      <c r="P138" s="4"/>
    </row>
    <row r="139" spans="1:16" x14ac:dyDescent="0.2">
      <c r="A139" s="114"/>
      <c r="B139" s="658"/>
      <c r="C139" s="42"/>
      <c r="D139" s="2"/>
      <c r="I139" s="99"/>
      <c r="K139" s="657"/>
      <c r="L139" s="42"/>
      <c r="P139" s="4"/>
    </row>
    <row r="140" spans="1:16" x14ac:dyDescent="0.2">
      <c r="A140" s="98" t="s">
        <v>220</v>
      </c>
      <c r="B140" s="317">
        <f>'Design Regulator'!E42/1000</f>
        <v>0.25</v>
      </c>
      <c r="C140" t="s">
        <v>39</v>
      </c>
      <c r="F140" s="114" t="s">
        <v>563</v>
      </c>
      <c r="I140" s="99"/>
    </row>
    <row r="141" spans="1:16" x14ac:dyDescent="0.2">
      <c r="A141" s="114"/>
      <c r="B141" s="524"/>
      <c r="C141" s="93"/>
      <c r="G141" s="360"/>
      <c r="I141" s="99"/>
    </row>
    <row r="142" spans="1:16" x14ac:dyDescent="0.2">
      <c r="A142" s="476" t="s">
        <v>572</v>
      </c>
      <c r="B142" s="531">
        <f>Iout/Number_of_Phases*D1_Vinmax*(1-D1_Vinmax)/(Vinripple1*Fsw)</f>
        <v>1.4792899408284024E-6</v>
      </c>
      <c r="C142" s="93" t="s">
        <v>24</v>
      </c>
      <c r="F142" s="114" t="s">
        <v>580</v>
      </c>
      <c r="I142" s="99"/>
      <c r="K142" s="8"/>
    </row>
    <row r="143" spans="1:16" x14ac:dyDescent="0.2">
      <c r="A143" s="476" t="s">
        <v>576</v>
      </c>
      <c r="B143" s="532">
        <f>MAX(Iout/Number_of_Phases*0.5*(1-0.5)/(Vinripple1*Fsw), Iout2*0.5*(1-0.5)/(Vinripple1*Fsw))</f>
        <v>2.3809523809523808E-6</v>
      </c>
      <c r="C143" s="42" t="s">
        <v>24</v>
      </c>
      <c r="F143" s="114" t="s">
        <v>573</v>
      </c>
      <c r="G143" s="30"/>
      <c r="I143" s="99"/>
      <c r="K143" s="8"/>
    </row>
    <row r="144" spans="1:16" x14ac:dyDescent="0.2">
      <c r="A144" s="476" t="s">
        <v>219</v>
      </c>
      <c r="B144" s="30">
        <f>IF(VIN_max&lt;2*Vout, B142,B143)</f>
        <v>2.3809523809523808E-6</v>
      </c>
      <c r="C144" s="42" t="s">
        <v>24</v>
      </c>
      <c r="G144" s="30"/>
      <c r="I144" s="99"/>
      <c r="K144" s="8"/>
    </row>
    <row r="145" spans="1:11" x14ac:dyDescent="0.2">
      <c r="A145" s="476" t="s">
        <v>513</v>
      </c>
      <c r="B145" s="654">
        <f>IF(Cinmin*1000000&lt;10, 10,Cinmin*1000000)</f>
        <v>10</v>
      </c>
      <c r="C145" s="42" t="s">
        <v>23</v>
      </c>
      <c r="F145" s="114" t="s">
        <v>585</v>
      </c>
      <c r="I145" s="99"/>
    </row>
    <row r="146" spans="1:11" x14ac:dyDescent="0.2">
      <c r="A146" s="100" t="s">
        <v>57</v>
      </c>
      <c r="B146" s="424">
        <f>'Design Regulator'!E44/1000000</f>
        <v>5.0000000000000002E-5</v>
      </c>
      <c r="C146" s="93" t="s">
        <v>24</v>
      </c>
      <c r="F146" t="s">
        <v>147</v>
      </c>
      <c r="I146" s="99"/>
    </row>
    <row r="147" spans="1:11" x14ac:dyDescent="0.2">
      <c r="A147" s="476" t="s">
        <v>574</v>
      </c>
      <c r="B147" s="307">
        <f>-(Iout/Number_of_Phases*D1_Vinmax*(1-D1_Vinmax)/(Cin*Fsw)-Vinripple1)/(Iout/Number_of_Phases+Iripple_Vinmax/2)</f>
        <v>4.4586608946131132E-2</v>
      </c>
      <c r="C147" s="213" t="s">
        <v>116</v>
      </c>
      <c r="I147" s="99"/>
    </row>
    <row r="148" spans="1:11" x14ac:dyDescent="0.2">
      <c r="A148" s="476" t="s">
        <v>575</v>
      </c>
      <c r="B148" s="307">
        <f>-(Iout/Number_of_Phases*0.5*(1-0.5)/(Cin*Fsw)-Vinripple1)/(Iout/Number_of_Phases+Iripple_Vinmax/2)</f>
        <v>4.3758054076052044E-2</v>
      </c>
      <c r="C148" s="213" t="s">
        <v>116</v>
      </c>
      <c r="F148" s="114" t="s">
        <v>581</v>
      </c>
      <c r="I148" s="99"/>
    </row>
    <row r="149" spans="1:11" x14ac:dyDescent="0.2">
      <c r="A149" s="476" t="s">
        <v>221</v>
      </c>
      <c r="B149" s="307">
        <f>IF(VIN_max&lt;2*Vout, B147,B148)</f>
        <v>4.3758054076052044E-2</v>
      </c>
      <c r="C149" s="213" t="s">
        <v>116</v>
      </c>
      <c r="I149" s="99"/>
    </row>
    <row r="150" spans="1:11" x14ac:dyDescent="0.2">
      <c r="A150" s="476" t="s">
        <v>515</v>
      </c>
      <c r="B150" s="522">
        <f>IF(OR(CinEsrMax&gt;0.3, CinEsrMax&lt;0), "N/A",CinEsrMax*1000)</f>
        <v>43.758054076052048</v>
      </c>
      <c r="C150" s="45" t="s">
        <v>318</v>
      </c>
      <c r="F150" t="s">
        <v>585</v>
      </c>
      <c r="I150" s="99"/>
    </row>
    <row r="151" spans="1:11" x14ac:dyDescent="0.2">
      <c r="A151" s="100" t="s">
        <v>86</v>
      </c>
      <c r="B151" s="94">
        <f>'Design Regulator'!E46/1000</f>
        <v>1E-3</v>
      </c>
      <c r="C151" s="213" t="s">
        <v>116</v>
      </c>
      <c r="F151" s="114" t="s">
        <v>241</v>
      </c>
      <c r="I151" s="99"/>
    </row>
    <row r="152" spans="1:11" x14ac:dyDescent="0.2">
      <c r="F152" s="114"/>
      <c r="I152" s="99"/>
      <c r="K152" s="311"/>
    </row>
    <row r="153" spans="1:11" x14ac:dyDescent="0.2">
      <c r="A153" s="476" t="s">
        <v>577</v>
      </c>
      <c r="B153" s="393">
        <f>Iout/Number_of_Phases*D1_Vinmax_2*(1-D1_Vinmax_2)/(Cin*Fsw)+(Iout/Number_of_Phases +Iripple_Vinmax/2)*RCinEsr</f>
        <v>1.2890491416254288E-2</v>
      </c>
      <c r="C153" s="93" t="s">
        <v>39</v>
      </c>
      <c r="I153" s="99"/>
    </row>
    <row r="154" spans="1:11" x14ac:dyDescent="0.2">
      <c r="A154" s="476" t="s">
        <v>578</v>
      </c>
      <c r="B154" s="393">
        <f>Iout/Number_of_Phases*0.5*(1-0.5)/(Cin*Fsw)+(Iout/Number_of_Phases +Iripple_Vinmax/2)*RCinEsr</f>
        <v>1.7345937092338243E-2</v>
      </c>
      <c r="C154" s="93" t="s">
        <v>39</v>
      </c>
      <c r="F154" s="114" t="s">
        <v>579</v>
      </c>
      <c r="I154" s="99"/>
    </row>
    <row r="155" spans="1:11" x14ac:dyDescent="0.2">
      <c r="A155" s="476" t="s">
        <v>222</v>
      </c>
      <c r="B155" s="393">
        <f>IF(VIN_max&lt;2*Vout, B153,B154)</f>
        <v>1.7345937092338243E-2</v>
      </c>
      <c r="C155" s="93" t="s">
        <v>39</v>
      </c>
      <c r="F155" s="114" t="s">
        <v>584</v>
      </c>
      <c r="I155" s="99"/>
    </row>
    <row r="156" spans="1:11" x14ac:dyDescent="0.2">
      <c r="A156" s="100"/>
      <c r="B156" s="533"/>
      <c r="C156" s="93"/>
      <c r="I156" s="99"/>
    </row>
    <row r="157" spans="1:11" ht="13.5" thickBot="1" x14ac:dyDescent="0.25">
      <c r="A157" s="101"/>
      <c r="B157" s="394">
        <f>Iout*D1_Vinmax_2*(1-D1_Vinmax_2)/(Cin*Fsw)</f>
        <v>7.4493162286779499E-3</v>
      </c>
      <c r="C157" s="318" t="s">
        <v>39</v>
      </c>
      <c r="D157" s="102"/>
      <c r="E157" s="103"/>
      <c r="F157" s="103"/>
      <c r="G157" s="103"/>
      <c r="H157" s="103"/>
      <c r="I157" s="104"/>
    </row>
    <row r="159" spans="1:11" ht="16.5" thickBot="1" x14ac:dyDescent="0.3">
      <c r="A159" s="525" t="s">
        <v>583</v>
      </c>
    </row>
    <row r="160" spans="1:11" x14ac:dyDescent="0.2">
      <c r="A160" s="90" t="s">
        <v>150</v>
      </c>
      <c r="B160" s="12">
        <f>'Design Regulator'!E51/1000</f>
        <v>3.0000000000000001E-3</v>
      </c>
      <c r="C160" s="63" t="s">
        <v>133</v>
      </c>
      <c r="D160" s="117" t="s">
        <v>435</v>
      </c>
      <c r="E160" s="63"/>
      <c r="F160" s="63"/>
      <c r="G160" s="63"/>
      <c r="H160" s="63"/>
      <c r="I160" s="64"/>
    </row>
    <row r="161" spans="1:9" x14ac:dyDescent="0.2">
      <c r="A161" s="56" t="s">
        <v>151</v>
      </c>
      <c r="B161" s="68">
        <f>Cout*Vout/Tss</f>
        <v>7.8333333333333328E-3</v>
      </c>
      <c r="C161" t="s">
        <v>1</v>
      </c>
      <c r="D161" s="114" t="s">
        <v>434</v>
      </c>
      <c r="I161" s="57"/>
    </row>
    <row r="162" spans="1:9" x14ac:dyDescent="0.2">
      <c r="A162" s="56" t="s">
        <v>152</v>
      </c>
      <c r="B162" s="425">
        <f>0.00002*Tss/0.6</f>
        <v>1.0000000000000002E-7</v>
      </c>
      <c r="C162" t="s">
        <v>24</v>
      </c>
      <c r="I162" s="57"/>
    </row>
    <row r="163" spans="1:9" ht="13.5" thickBot="1" x14ac:dyDescent="0.25">
      <c r="A163" s="60" t="s">
        <v>164</v>
      </c>
      <c r="B163" s="426">
        <f>'Standard Value Calculator'!B4</f>
        <v>9.9999999999999995E-8</v>
      </c>
      <c r="C163" s="61" t="s">
        <v>24</v>
      </c>
      <c r="D163" s="61"/>
      <c r="E163" s="61"/>
      <c r="F163" s="61"/>
      <c r="G163" s="61"/>
      <c r="H163" s="61"/>
      <c r="I163" s="62"/>
    </row>
    <row r="165" spans="1:9" ht="16.5" thickBot="1" x14ac:dyDescent="0.3">
      <c r="A165" s="525" t="s">
        <v>680</v>
      </c>
    </row>
    <row r="166" spans="1:9" ht="12.75" customHeight="1" x14ac:dyDescent="0.2">
      <c r="A166" s="211" t="s">
        <v>681</v>
      </c>
      <c r="B166" s="591">
        <f>'Design Regulator'!E53/1000</f>
        <v>0.03</v>
      </c>
      <c r="C166" s="63" t="s">
        <v>133</v>
      </c>
      <c r="D166" s="117" t="s">
        <v>686</v>
      </c>
      <c r="E166" s="63"/>
      <c r="F166" s="63"/>
      <c r="G166" s="63"/>
      <c r="H166" s="63"/>
      <c r="I166" s="64"/>
    </row>
    <row r="167" spans="1:9" ht="12.75" customHeight="1" x14ac:dyDescent="0.2">
      <c r="A167" s="212" t="s">
        <v>682</v>
      </c>
      <c r="B167" s="425">
        <f>0.00002*Tres/1.2</f>
        <v>5.0000000000000008E-7</v>
      </c>
      <c r="C167" t="s">
        <v>24</v>
      </c>
      <c r="I167" s="57"/>
    </row>
    <row r="168" spans="1:9" ht="12.75" customHeight="1" x14ac:dyDescent="0.2">
      <c r="A168" s="212" t="s">
        <v>683</v>
      </c>
      <c r="B168" s="592">
        <f>'Standard Value Calculator'!G4</f>
        <v>4.7E-7</v>
      </c>
      <c r="C168" t="s">
        <v>24</v>
      </c>
      <c r="F168" s="45"/>
      <c r="G168" s="44"/>
      <c r="H168" s="44"/>
      <c r="I168" s="57"/>
    </row>
    <row r="169" spans="1:9" ht="12.75" customHeight="1" x14ac:dyDescent="0.2">
      <c r="B169" s="44"/>
      <c r="C169"/>
      <c r="I169" s="57"/>
    </row>
    <row r="170" spans="1:9" ht="12.75" customHeight="1" x14ac:dyDescent="0.3">
      <c r="A170" s="212" t="s">
        <v>685</v>
      </c>
      <c r="B170" s="44">
        <v>100</v>
      </c>
      <c r="C170" s="45" t="s">
        <v>242</v>
      </c>
      <c r="I170" s="57"/>
    </row>
    <row r="171" spans="1:9" ht="12.75" customHeight="1" x14ac:dyDescent="0.3">
      <c r="A171" s="212" t="s">
        <v>690</v>
      </c>
      <c r="B171" s="44"/>
      <c r="C171" s="213" t="s">
        <v>116</v>
      </c>
      <c r="E171" s="114" t="s">
        <v>691</v>
      </c>
      <c r="I171" s="57"/>
    </row>
    <row r="172" spans="1:9" ht="12.75" customHeight="1" x14ac:dyDescent="0.2">
      <c r="A172" s="557" t="s">
        <v>688</v>
      </c>
      <c r="B172" s="44"/>
      <c r="C172" s="213" t="s">
        <v>116</v>
      </c>
      <c r="D172" s="379"/>
      <c r="E172" s="114" t="s">
        <v>689</v>
      </c>
      <c r="I172" s="57"/>
    </row>
    <row r="173" spans="1:9" ht="12.75" customHeight="1" x14ac:dyDescent="0.2">
      <c r="A173" s="557" t="s">
        <v>687</v>
      </c>
      <c r="B173" s="44"/>
      <c r="C173" s="213" t="s">
        <v>116</v>
      </c>
      <c r="D173" s="379"/>
      <c r="E173" s="114" t="s">
        <v>624</v>
      </c>
      <c r="I173" s="57"/>
    </row>
    <row r="174" spans="1:9" ht="12.75" customHeight="1" x14ac:dyDescent="0.2">
      <c r="A174" s="212"/>
      <c r="B174" s="44"/>
      <c r="C174" s="213"/>
      <c r="I174" s="57"/>
    </row>
    <row r="175" spans="1:9" ht="12.75" customHeight="1" x14ac:dyDescent="0.2">
      <c r="A175" s="212" t="s">
        <v>548</v>
      </c>
      <c r="B175" s="392">
        <f>'Design Regulator'!E55*1000</f>
        <v>9000</v>
      </c>
      <c r="C175" s="114" t="s">
        <v>9</v>
      </c>
      <c r="I175" s="57"/>
    </row>
    <row r="176" spans="1:9" ht="12.75" customHeight="1" x14ac:dyDescent="0.2">
      <c r="A176" s="212" t="s">
        <v>324</v>
      </c>
      <c r="B176" s="391">
        <f>10*10^-6/Fdither/0.12</f>
        <v>9.2592592592592591E-9</v>
      </c>
      <c r="C176" s="114" t="s">
        <v>24</v>
      </c>
      <c r="I176" s="57"/>
    </row>
    <row r="177" spans="1:14" ht="12.75" customHeight="1" x14ac:dyDescent="0.2">
      <c r="A177" s="212" t="s">
        <v>325</v>
      </c>
      <c r="B177" s="391">
        <f>'Standard Value Calculator'!O22</f>
        <v>1E-8</v>
      </c>
      <c r="C177" s="114" t="s">
        <v>24</v>
      </c>
      <c r="I177" s="57"/>
    </row>
    <row r="178" spans="1:14" ht="12.75" customHeight="1" thickBot="1" x14ac:dyDescent="0.25">
      <c r="A178" s="60"/>
      <c r="B178" s="70"/>
      <c r="C178" s="295"/>
      <c r="D178" s="61"/>
      <c r="E178" s="61"/>
      <c r="F178" s="61"/>
      <c r="G178" s="61"/>
      <c r="H178" s="61"/>
      <c r="I178" s="62"/>
    </row>
    <row r="179" spans="1:14" x14ac:dyDescent="0.2">
      <c r="B179" s="44"/>
      <c r="C179" s="296"/>
    </row>
    <row r="180" spans="1:14" ht="16.5" thickBot="1" x14ac:dyDescent="0.3">
      <c r="A180" s="525" t="s">
        <v>582</v>
      </c>
    </row>
    <row r="181" spans="1:14" x14ac:dyDescent="0.2">
      <c r="A181" s="374" t="s">
        <v>38</v>
      </c>
      <c r="B181" s="375">
        <v>3.1415926500000002</v>
      </c>
      <c r="C181" s="376"/>
      <c r="D181" s="377" t="s">
        <v>377</v>
      </c>
      <c r="E181" s="63"/>
      <c r="F181" s="63"/>
      <c r="G181" s="63"/>
      <c r="H181" s="63"/>
      <c r="I181" s="64"/>
    </row>
    <row r="182" spans="1:14" x14ac:dyDescent="0.2">
      <c r="A182" s="114" t="s">
        <v>387</v>
      </c>
      <c r="B182" s="114">
        <v>12</v>
      </c>
      <c r="C182" s="46"/>
      <c r="D182" s="213"/>
      <c r="I182" s="57"/>
    </row>
    <row r="183" spans="1:14" x14ac:dyDescent="0.2">
      <c r="A183" s="114" t="s">
        <v>366</v>
      </c>
      <c r="B183">
        <f>Rs*CSAmp_gain</f>
        <v>0.12</v>
      </c>
      <c r="C183" s="213" t="s">
        <v>116</v>
      </c>
      <c r="D183">
        <f>Rs_Ch2*CSAmp_gain</f>
        <v>0.12</v>
      </c>
      <c r="E183" s="213" t="s">
        <v>116</v>
      </c>
      <c r="F183" s="114" t="s">
        <v>382</v>
      </c>
      <c r="I183" s="57"/>
    </row>
    <row r="184" spans="1:14" x14ac:dyDescent="0.2">
      <c r="A184" s="114" t="s">
        <v>347</v>
      </c>
      <c r="B184" s="373">
        <v>1.1999999999999999E-3</v>
      </c>
      <c r="C184" s="114" t="s">
        <v>66</v>
      </c>
      <c r="F184" s="114" t="s">
        <v>367</v>
      </c>
      <c r="I184" s="57"/>
    </row>
    <row r="185" spans="1:14" x14ac:dyDescent="0.2">
      <c r="A185" s="114"/>
      <c r="B185" s="114"/>
      <c r="C185" s="114"/>
      <c r="F185" s="114"/>
      <c r="I185" s="57"/>
    </row>
    <row r="186" spans="1:14" x14ac:dyDescent="0.2">
      <c r="A186" s="114" t="s">
        <v>451</v>
      </c>
      <c r="B186" s="558">
        <f>B190/Ri*1000</f>
        <v>5090909.0909090908</v>
      </c>
      <c r="C186" s="493" t="s">
        <v>368</v>
      </c>
      <c r="D186" s="558">
        <f>B190/Ri_Ch2*1000</f>
        <v>5090909.0909090908</v>
      </c>
      <c r="E186" s="493" t="s">
        <v>368</v>
      </c>
      <c r="F186" s="493" t="s">
        <v>388</v>
      </c>
      <c r="H186" s="4"/>
      <c r="I186" s="57"/>
    </row>
    <row r="187" spans="1:14" x14ac:dyDescent="0.2">
      <c r="A187" s="114" t="s">
        <v>369</v>
      </c>
      <c r="B187" s="558">
        <f>(Vin-Vout)/Lf</f>
        <v>7272727.2727272725</v>
      </c>
      <c r="C187" s="493" t="s">
        <v>368</v>
      </c>
      <c r="D187" s="558">
        <f>(Vin-Vout2)/Lo_2</f>
        <v>454545.45454545453</v>
      </c>
      <c r="E187" s="493" t="s">
        <v>368</v>
      </c>
      <c r="F187" s="493" t="s">
        <v>370</v>
      </c>
      <c r="H187" s="4"/>
      <c r="I187" s="57"/>
    </row>
    <row r="188" spans="1:14" x14ac:dyDescent="0.2">
      <c r="A188" s="114" t="s">
        <v>386</v>
      </c>
      <c r="B188" s="558">
        <f>Vout/Lf</f>
        <v>2272727.2727272725</v>
      </c>
      <c r="C188" s="493" t="s">
        <v>368</v>
      </c>
      <c r="D188" s="558">
        <f>Vout2/Lo_2</f>
        <v>9090909.0909090899</v>
      </c>
      <c r="E188" s="493" t="s">
        <v>368</v>
      </c>
      <c r="F188" s="493" t="s">
        <v>385</v>
      </c>
      <c r="H188" s="4"/>
      <c r="I188" s="57"/>
    </row>
    <row r="189" spans="1:14" x14ac:dyDescent="0.2">
      <c r="A189" s="114"/>
      <c r="B189" s="378"/>
      <c r="C189" s="362"/>
      <c r="F189" s="362"/>
      <c r="I189" s="57"/>
      <c r="K189" s="114" t="s">
        <v>827</v>
      </c>
      <c r="L189" s="114" t="s">
        <v>846</v>
      </c>
      <c r="M189" s="114" t="s">
        <v>847</v>
      </c>
    </row>
    <row r="190" spans="1:14" x14ac:dyDescent="0.2">
      <c r="A190" s="114" t="s">
        <v>389</v>
      </c>
      <c r="B190" s="386">
        <f>(Fsw/1000)/220*64</f>
        <v>610.90909090909088</v>
      </c>
      <c r="C190" s="387" t="s">
        <v>425</v>
      </c>
      <c r="D190" s="386"/>
      <c r="E190" s="387"/>
      <c r="F190" s="387" t="s">
        <v>397</v>
      </c>
      <c r="I190" s="57"/>
      <c r="K190" s="114">
        <f>Ts</f>
        <v>4.7619047619047617E-7</v>
      </c>
      <c r="L190" s="360">
        <f>Ts*1000000</f>
        <v>0.47619047619047616</v>
      </c>
      <c r="M190">
        <f>B190*L190</f>
        <v>290.90909090909088</v>
      </c>
      <c r="N190" s="114" t="s">
        <v>292</v>
      </c>
    </row>
    <row r="191" spans="1:14" x14ac:dyDescent="0.2">
      <c r="A191" s="114" t="s">
        <v>395</v>
      </c>
      <c r="B191" s="386">
        <f>Sn*Ri/1000</f>
        <v>872.72727272727275</v>
      </c>
      <c r="C191" s="387" t="s">
        <v>425</v>
      </c>
      <c r="D191" s="386">
        <f>Sn_Ch2*Ri_Ch2/1000</f>
        <v>54.545454545454547</v>
      </c>
      <c r="E191" s="387" t="s">
        <v>425</v>
      </c>
      <c r="F191" s="387" t="s">
        <v>398</v>
      </c>
      <c r="I191" s="57"/>
    </row>
    <row r="192" spans="1:14" x14ac:dyDescent="0.2">
      <c r="A192" s="114" t="s">
        <v>396</v>
      </c>
      <c r="B192" s="386">
        <f>Sf*Ri/1000</f>
        <v>272.72727272727269</v>
      </c>
      <c r="C192" s="387" t="s">
        <v>425</v>
      </c>
      <c r="D192" s="386">
        <f>Sf_Ch2*Ri_Ch2/1000</f>
        <v>1090.9090909090908</v>
      </c>
      <c r="E192" s="387" t="s">
        <v>425</v>
      </c>
      <c r="F192" s="387" t="s">
        <v>398</v>
      </c>
      <c r="I192" s="57"/>
    </row>
    <row r="193" spans="1:9" x14ac:dyDescent="0.2">
      <c r="A193" s="114"/>
      <c r="B193" s="386"/>
      <c r="C193" s="387"/>
      <c r="D193" s="387"/>
      <c r="I193" s="57"/>
    </row>
    <row r="194" spans="1:9" x14ac:dyDescent="0.2">
      <c r="A194" s="114" t="s">
        <v>423</v>
      </c>
      <c r="B194" s="360">
        <f>1+Se_ext/Sn</f>
        <v>1.7000000000000002</v>
      </c>
      <c r="C194"/>
      <c r="D194" s="360">
        <f>1+Se_ext_Ch2/Sn_Ch2</f>
        <v>12.200000000000001</v>
      </c>
      <c r="F194" s="114" t="s">
        <v>700</v>
      </c>
      <c r="I194" s="57"/>
    </row>
    <row r="195" spans="1:9" x14ac:dyDescent="0.2">
      <c r="A195" s="114" t="s">
        <v>424</v>
      </c>
      <c r="B195" s="380">
        <f>mc_buck*(1-D1_Vinnom_2)</f>
        <v>1.2916163895486938</v>
      </c>
      <c r="C195" s="362"/>
      <c r="D195" s="380">
        <f>mc_buck_Ch2*(1-D2_Vinnom_2)</f>
        <v>0.57566033254156768</v>
      </c>
      <c r="F195" s="362" t="s">
        <v>701</v>
      </c>
      <c r="I195" s="57"/>
    </row>
    <row r="196" spans="1:9" x14ac:dyDescent="0.2">
      <c r="A196" s="2"/>
      <c r="B196" s="395"/>
      <c r="C196" s="362"/>
      <c r="D196" s="362"/>
      <c r="I196" s="57"/>
    </row>
    <row r="197" spans="1:9" x14ac:dyDescent="0.2">
      <c r="A197" s="2" t="s">
        <v>371</v>
      </c>
      <c r="B197" s="380">
        <f>1+Se_ext/Sn</f>
        <v>1.7000000000000002</v>
      </c>
      <c r="C197" s="362"/>
      <c r="D197" s="380">
        <f>1+Se_ext_Ch2/Sn_Ch2</f>
        <v>12.200000000000001</v>
      </c>
      <c r="I197" s="57"/>
    </row>
    <row r="198" spans="1:9" x14ac:dyDescent="0.2">
      <c r="A198" s="2" t="s">
        <v>346</v>
      </c>
      <c r="B198" s="421">
        <f>mc_buck*(1-D1_Vinnom_2)</f>
        <v>1.2916163895486938</v>
      </c>
      <c r="C198" s="362"/>
      <c r="D198" s="421">
        <f>mc_buck_Ch2*(1-D2_Vinnom_2)</f>
        <v>0.57566033254156768</v>
      </c>
      <c r="I198" s="57"/>
    </row>
    <row r="199" spans="1:9" x14ac:dyDescent="0.2">
      <c r="A199" s="114" t="s">
        <v>27</v>
      </c>
      <c r="B199" s="360">
        <f>1/Pi/(k-0.5)</f>
        <v>0.40210118278246298</v>
      </c>
      <c r="C199"/>
      <c r="D199" s="360">
        <f>1/Pi/(k_Ch2-0.5)</f>
        <v>4.2070907681067062</v>
      </c>
      <c r="F199" s="114" t="s">
        <v>380</v>
      </c>
      <c r="H199" s="114" t="s">
        <v>391</v>
      </c>
      <c r="I199" s="57"/>
    </row>
    <row r="200" spans="1:9" x14ac:dyDescent="0.2">
      <c r="A200" s="114"/>
      <c r="B200" s="360"/>
      <c r="C200"/>
      <c r="D200" s="114"/>
      <c r="F200" s="114"/>
      <c r="I200" s="57"/>
    </row>
    <row r="201" spans="1:9" x14ac:dyDescent="0.2">
      <c r="A201" s="362" t="s">
        <v>426</v>
      </c>
      <c r="B201" s="360"/>
      <c r="C201"/>
      <c r="D201" s="114"/>
      <c r="I201" s="57"/>
    </row>
    <row r="202" spans="1:9" x14ac:dyDescent="0.2">
      <c r="A202" s="114" t="s">
        <v>372</v>
      </c>
      <c r="B202" s="373">
        <v>30</v>
      </c>
      <c r="C202" s="114" t="s">
        <v>181</v>
      </c>
      <c r="F202" s="114" t="s">
        <v>456</v>
      </c>
      <c r="I202" s="57"/>
    </row>
    <row r="203" spans="1:9" x14ac:dyDescent="0.2">
      <c r="A203" s="114" t="s">
        <v>373</v>
      </c>
      <c r="B203" s="663">
        <f>gm/(2*Pi*GBW*1000000)</f>
        <v>6.3661977309502546E-12</v>
      </c>
      <c r="C203" s="114" t="s">
        <v>24</v>
      </c>
      <c r="F203" s="114" t="s">
        <v>455</v>
      </c>
      <c r="I203" s="57"/>
    </row>
    <row r="204" spans="1:9" x14ac:dyDescent="0.2">
      <c r="A204" s="114" t="s">
        <v>374</v>
      </c>
      <c r="B204" s="596">
        <v>64000000</v>
      </c>
      <c r="C204" s="213" t="s">
        <v>116</v>
      </c>
      <c r="F204" s="114" t="s">
        <v>454</v>
      </c>
      <c r="I204" s="57"/>
    </row>
    <row r="205" spans="1:9" x14ac:dyDescent="0.2">
      <c r="A205" s="2" t="s">
        <v>375</v>
      </c>
      <c r="B205" s="309">
        <f>gm*RoEA</f>
        <v>76800</v>
      </c>
      <c r="C205" s="114" t="s">
        <v>28</v>
      </c>
      <c r="F205" s="114" t="s">
        <v>453</v>
      </c>
      <c r="I205" s="57"/>
    </row>
    <row r="206" spans="1:9" x14ac:dyDescent="0.2">
      <c r="A206" s="2" t="s">
        <v>376</v>
      </c>
      <c r="B206" s="4">
        <f>Vref/Vout</f>
        <v>0.12</v>
      </c>
      <c r="C206" s="114" t="s">
        <v>28</v>
      </c>
      <c r="D206" s="4">
        <f>Vref/Vout2</f>
        <v>0.03</v>
      </c>
      <c r="E206" s="114" t="s">
        <v>28</v>
      </c>
      <c r="F206" s="114" t="s">
        <v>452</v>
      </c>
      <c r="I206" s="57"/>
    </row>
    <row r="207" spans="1:9" x14ac:dyDescent="0.2">
      <c r="A207" s="2" t="s">
        <v>331</v>
      </c>
      <c r="B207" s="395">
        <f>1/Ri</f>
        <v>8.3333333333333339</v>
      </c>
      <c r="C207" s="114"/>
      <c r="D207" s="395">
        <f>1/Ri_Ch2</f>
        <v>8.3333333333333339</v>
      </c>
      <c r="E207" s="114"/>
      <c r="F207" s="114" t="s">
        <v>381</v>
      </c>
      <c r="I207" s="57"/>
    </row>
    <row r="208" spans="1:9" x14ac:dyDescent="0.2">
      <c r="A208" s="2" t="s">
        <v>417</v>
      </c>
      <c r="B208" s="4">
        <f>(Ro/Number_of_Phases)/Ri/((1+Ro/Number_of_Phases*(k-0.5)/(Fsw*Lf)))</f>
        <v>7.1143254119700723</v>
      </c>
      <c r="C208" s="4"/>
      <c r="D208" s="4">
        <f>Ro_Ch2/Ri_Ch2/((1+Ro_Ch2*(k_Ch2-0.5)/(Fsw*Lo_2)))</f>
        <v>31.284018003968288</v>
      </c>
      <c r="I208" s="57"/>
    </row>
    <row r="209" spans="1:9" x14ac:dyDescent="0.2">
      <c r="A209" s="2" t="s">
        <v>336</v>
      </c>
      <c r="B209" s="4">
        <f>(Ro*Number_of_Phases)/Ri/((1+Ro*Number_of_Phases*(k-0.5)/(Fsw*Lf)))</f>
        <v>7.1143254119700723</v>
      </c>
      <c r="C209" s="4"/>
      <c r="D209" s="4">
        <f>Ro_Ch2/Ri_Ch2/((1+Ro_Ch2*(k_Ch2-0.5)/(Fsw*Lo_2)))</f>
        <v>31.284018003968288</v>
      </c>
      <c r="F209" s="362" t="s">
        <v>798</v>
      </c>
      <c r="I209" s="57"/>
    </row>
    <row r="210" spans="1:9" x14ac:dyDescent="0.2">
      <c r="A210" s="2"/>
      <c r="B210" s="4"/>
      <c r="C210"/>
      <c r="D210" s="362"/>
      <c r="I210" s="57"/>
    </row>
    <row r="211" spans="1:9" x14ac:dyDescent="0.2">
      <c r="A211" s="114" t="s">
        <v>799</v>
      </c>
      <c r="B211" s="4">
        <f>2*Pi*Ri/gm</f>
        <v>628.31853000000012</v>
      </c>
      <c r="C211"/>
      <c r="F211" s="114" t="s">
        <v>457</v>
      </c>
      <c r="I211" s="57"/>
    </row>
    <row r="212" spans="1:9" x14ac:dyDescent="0.2">
      <c r="A212" s="362" t="s">
        <v>418</v>
      </c>
      <c r="B212" s="4"/>
      <c r="C212"/>
      <c r="F212" s="114"/>
      <c r="I212" s="57"/>
    </row>
    <row r="213" spans="1:9" x14ac:dyDescent="0.2">
      <c r="A213" s="362"/>
      <c r="B213" s="4"/>
      <c r="C213"/>
      <c r="F213" s="114"/>
      <c r="I213" s="57"/>
    </row>
    <row r="214" spans="1:9" x14ac:dyDescent="0.2">
      <c r="A214" s="212" t="s">
        <v>42</v>
      </c>
      <c r="B214" s="395">
        <f>Rout</f>
        <v>1</v>
      </c>
      <c r="C214" s="213" t="s">
        <v>116</v>
      </c>
      <c r="D214" s="360">
        <f>Rout2</f>
        <v>4</v>
      </c>
      <c r="E214" s="213" t="s">
        <v>116</v>
      </c>
      <c r="F214" s="114" t="s">
        <v>271</v>
      </c>
      <c r="I214" s="57"/>
    </row>
    <row r="215" spans="1:9" x14ac:dyDescent="0.2">
      <c r="A215" s="114"/>
      <c r="B215" s="114"/>
      <c r="C215" s="213"/>
      <c r="D215" s="114"/>
      <c r="I215" s="57"/>
    </row>
    <row r="216" spans="1:9" x14ac:dyDescent="0.2">
      <c r="A216" s="114" t="s">
        <v>412</v>
      </c>
      <c r="B216" s="385">
        <f>1/(2*Pi*Ro*Cout)+(k-0.5)/(2*Pi*Fsw*Lf*Cout/Number_of_Phases)</f>
        <v>39664.985700375459</v>
      </c>
      <c r="C216" t="s">
        <v>9</v>
      </c>
      <c r="D216" s="385">
        <f>1/(2*Pi*Ro_Ch2*Cout2)+(k_Ch2-0.5)/(2*Pi*Fsw*Lo_2*Cout2)</f>
        <v>9020.2484763247376</v>
      </c>
      <c r="E216" t="s">
        <v>9</v>
      </c>
      <c r="F216" s="114" t="s">
        <v>411</v>
      </c>
      <c r="I216" s="57"/>
    </row>
    <row r="217" spans="1:9" x14ac:dyDescent="0.2">
      <c r="A217" s="114" t="s">
        <v>444</v>
      </c>
      <c r="B217" s="371">
        <f>Fload_u</f>
        <v>39664.985700375459</v>
      </c>
      <c r="C217" s="114" t="s">
        <v>9</v>
      </c>
      <c r="D217" s="371">
        <f>Fload_u_Ch2</f>
        <v>9020.2484763247376</v>
      </c>
      <c r="E217" s="114" t="s">
        <v>9</v>
      </c>
      <c r="F217" s="378"/>
      <c r="I217" s="57"/>
    </row>
    <row r="218" spans="1:9" x14ac:dyDescent="0.2">
      <c r="A218" s="114"/>
      <c r="B218" s="370">
        <f>Cbw</f>
        <v>6.3661977309502546E-12</v>
      </c>
      <c r="C218"/>
      <c r="D218" s="114"/>
      <c r="E218" s="46"/>
      <c r="I218" s="57"/>
    </row>
    <row r="219" spans="1:9" x14ac:dyDescent="0.2">
      <c r="A219" s="114" t="s">
        <v>383</v>
      </c>
      <c r="B219" s="581">
        <f>1/(2*Pi*(RoEA+Rcea1_u)*Cc1ea_u)</f>
        <v>0.13815215952049953</v>
      </c>
      <c r="C219" t="s">
        <v>9</v>
      </c>
      <c r="D219" s="435">
        <f>1/(2*Pi*(RoEA+Rcea2_u)*Cc3ea_u)</f>
        <v>0.52905675708072641</v>
      </c>
      <c r="E219" t="s">
        <v>9</v>
      </c>
      <c r="F219" s="114" t="s">
        <v>410</v>
      </c>
      <c r="I219" s="57"/>
    </row>
    <row r="220" spans="1:9" x14ac:dyDescent="0.2">
      <c r="A220" s="114" t="s">
        <v>384</v>
      </c>
      <c r="B220" s="385">
        <f>1/(2*Pi*Rcea1_u*(Cc2ea_u+Cbw))</f>
        <v>1017886.0502993048</v>
      </c>
      <c r="C220" t="s">
        <v>9</v>
      </c>
      <c r="D220" s="385">
        <f>1/(2*Pi*Rcea2_u*(Cc4ea_u+Cbw))</f>
        <v>1107083.4445347821</v>
      </c>
      <c r="E220" t="s">
        <v>9</v>
      </c>
      <c r="F220" s="114" t="s">
        <v>392</v>
      </c>
      <c r="I220" s="57"/>
    </row>
    <row r="221" spans="1:9" x14ac:dyDescent="0.2">
      <c r="A221" s="212" t="s">
        <v>26</v>
      </c>
      <c r="B221" s="385">
        <f>1/(2*Pi*Cout*Cout_ESR)</f>
        <v>16931376.944016635</v>
      </c>
      <c r="C221" t="s">
        <v>9</v>
      </c>
      <c r="D221" s="385">
        <f>1/(2*Pi*Cout2*Cout2_ESR)</f>
        <v>16931376.944016635</v>
      </c>
      <c r="E221" t="s">
        <v>9</v>
      </c>
      <c r="F221" s="114" t="s">
        <v>409</v>
      </c>
      <c r="I221" s="57"/>
    </row>
    <row r="222" spans="1:9" x14ac:dyDescent="0.2">
      <c r="A222" s="114" t="s">
        <v>416</v>
      </c>
      <c r="B222" s="385">
        <f>Fsw/2</f>
        <v>1050000</v>
      </c>
      <c r="C222" t="s">
        <v>9</v>
      </c>
      <c r="D222" s="371"/>
      <c r="F222" s="114" t="s">
        <v>776</v>
      </c>
      <c r="I222" s="57"/>
    </row>
    <row r="223" spans="1:9" x14ac:dyDescent="0.2">
      <c r="A223" s="114"/>
      <c r="B223" s="371"/>
      <c r="C223"/>
      <c r="D223" s="114"/>
      <c r="E223" s="46"/>
      <c r="I223" s="57"/>
    </row>
    <row r="224" spans="1:9" x14ac:dyDescent="0.2">
      <c r="A224" s="212" t="s">
        <v>408</v>
      </c>
      <c r="B224" s="317">
        <f>'Design Regulator'!E63*1000</f>
        <v>60000</v>
      </c>
      <c r="C224" s="370" t="s">
        <v>9</v>
      </c>
      <c r="D224" s="317">
        <f>'Design Regulator'!J63*1000</f>
        <v>60000</v>
      </c>
      <c r="E224" s="370" t="s">
        <v>9</v>
      </c>
      <c r="I224" s="57"/>
    </row>
    <row r="225" spans="1:12" x14ac:dyDescent="0.2">
      <c r="A225" s="66" t="s">
        <v>33</v>
      </c>
      <c r="B225" s="371">
        <f>Fcross*Cout/Number_of_Phases*2*Pi*Ri/(gm*Afb)</f>
        <v>1476.5485455</v>
      </c>
      <c r="C225" s="213" t="s">
        <v>116</v>
      </c>
      <c r="D225" s="371">
        <f>Fcross_Ch2*Cout2*2*Pi*Ri_Ch2/(gm*Afb_Ch2)</f>
        <v>5906.1941820000002</v>
      </c>
      <c r="E225" s="213" t="s">
        <v>116</v>
      </c>
      <c r="F225" s="114" t="s">
        <v>378</v>
      </c>
      <c r="I225" s="57"/>
      <c r="K225" s="309"/>
      <c r="L225" s="213"/>
    </row>
    <row r="226" spans="1:12" x14ac:dyDescent="0.2">
      <c r="A226" s="66" t="s">
        <v>729</v>
      </c>
      <c r="B226" s="370">
        <f>10/(Rcea1*Fcross*2*Pi)</f>
        <v>1.7964748913810363E-8</v>
      </c>
      <c r="C226" t="s">
        <v>24</v>
      </c>
      <c r="D226" s="370">
        <f>10/(Rcea2*Fcross_Ch2*2*Pi)</f>
        <v>4.4911872284525907E-9</v>
      </c>
      <c r="E226" t="s">
        <v>24</v>
      </c>
      <c r="F226" s="114" t="s">
        <v>703</v>
      </c>
      <c r="I226" s="57"/>
    </row>
    <row r="227" spans="1:12" x14ac:dyDescent="0.2">
      <c r="A227" s="66" t="s">
        <v>730</v>
      </c>
      <c r="B227" s="370">
        <f>MAX(1/(Rcea1*2*Pi*Fesr)-Cbw, 1/(Rcea1*2*Pi*(Fsw/2))-Cbw)</f>
        <v>9.62895103479661E-11</v>
      </c>
      <c r="C227" t="s">
        <v>24</v>
      </c>
      <c r="D227" s="370">
        <f>MAX(1/(Rcea2*2*Pi*Fesr_Ch2)-Cbw, 1/(Rcea2*2*Pi*(Fsw/2))-Cbw)</f>
        <v>1.9297729288778835E-11</v>
      </c>
      <c r="E227" t="s">
        <v>24</v>
      </c>
      <c r="F227" s="114" t="s">
        <v>379</v>
      </c>
      <c r="I227" s="57"/>
    </row>
    <row r="228" spans="1:12" x14ac:dyDescent="0.2">
      <c r="A228" s="65"/>
      <c r="B228" s="1"/>
      <c r="C228" s="213"/>
      <c r="I228" s="57"/>
    </row>
    <row r="229" spans="1:12" x14ac:dyDescent="0.2">
      <c r="A229" s="66" t="s">
        <v>327</v>
      </c>
      <c r="I229" s="57"/>
    </row>
    <row r="230" spans="1:12" x14ac:dyDescent="0.2">
      <c r="A230" s="56" t="s">
        <v>34</v>
      </c>
      <c r="B230" s="69">
        <f>'Design Regulator'!D70*1000</f>
        <v>1470</v>
      </c>
      <c r="C230" s="213" t="s">
        <v>116</v>
      </c>
      <c r="D230" s="69">
        <f>'Design Regulator'!D73*1000</f>
        <v>5900</v>
      </c>
      <c r="E230" s="213" t="s">
        <v>116</v>
      </c>
      <c r="F230">
        <f>1/(Rcea1*2*Pi*(Fsw/2))-Cbw</f>
        <v>9.62895103479661E-11</v>
      </c>
      <c r="I230" s="57"/>
    </row>
    <row r="231" spans="1:12" x14ac:dyDescent="0.2">
      <c r="A231" s="56" t="s">
        <v>35</v>
      </c>
      <c r="B231" s="69">
        <f>'Design Regulator'!D71*0.000000001</f>
        <v>1.8000000000000002E-8</v>
      </c>
      <c r="C231" t="s">
        <v>24</v>
      </c>
      <c r="D231" s="69">
        <f>'Design Regulator'!D74*0.000000001</f>
        <v>4.7000000000000007E-9</v>
      </c>
      <c r="E231" t="s">
        <v>24</v>
      </c>
      <c r="I231" s="57"/>
    </row>
    <row r="232" spans="1:12" x14ac:dyDescent="0.2">
      <c r="A232" s="56" t="s">
        <v>36</v>
      </c>
      <c r="B232" s="69">
        <f>'Design Regulator'!D72*0.000000000001</f>
        <v>1E-10</v>
      </c>
      <c r="C232" t="s">
        <v>24</v>
      </c>
      <c r="D232" s="69">
        <f>'Design Regulator'!D75*0.000000000001</f>
        <v>1.7999999999999999E-11</v>
      </c>
      <c r="E232" t="s">
        <v>24</v>
      </c>
      <c r="I232" s="57"/>
    </row>
    <row r="233" spans="1:12" x14ac:dyDescent="0.2">
      <c r="A233" s="56"/>
      <c r="B233" s="48"/>
      <c r="C233"/>
      <c r="I233" s="57"/>
    </row>
    <row r="234" spans="1:12" x14ac:dyDescent="0.2">
      <c r="A234" s="66" t="s">
        <v>394</v>
      </c>
      <c r="C234"/>
      <c r="F234">
        <f>Cout</f>
        <v>4.6999999999999999E-6</v>
      </c>
      <c r="G234">
        <f>Cout_ESR</f>
        <v>2E-3</v>
      </c>
      <c r="I234" s="57"/>
    </row>
    <row r="235" spans="1:12" x14ac:dyDescent="0.2">
      <c r="A235" s="66" t="s">
        <v>37</v>
      </c>
      <c r="B235" s="372">
        <f>1/(2*Pi*Rcea1_u*Cc1ea_u)</f>
        <v>6014.9260496506558</v>
      </c>
      <c r="C235" t="s">
        <v>9</v>
      </c>
      <c r="D235" s="372">
        <f>1/(2*Pi*Rcea2_u*Cc3ea_u)</f>
        <v>5739.4498115310626</v>
      </c>
      <c r="E235" t="s">
        <v>9</v>
      </c>
      <c r="F235" s="114" t="s">
        <v>449</v>
      </c>
      <c r="I235" s="57"/>
    </row>
    <row r="236" spans="1:12" x14ac:dyDescent="0.2">
      <c r="A236" s="66" t="s">
        <v>811</v>
      </c>
      <c r="B236" s="372">
        <f>1/(2*Pi*Rcea1_u*(Cc1ea_u*(Cc2ea_u+Cbw)/(Cc1ea_u+Cc2ea_u+Cbw)))</f>
        <v>1023900.9763489552</v>
      </c>
      <c r="C236" t="s">
        <v>9</v>
      </c>
      <c r="D236" s="372">
        <f>1/(2*Pi*Rcea2_u*(Cc3ea_u*(Cc4ea_u+Cbw)/(Cc3ea_u+Cc4ea_u+Cbw)))</f>
        <v>1112822.8943463131</v>
      </c>
      <c r="E236" t="s">
        <v>9</v>
      </c>
      <c r="F236" t="s">
        <v>132</v>
      </c>
      <c r="I236" s="57"/>
    </row>
    <row r="237" spans="1:12" x14ac:dyDescent="0.2">
      <c r="C237"/>
      <c r="I237" s="57"/>
    </row>
    <row r="238" spans="1:12" x14ac:dyDescent="0.2">
      <c r="A238" s="56" t="s">
        <v>29</v>
      </c>
      <c r="B238" s="317">
        <f>'Design Regulator'!E65*1000</f>
        <v>10000</v>
      </c>
      <c r="C238" s="213" t="s">
        <v>116</v>
      </c>
      <c r="D238" s="317">
        <f>'Design Regulator'!J65*1000</f>
        <v>10000</v>
      </c>
      <c r="E238" s="213" t="s">
        <v>116</v>
      </c>
      <c r="F238" s="114" t="s">
        <v>402</v>
      </c>
      <c r="I238" s="57"/>
    </row>
    <row r="239" spans="1:12" x14ac:dyDescent="0.2">
      <c r="A239" s="66" t="s">
        <v>40</v>
      </c>
      <c r="B239" s="361">
        <f>IF(Vout=Vref,100000000,Vref*B238/((Vout-Vref)))</f>
        <v>1363.6363636363635</v>
      </c>
      <c r="C239" s="213" t="s">
        <v>116</v>
      </c>
      <c r="D239" s="361">
        <f>IF(Vout2=Vref,100000000,Vref*D238/((Vout2-Vref)))</f>
        <v>309.27835051546396</v>
      </c>
      <c r="E239" s="213" t="s">
        <v>116</v>
      </c>
      <c r="F239" s="114" t="s">
        <v>401</v>
      </c>
      <c r="I239" s="57"/>
    </row>
    <row r="240" spans="1:12" x14ac:dyDescent="0.2">
      <c r="A240" s="56" t="s">
        <v>136</v>
      </c>
      <c r="B240" s="68">
        <f>IF(Vout=Vref,"N/A",'Standard Value Calculator'!O11)</f>
        <v>1370</v>
      </c>
      <c r="C240" s="213" t="s">
        <v>116</v>
      </c>
      <c r="D240" s="68">
        <f>IF(Vout2=Vref,"N/A",'Standard Value Calculator'!O13)</f>
        <v>309</v>
      </c>
      <c r="E240" s="213" t="s">
        <v>116</v>
      </c>
      <c r="F240" s="114" t="s">
        <v>400</v>
      </c>
      <c r="I240" s="57"/>
    </row>
    <row r="241" spans="1:9" ht="13.5" thickBot="1" x14ac:dyDescent="0.25">
      <c r="A241" s="384"/>
      <c r="B241" s="384"/>
      <c r="C241" s="71"/>
      <c r="D241" s="61"/>
      <c r="E241" s="71"/>
      <c r="F241" s="61"/>
      <c r="G241" s="61"/>
      <c r="H241" s="61"/>
      <c r="I241" s="62"/>
    </row>
    <row r="242" spans="1:9" x14ac:dyDescent="0.2">
      <c r="A242" s="1"/>
      <c r="B242" s="46"/>
      <c r="C242" s="46"/>
      <c r="E242" s="46"/>
    </row>
    <row r="243" spans="1:9" x14ac:dyDescent="0.2">
      <c r="A243" s="66" t="s">
        <v>172</v>
      </c>
      <c r="B243" s="1"/>
      <c r="C243"/>
    </row>
    <row r="244" spans="1:9" x14ac:dyDescent="0.2">
      <c r="A244" s="66" t="s">
        <v>173</v>
      </c>
      <c r="B244" s="2">
        <v>0</v>
      </c>
      <c r="C244" s="213" t="s">
        <v>116</v>
      </c>
      <c r="D244" s="114" t="s">
        <v>270</v>
      </c>
    </row>
    <row r="245" spans="1:9" x14ac:dyDescent="0.2">
      <c r="A245" s="66" t="s">
        <v>176</v>
      </c>
      <c r="B245" s="382" t="e">
        <f>0.00000002*Fsw*0.6*4/Iripple1</f>
        <v>#NAME?</v>
      </c>
      <c r="C245" s="46"/>
      <c r="E245" s="46"/>
    </row>
    <row r="246" spans="1:9" x14ac:dyDescent="0.2">
      <c r="A246" s="66" t="s">
        <v>175</v>
      </c>
      <c r="B246" s="382" t="e">
        <f>_Don2*RdsonTop+Doff2*RdsonBot</f>
        <v>#NAME?</v>
      </c>
      <c r="C246" s="46"/>
      <c r="E246" s="46"/>
    </row>
    <row r="247" spans="1:9" x14ac:dyDescent="0.2">
      <c r="A247" s="66" t="s">
        <v>174</v>
      </c>
      <c r="B247" s="382" t="e">
        <f>B248*Vin^2*Fsw/2/(((Iripple1/SQRT(3))^2))</f>
        <v>#NAME?</v>
      </c>
      <c r="C247" s="46"/>
      <c r="E247" s="46"/>
    </row>
    <row r="248" spans="1:9" x14ac:dyDescent="0.2">
      <c r="A248" s="66" t="s">
        <v>177</v>
      </c>
      <c r="B248" s="383">
        <v>5.0000000000000001E-9</v>
      </c>
      <c r="C248" s="46"/>
      <c r="E248" s="46"/>
    </row>
    <row r="249" spans="1:9" x14ac:dyDescent="0.2">
      <c r="A249" s="1"/>
      <c r="B249" s="46"/>
      <c r="C249" s="46"/>
      <c r="E249" s="46"/>
    </row>
    <row r="250" spans="1:9" ht="16.5" thickBot="1" x14ac:dyDescent="0.3">
      <c r="A250" s="92" t="s">
        <v>193</v>
      </c>
    </row>
    <row r="251" spans="1:9" x14ac:dyDescent="0.2">
      <c r="A251" s="211" t="s">
        <v>615</v>
      </c>
      <c r="B251" s="63">
        <v>0</v>
      </c>
      <c r="C251" s="297"/>
      <c r="D251" s="63"/>
      <c r="E251" s="63"/>
      <c r="F251" s="63"/>
      <c r="G251" s="63"/>
      <c r="H251" s="63"/>
      <c r="I251" s="64"/>
    </row>
    <row r="252" spans="1:9" x14ac:dyDescent="0.2">
      <c r="A252" s="66" t="s">
        <v>55</v>
      </c>
      <c r="I252" s="57"/>
    </row>
    <row r="253" spans="1:9" x14ac:dyDescent="0.2">
      <c r="A253" s="56" t="s">
        <v>83</v>
      </c>
      <c r="B253" s="29">
        <f>'Design Regulator'!E14</f>
        <v>25</v>
      </c>
      <c r="C253" s="114" t="s">
        <v>226</v>
      </c>
      <c r="D253" t="s">
        <v>96</v>
      </c>
      <c r="I253" s="57"/>
    </row>
    <row r="254" spans="1:9" x14ac:dyDescent="0.2">
      <c r="A254" s="66" t="s">
        <v>58</v>
      </c>
      <c r="C254"/>
      <c r="I254" s="57"/>
    </row>
    <row r="255" spans="1:9" x14ac:dyDescent="0.2">
      <c r="A255" s="56" t="s">
        <v>82</v>
      </c>
      <c r="B255" s="59">
        <f>4000/1000000</f>
        <v>4.0000000000000001E-3</v>
      </c>
      <c r="C255" s="114" t="s">
        <v>279</v>
      </c>
      <c r="D255" s="114" t="s">
        <v>481</v>
      </c>
      <c r="I255" s="57"/>
    </row>
    <row r="256" spans="1:9" ht="15.75" x14ac:dyDescent="0.3">
      <c r="A256" s="212" t="s">
        <v>478</v>
      </c>
      <c r="B256" s="59">
        <v>20</v>
      </c>
      <c r="C256" s="114" t="s">
        <v>205</v>
      </c>
      <c r="D256" s="114" t="s">
        <v>479</v>
      </c>
      <c r="I256" s="57"/>
    </row>
    <row r="257" spans="1:9" x14ac:dyDescent="0.2">
      <c r="A257" s="56" t="s">
        <v>86</v>
      </c>
      <c r="B257" s="29">
        <f>RCinEsr</f>
        <v>1E-3</v>
      </c>
      <c r="C257" s="213" t="s">
        <v>116</v>
      </c>
      <c r="D257" s="114" t="s">
        <v>480</v>
      </c>
      <c r="I257" s="57"/>
    </row>
    <row r="258" spans="1:9" x14ac:dyDescent="0.2">
      <c r="A258" s="56"/>
      <c r="B258" s="29"/>
      <c r="C258" s="213"/>
      <c r="D258" s="114"/>
      <c r="I258" s="57"/>
    </row>
    <row r="259" spans="1:9" x14ac:dyDescent="0.2">
      <c r="A259" s="65" t="s">
        <v>742</v>
      </c>
      <c r="C259"/>
      <c r="I259" s="57"/>
    </row>
    <row r="260" spans="1:9" x14ac:dyDescent="0.2">
      <c r="A260" s="212" t="s">
        <v>699</v>
      </c>
      <c r="B260" s="59">
        <v>5</v>
      </c>
      <c r="C260" t="s">
        <v>0</v>
      </c>
      <c r="D260" s="362" t="s">
        <v>740</v>
      </c>
      <c r="I260" s="57"/>
    </row>
    <row r="261" spans="1:9" x14ac:dyDescent="0.2">
      <c r="A261" s="66" t="s">
        <v>112</v>
      </c>
      <c r="C261"/>
      <c r="I261" s="57"/>
    </row>
    <row r="262" spans="1:9" x14ac:dyDescent="0.2">
      <c r="A262" s="56" t="s">
        <v>61</v>
      </c>
      <c r="B262" s="59">
        <v>1</v>
      </c>
      <c r="C262" s="213" t="s">
        <v>116</v>
      </c>
      <c r="D262" s="114" t="s">
        <v>403</v>
      </c>
      <c r="I262" s="57"/>
    </row>
    <row r="263" spans="1:9" x14ac:dyDescent="0.2">
      <c r="A263" s="56" t="s">
        <v>126</v>
      </c>
      <c r="B263" s="59">
        <v>0.5</v>
      </c>
      <c r="C263" s="213" t="s">
        <v>116</v>
      </c>
      <c r="D263" s="114" t="s">
        <v>404</v>
      </c>
      <c r="I263" s="57"/>
    </row>
    <row r="264" spans="1:9" x14ac:dyDescent="0.2">
      <c r="A264" s="66" t="s">
        <v>113</v>
      </c>
      <c r="C264"/>
      <c r="I264" s="57"/>
    </row>
    <row r="265" spans="1:9" x14ac:dyDescent="0.2">
      <c r="A265" s="56" t="s">
        <v>60</v>
      </c>
      <c r="B265" s="106">
        <v>1</v>
      </c>
      <c r="C265" s="213" t="s">
        <v>116</v>
      </c>
      <c r="D265" s="114" t="s">
        <v>405</v>
      </c>
      <c r="I265" s="57"/>
    </row>
    <row r="266" spans="1:9" x14ac:dyDescent="0.2">
      <c r="A266" s="56" t="s">
        <v>125</v>
      </c>
      <c r="B266" s="59">
        <v>0.5</v>
      </c>
      <c r="C266" s="213" t="s">
        <v>116</v>
      </c>
      <c r="D266" s="114" t="s">
        <v>406</v>
      </c>
      <c r="I266" s="57"/>
    </row>
    <row r="267" spans="1:9" x14ac:dyDescent="0.2">
      <c r="A267" s="66" t="s">
        <v>62</v>
      </c>
      <c r="C267"/>
      <c r="I267" s="57"/>
    </row>
    <row r="268" spans="1:9" x14ac:dyDescent="0.2">
      <c r="A268" s="56" t="s">
        <v>62</v>
      </c>
      <c r="B268" s="67">
        <v>1.4E-8</v>
      </c>
      <c r="C268" t="s">
        <v>133</v>
      </c>
      <c r="D268" t="s">
        <v>98</v>
      </c>
      <c r="G268" s="362" t="s">
        <v>845</v>
      </c>
      <c r="I268" s="57"/>
    </row>
    <row r="269" spans="1:9" x14ac:dyDescent="0.2">
      <c r="A269" s="66" t="s">
        <v>52</v>
      </c>
      <c r="C269"/>
      <c r="I269" s="57"/>
    </row>
    <row r="270" spans="1:9" x14ac:dyDescent="0.2">
      <c r="A270" s="56" t="s">
        <v>128</v>
      </c>
      <c r="B270" s="59">
        <v>3.4999999999999997E-5</v>
      </c>
      <c r="C270" t="s">
        <v>1</v>
      </c>
      <c r="D270" s="114" t="s">
        <v>741</v>
      </c>
      <c r="I270" s="57"/>
    </row>
    <row r="271" spans="1:9" x14ac:dyDescent="0.2">
      <c r="A271" s="56"/>
      <c r="C271"/>
      <c r="I271" s="57"/>
    </row>
    <row r="272" spans="1:9" x14ac:dyDescent="0.2">
      <c r="A272" s="66" t="s">
        <v>738</v>
      </c>
      <c r="B272" s="2" t="s">
        <v>531</v>
      </c>
      <c r="C272"/>
      <c r="D272" s="2" t="s">
        <v>532</v>
      </c>
      <c r="I272" s="57"/>
    </row>
    <row r="273" spans="1:9" x14ac:dyDescent="0.2">
      <c r="A273" s="212" t="s">
        <v>533</v>
      </c>
      <c r="B273" s="29">
        <f>'Design Regulator'!E83/1000</f>
        <v>6.0000000000000001E-3</v>
      </c>
      <c r="C273" s="213" t="s">
        <v>116</v>
      </c>
      <c r="D273" s="29">
        <f>'Design Regulator'!F83/1000</f>
        <v>2.5000000000000001E-3</v>
      </c>
      <c r="E273" s="213" t="s">
        <v>116</v>
      </c>
      <c r="F273" s="114" t="s">
        <v>744</v>
      </c>
      <c r="I273" s="57"/>
    </row>
    <row r="274" spans="1:9" x14ac:dyDescent="0.2">
      <c r="A274" s="56" t="s">
        <v>79</v>
      </c>
      <c r="B274" s="59">
        <f>4000/1000000</f>
        <v>4.0000000000000001E-3</v>
      </c>
      <c r="C274" s="114" t="s">
        <v>279</v>
      </c>
      <c r="E274" s="114"/>
      <c r="F274" s="114" t="s">
        <v>407</v>
      </c>
      <c r="I274" s="57"/>
    </row>
    <row r="275" spans="1:9" x14ac:dyDescent="0.2">
      <c r="A275" s="212" t="s">
        <v>122</v>
      </c>
      <c r="B275" s="72">
        <f>'Design Regulator'!E84/1000000000</f>
        <v>8.0000000000000005E-9</v>
      </c>
      <c r="C275" t="s">
        <v>134</v>
      </c>
      <c r="D275" s="72">
        <f>'Design Regulator'!F84/1000000000</f>
        <v>2.4999999999999999E-8</v>
      </c>
      <c r="E275" t="s">
        <v>134</v>
      </c>
      <c r="F275" s="114" t="s">
        <v>743</v>
      </c>
      <c r="I275" s="57"/>
    </row>
    <row r="276" spans="1:9" x14ac:dyDescent="0.2">
      <c r="A276" s="212" t="s">
        <v>534</v>
      </c>
      <c r="B276" s="72">
        <f>'Design Regulator'!E85/1000000000</f>
        <v>1.3999999999999999E-9</v>
      </c>
      <c r="C276" t="s">
        <v>134</v>
      </c>
      <c r="D276" s="72">
        <f>'Design Regulator'!F85/1000000000</f>
        <v>4.4999999999999998E-9</v>
      </c>
      <c r="E276" t="s">
        <v>134</v>
      </c>
      <c r="F276" t="s">
        <v>121</v>
      </c>
      <c r="I276" s="57"/>
    </row>
    <row r="277" spans="1:9" x14ac:dyDescent="0.2">
      <c r="A277" s="212" t="s">
        <v>535</v>
      </c>
      <c r="B277" s="72">
        <f>'Design Regulator'!E86/1000000000</f>
        <v>3.8000000000000001E-9</v>
      </c>
      <c r="C277" t="s">
        <v>134</v>
      </c>
      <c r="D277" s="72">
        <f>'Design Regulator'!F86/1000000000</f>
        <v>1.2E-8</v>
      </c>
      <c r="E277" t="s">
        <v>134</v>
      </c>
      <c r="F277" t="s">
        <v>826</v>
      </c>
      <c r="I277" s="57"/>
    </row>
    <row r="278" spans="1:9" x14ac:dyDescent="0.2">
      <c r="A278" s="643" t="s">
        <v>822</v>
      </c>
      <c r="B278" s="72">
        <f>'Design Regulator'!E87/1000000000</f>
        <v>0</v>
      </c>
      <c r="C278" t="s">
        <v>134</v>
      </c>
      <c r="D278" s="72">
        <f>'Design Regulator'!F87/1000000000</f>
        <v>2.9999999999999997E-8</v>
      </c>
      <c r="E278" t="s">
        <v>134</v>
      </c>
      <c r="F278" s="114" t="s">
        <v>824</v>
      </c>
      <c r="I278" s="57"/>
    </row>
    <row r="279" spans="1:9" x14ac:dyDescent="0.2">
      <c r="A279" s="643" t="s">
        <v>823</v>
      </c>
      <c r="B279" s="72">
        <f>'Design Regulator'!E88/1000000000000</f>
        <v>2.1299999999999999E-10</v>
      </c>
      <c r="C279" t="s">
        <v>24</v>
      </c>
      <c r="D279" s="72">
        <f>'Design Regulator'!F88/1000000000000</f>
        <v>1.6999999999999999E-9</v>
      </c>
      <c r="E279" t="s">
        <v>24</v>
      </c>
      <c r="F279" s="114" t="s">
        <v>825</v>
      </c>
      <c r="I279" s="57"/>
    </row>
    <row r="280" spans="1:9" x14ac:dyDescent="0.2">
      <c r="A280" s="212" t="s">
        <v>536</v>
      </c>
      <c r="B280" s="29">
        <f>'Design Regulator'!E89</f>
        <v>0.5</v>
      </c>
      <c r="C280" s="213" t="s">
        <v>116</v>
      </c>
      <c r="D280" s="29">
        <f>'Design Regulator'!F89</f>
        <v>0.5</v>
      </c>
      <c r="E280" s="213" t="s">
        <v>116</v>
      </c>
      <c r="F280" t="s">
        <v>100</v>
      </c>
      <c r="I280" s="57"/>
    </row>
    <row r="281" spans="1:9" x14ac:dyDescent="0.2">
      <c r="A281" s="212" t="s">
        <v>537</v>
      </c>
      <c r="B281" s="29">
        <f>'Design Regulator'!E90</f>
        <v>64</v>
      </c>
      <c r="C281" t="s">
        <v>66</v>
      </c>
      <c r="D281" s="29">
        <f>'Design Regulator'!F90</f>
        <v>280</v>
      </c>
      <c r="E281" t="s">
        <v>66</v>
      </c>
      <c r="F281" s="114" t="s">
        <v>747</v>
      </c>
      <c r="I281" s="57"/>
    </row>
    <row r="282" spans="1:9" x14ac:dyDescent="0.2">
      <c r="A282" s="212" t="s">
        <v>538</v>
      </c>
      <c r="B282" s="29">
        <f>'Design Regulator'!E91</f>
        <v>2.9</v>
      </c>
      <c r="C282" t="s">
        <v>0</v>
      </c>
      <c r="D282" s="29">
        <f>'Design Regulator'!F91</f>
        <v>3</v>
      </c>
      <c r="E282" t="s">
        <v>0</v>
      </c>
      <c r="F282" s="114" t="s">
        <v>748</v>
      </c>
      <c r="I282" s="57"/>
    </row>
    <row r="283" spans="1:9" x14ac:dyDescent="0.2">
      <c r="A283" s="212" t="s">
        <v>539</v>
      </c>
      <c r="B283" s="389">
        <f>Vth_Q1+(Iout/Number_of_Phases)/Gfs_Q1</f>
        <v>2.9781249999999999</v>
      </c>
      <c r="C283" t="s">
        <v>0</v>
      </c>
      <c r="D283" s="389">
        <f>Vth_Q2+(Iout/Number_of_Phases)/Gfs_Q2</f>
        <v>3.0178571428571428</v>
      </c>
      <c r="E283" t="s">
        <v>0</v>
      </c>
      <c r="F283" s="114" t="s">
        <v>749</v>
      </c>
      <c r="I283" s="57"/>
    </row>
    <row r="284" spans="1:9" x14ac:dyDescent="0.2">
      <c r="A284" s="56"/>
      <c r="C284"/>
      <c r="F284" s="114"/>
      <c r="I284" s="57"/>
    </row>
    <row r="285" spans="1:9" x14ac:dyDescent="0.2">
      <c r="A285" s="212" t="s">
        <v>541</v>
      </c>
      <c r="B285" s="29">
        <f>'Design Regulator'!E92</f>
        <v>0.7</v>
      </c>
      <c r="C285" t="s">
        <v>0</v>
      </c>
      <c r="D285" s="29">
        <f>'Design Regulator'!F92</f>
        <v>0.7</v>
      </c>
      <c r="E285" t="s">
        <v>0</v>
      </c>
      <c r="F285" s="114" t="s">
        <v>540</v>
      </c>
      <c r="I285" s="57"/>
    </row>
    <row r="286" spans="1:9" x14ac:dyDescent="0.2">
      <c r="A286" s="212" t="s">
        <v>498</v>
      </c>
      <c r="B286" s="72"/>
      <c r="C286" t="s">
        <v>134</v>
      </c>
      <c r="D286" s="72">
        <f>'Design Regulator'!F93/1000000000</f>
        <v>5.9999999999999995E-8</v>
      </c>
      <c r="E286" t="s">
        <v>134</v>
      </c>
      <c r="F286" t="s">
        <v>110</v>
      </c>
      <c r="I286" s="57"/>
    </row>
    <row r="287" spans="1:9" x14ac:dyDescent="0.2">
      <c r="A287" s="212" t="s">
        <v>499</v>
      </c>
      <c r="B287" s="72">
        <v>4.0000000000000001E-8</v>
      </c>
      <c r="C287" t="s">
        <v>133</v>
      </c>
      <c r="D287" s="72">
        <v>4.0000000000000001E-8</v>
      </c>
      <c r="E287" t="s">
        <v>133</v>
      </c>
      <c r="F287" t="s">
        <v>106</v>
      </c>
      <c r="I287" s="57"/>
    </row>
    <row r="288" spans="1:9" x14ac:dyDescent="0.2">
      <c r="A288" s="212" t="s">
        <v>600</v>
      </c>
      <c r="B288" s="29">
        <f>'Design Regulator'!E94</f>
        <v>50</v>
      </c>
      <c r="C288" s="114" t="s">
        <v>205</v>
      </c>
      <c r="D288" s="29">
        <f>'Design Regulator'!F94</f>
        <v>38</v>
      </c>
      <c r="E288" s="114" t="s">
        <v>205</v>
      </c>
      <c r="F288" s="114" t="s">
        <v>746</v>
      </c>
      <c r="I288" s="57"/>
    </row>
    <row r="289" spans="1:9" x14ac:dyDescent="0.2">
      <c r="A289" s="212"/>
      <c r="B289" s="29"/>
      <c r="C289" s="114"/>
      <c r="D289" s="29"/>
      <c r="E289" s="114"/>
      <c r="I289" s="57"/>
    </row>
    <row r="290" spans="1:9" x14ac:dyDescent="0.2">
      <c r="A290" s="212"/>
      <c r="B290" s="114"/>
      <c r="C290" s="114"/>
      <c r="D290" s="114"/>
      <c r="E290" s="114"/>
      <c r="I290" s="57"/>
    </row>
    <row r="291" spans="1:9" x14ac:dyDescent="0.2">
      <c r="A291" s="66" t="s">
        <v>739</v>
      </c>
      <c r="B291" s="2" t="s">
        <v>529</v>
      </c>
      <c r="C291"/>
      <c r="D291" s="2" t="s">
        <v>530</v>
      </c>
      <c r="I291" s="57"/>
    </row>
    <row r="292" spans="1:9" x14ac:dyDescent="0.2">
      <c r="A292" s="212" t="s">
        <v>533</v>
      </c>
      <c r="B292" s="29">
        <f>'Design Regulator'!H83/1000</f>
        <v>6.0000000000000001E-3</v>
      </c>
      <c r="C292" s="213" t="s">
        <v>116</v>
      </c>
      <c r="D292" s="29">
        <f>'Design Regulator'!I83/1000</f>
        <v>2.5000000000000001E-3</v>
      </c>
      <c r="E292" s="213" t="s">
        <v>116</v>
      </c>
      <c r="F292" s="114" t="s">
        <v>745</v>
      </c>
      <c r="I292" s="57"/>
    </row>
    <row r="293" spans="1:9" x14ac:dyDescent="0.2">
      <c r="A293" s="56" t="s">
        <v>80</v>
      </c>
      <c r="B293" s="408">
        <f>4000/1000000</f>
        <v>4.0000000000000001E-3</v>
      </c>
      <c r="C293" s="114" t="s">
        <v>279</v>
      </c>
      <c r="E293" s="114"/>
      <c r="F293" s="114" t="s">
        <v>407</v>
      </c>
      <c r="I293" s="57"/>
    </row>
    <row r="294" spans="1:9" x14ac:dyDescent="0.2">
      <c r="A294" s="212" t="s">
        <v>122</v>
      </c>
      <c r="B294" s="72">
        <f>'Design Regulator'!H84/1000000000</f>
        <v>8.0000000000000005E-9</v>
      </c>
      <c r="C294" t="s">
        <v>134</v>
      </c>
      <c r="D294" s="72">
        <f>'Design Regulator'!I84/1000000000</f>
        <v>2.4999999999999999E-8</v>
      </c>
      <c r="E294" t="s">
        <v>134</v>
      </c>
      <c r="F294" s="114" t="s">
        <v>743</v>
      </c>
      <c r="I294" s="57"/>
    </row>
    <row r="295" spans="1:9" x14ac:dyDescent="0.2">
      <c r="A295" s="212" t="s">
        <v>534</v>
      </c>
      <c r="B295" s="72">
        <f>'Design Regulator'!H85/1000000000</f>
        <v>1.3999999999999999E-9</v>
      </c>
      <c r="C295" t="s">
        <v>134</v>
      </c>
      <c r="D295" s="72">
        <f>'Design Regulator'!I85/1000000000</f>
        <v>4.4999999999999998E-9</v>
      </c>
      <c r="E295" t="s">
        <v>134</v>
      </c>
      <c r="F295" t="s">
        <v>121</v>
      </c>
      <c r="I295" s="57"/>
    </row>
    <row r="296" spans="1:9" x14ac:dyDescent="0.2">
      <c r="A296" s="212" t="s">
        <v>535</v>
      </c>
      <c r="B296" s="72">
        <f>'Design Regulator'!H86/1000000000</f>
        <v>3.8000000000000001E-9</v>
      </c>
      <c r="C296" t="s">
        <v>134</v>
      </c>
      <c r="D296" s="72">
        <f>'Design Regulator'!I86/1000000000</f>
        <v>1.2E-8</v>
      </c>
      <c r="E296" t="s">
        <v>134</v>
      </c>
      <c r="F296" t="s">
        <v>826</v>
      </c>
      <c r="I296" s="57"/>
    </row>
    <row r="297" spans="1:9" x14ac:dyDescent="0.2">
      <c r="A297" s="643" t="s">
        <v>822</v>
      </c>
      <c r="B297" s="72">
        <f>'Design Regulator'!H87/1000000000</f>
        <v>0</v>
      </c>
      <c r="C297" t="s">
        <v>134</v>
      </c>
      <c r="D297" s="72">
        <f>'Design Regulator'!I87/1000000000</f>
        <v>2.9999999999999997E-8</v>
      </c>
      <c r="E297" t="s">
        <v>134</v>
      </c>
      <c r="F297" s="114" t="s">
        <v>824</v>
      </c>
      <c r="I297" s="57"/>
    </row>
    <row r="298" spans="1:9" x14ac:dyDescent="0.2">
      <c r="A298" s="643" t="s">
        <v>823</v>
      </c>
      <c r="B298" s="72">
        <f>'Design Regulator'!H88/1000000000000</f>
        <v>2.1299999999999999E-10</v>
      </c>
      <c r="C298" t="s">
        <v>24</v>
      </c>
      <c r="D298" s="72">
        <f>'Design Regulator'!I88/1000000000000</f>
        <v>1.6999999999999999E-9</v>
      </c>
      <c r="E298" t="s">
        <v>24</v>
      </c>
      <c r="F298" s="114" t="s">
        <v>825</v>
      </c>
      <c r="I298" s="57"/>
    </row>
    <row r="299" spans="1:9" x14ac:dyDescent="0.2">
      <c r="A299" s="212" t="s">
        <v>536</v>
      </c>
      <c r="B299" s="29">
        <f>'Design Regulator'!H89</f>
        <v>0.5</v>
      </c>
      <c r="C299" s="213" t="s">
        <v>116</v>
      </c>
      <c r="D299" s="29">
        <f>'Design Regulator'!I89</f>
        <v>0.5</v>
      </c>
      <c r="E299" s="213" t="s">
        <v>116</v>
      </c>
      <c r="F299" t="s">
        <v>100</v>
      </c>
      <c r="I299" s="57"/>
    </row>
    <row r="300" spans="1:9" x14ac:dyDescent="0.2">
      <c r="A300" s="212" t="s">
        <v>537</v>
      </c>
      <c r="B300" s="29">
        <f>'Design Regulator'!H90</f>
        <v>64</v>
      </c>
      <c r="C300" t="s">
        <v>66</v>
      </c>
      <c r="D300" s="29">
        <f>'Design Regulator'!I90</f>
        <v>280</v>
      </c>
      <c r="E300" t="s">
        <v>66</v>
      </c>
      <c r="F300" s="114" t="s">
        <v>747</v>
      </c>
      <c r="I300" s="57"/>
    </row>
    <row r="301" spans="1:9" x14ac:dyDescent="0.2">
      <c r="A301" s="212" t="s">
        <v>538</v>
      </c>
      <c r="B301" s="29">
        <f>'Design Regulator'!H91</f>
        <v>2.9</v>
      </c>
      <c r="C301" t="s">
        <v>0</v>
      </c>
      <c r="D301" s="29">
        <f>'Design Regulator'!I91</f>
        <v>3</v>
      </c>
      <c r="E301" t="s">
        <v>0</v>
      </c>
      <c r="F301" s="114" t="s">
        <v>748</v>
      </c>
      <c r="I301" s="57"/>
    </row>
    <row r="302" spans="1:9" x14ac:dyDescent="0.2">
      <c r="A302" s="212" t="s">
        <v>539</v>
      </c>
      <c r="B302" s="389">
        <f>Vth_Q3+Iout2/Gfs_Q3</f>
        <v>2.9781249999999999</v>
      </c>
      <c r="C302" t="s">
        <v>0</v>
      </c>
      <c r="D302" s="389">
        <f>Vth_Q4+Iout2/Gfs_Q4</f>
        <v>3.0178571428571428</v>
      </c>
      <c r="E302" t="s">
        <v>0</v>
      </c>
      <c r="F302" s="114" t="s">
        <v>749</v>
      </c>
      <c r="I302" s="57"/>
    </row>
    <row r="303" spans="1:9" x14ac:dyDescent="0.2">
      <c r="E303" s="2"/>
      <c r="I303" s="57"/>
    </row>
    <row r="304" spans="1:9" x14ac:dyDescent="0.2">
      <c r="A304" s="212" t="s">
        <v>72</v>
      </c>
      <c r="B304" s="29">
        <f>'Design Regulator'!H92</f>
        <v>0.7</v>
      </c>
      <c r="C304" t="s">
        <v>0</v>
      </c>
      <c r="D304" s="29">
        <f>'Design Regulator'!I92</f>
        <v>0.7</v>
      </c>
      <c r="E304" t="s">
        <v>0</v>
      </c>
      <c r="F304" s="114" t="s">
        <v>540</v>
      </c>
      <c r="I304" s="57"/>
    </row>
    <row r="305" spans="1:9" x14ac:dyDescent="0.2">
      <c r="A305" s="56" t="s">
        <v>73</v>
      </c>
      <c r="B305" s="72"/>
      <c r="C305" t="s">
        <v>134</v>
      </c>
      <c r="D305" s="72">
        <f>'Design Regulator'!I93/1000000000</f>
        <v>5.9999999999999995E-8</v>
      </c>
      <c r="E305" t="s">
        <v>134</v>
      </c>
      <c r="F305" t="s">
        <v>110</v>
      </c>
      <c r="I305" s="57"/>
    </row>
    <row r="306" spans="1:9" x14ac:dyDescent="0.2">
      <c r="A306" s="56" t="s">
        <v>74</v>
      </c>
      <c r="B306" s="72">
        <v>4.0000000000000001E-8</v>
      </c>
      <c r="C306" t="s">
        <v>133</v>
      </c>
      <c r="D306" s="72">
        <v>4.0000000000000001E-8</v>
      </c>
      <c r="E306" t="s">
        <v>133</v>
      </c>
      <c r="F306" t="s">
        <v>106</v>
      </c>
      <c r="I306" s="57"/>
    </row>
    <row r="307" spans="1:9" x14ac:dyDescent="0.2">
      <c r="A307" s="212" t="s">
        <v>601</v>
      </c>
      <c r="B307" s="29">
        <f>'Design Regulator'!H94</f>
        <v>50</v>
      </c>
      <c r="C307" s="114" t="s">
        <v>205</v>
      </c>
      <c r="D307" s="29">
        <f>'Design Regulator'!I94</f>
        <v>38</v>
      </c>
      <c r="E307" s="114" t="s">
        <v>205</v>
      </c>
      <c r="F307" s="114" t="s">
        <v>746</v>
      </c>
      <c r="I307" s="57"/>
    </row>
    <row r="308" spans="1:9" x14ac:dyDescent="0.2">
      <c r="A308" s="212"/>
      <c r="B308" s="29"/>
      <c r="C308" s="114"/>
      <c r="D308" s="29"/>
      <c r="E308" s="114"/>
      <c r="I308" s="57"/>
    </row>
    <row r="309" spans="1:9" x14ac:dyDescent="0.2">
      <c r="A309" s="66" t="s">
        <v>522</v>
      </c>
      <c r="B309" s="486"/>
      <c r="D309" s="486"/>
      <c r="I309" s="57"/>
    </row>
    <row r="310" spans="1:9" x14ac:dyDescent="0.2">
      <c r="A310" s="56" t="s">
        <v>195</v>
      </c>
      <c r="B310" s="29">
        <f>'Design Regulator'!E97</f>
        <v>0</v>
      </c>
      <c r="C310" t="s">
        <v>0</v>
      </c>
      <c r="D310" s="29">
        <f>'Design Regulator'!F97</f>
        <v>0</v>
      </c>
      <c r="E310" t="s">
        <v>0</v>
      </c>
      <c r="F310" t="s">
        <v>198</v>
      </c>
      <c r="I310" s="57"/>
    </row>
    <row r="311" spans="1:9" x14ac:dyDescent="0.2">
      <c r="A311" s="56" t="s">
        <v>196</v>
      </c>
      <c r="B311" s="72">
        <f>'Design Regulator'!E98/1000000000</f>
        <v>0</v>
      </c>
      <c r="C311" t="s">
        <v>134</v>
      </c>
      <c r="D311" s="72">
        <f>'Design Regulator'!F98/1000000000</f>
        <v>0</v>
      </c>
      <c r="E311" t="s">
        <v>134</v>
      </c>
      <c r="F311" t="s">
        <v>199</v>
      </c>
      <c r="I311" s="57"/>
    </row>
    <row r="312" spans="1:9" x14ac:dyDescent="0.2">
      <c r="A312" s="56" t="s">
        <v>197</v>
      </c>
      <c r="B312" s="29">
        <v>0</v>
      </c>
      <c r="C312" t="s">
        <v>1</v>
      </c>
      <c r="D312" s="29">
        <v>0</v>
      </c>
      <c r="E312" t="s">
        <v>1</v>
      </c>
      <c r="F312" t="s">
        <v>200</v>
      </c>
      <c r="I312" s="57"/>
    </row>
    <row r="313" spans="1:9" x14ac:dyDescent="0.2">
      <c r="A313" s="56"/>
      <c r="C313"/>
      <c r="I313" s="57"/>
    </row>
    <row r="314" spans="1:9" x14ac:dyDescent="0.2">
      <c r="A314" s="66" t="s">
        <v>117</v>
      </c>
      <c r="C314"/>
      <c r="I314" s="57"/>
    </row>
    <row r="315" spans="1:9" x14ac:dyDescent="0.2">
      <c r="A315" s="212" t="s">
        <v>473</v>
      </c>
      <c r="B315" s="408">
        <v>34.799999999999997</v>
      </c>
      <c r="C315" s="114" t="s">
        <v>205</v>
      </c>
      <c r="D315" s="114"/>
      <c r="E315" s="114"/>
      <c r="F315" t="s">
        <v>477</v>
      </c>
      <c r="I315" s="57"/>
    </row>
    <row r="316" spans="1:9" x14ac:dyDescent="0.2">
      <c r="A316" s="66" t="s">
        <v>77</v>
      </c>
      <c r="C316"/>
      <c r="I316" s="57"/>
    </row>
    <row r="317" spans="1:9" x14ac:dyDescent="0.2">
      <c r="A317" s="212" t="s">
        <v>59</v>
      </c>
      <c r="C317"/>
      <c r="I317" s="57"/>
    </row>
    <row r="318" spans="1:9" x14ac:dyDescent="0.2">
      <c r="A318" s="56" t="s">
        <v>88</v>
      </c>
      <c r="B318" s="69">
        <f>(Qgd_Q1+Qgs_Q1/2)*(RdsonDRT+Rgate1)/(VCC-Vsp_Q1)</f>
        <v>2.4482225656877897E-9</v>
      </c>
      <c r="C318" t="s">
        <v>133</v>
      </c>
      <c r="D318" s="69">
        <f>(Qgd_Q3+Qgs_Q3/2)*(RdsonDRT+Rgate3)/(VCC-Vsp_Q3)</f>
        <v>2.4482225656877897E-9</v>
      </c>
      <c r="E318" t="s">
        <v>133</v>
      </c>
      <c r="I318" s="57"/>
    </row>
    <row r="319" spans="1:9" x14ac:dyDescent="0.2">
      <c r="A319" s="56" t="s">
        <v>89</v>
      </c>
      <c r="B319" s="69">
        <f>(Qgd_Q1+Qgs_Q1/2)*(RdsonDRT2+Rgate1)/(Vsp_Q1)</f>
        <v>1.1080797481636935E-9</v>
      </c>
      <c r="C319" t="s">
        <v>133</v>
      </c>
      <c r="D319" s="69">
        <f>(Qgd_Q3+Qgs_Q3/2)*(RdsonDRT2+Rgate3)/(Vsp_Q3)</f>
        <v>1.1080797481636935E-9</v>
      </c>
      <c r="E319" t="s">
        <v>133</v>
      </c>
      <c r="I319" s="57"/>
    </row>
    <row r="320" spans="1:9" x14ac:dyDescent="0.2">
      <c r="A320" s="56"/>
      <c r="C320"/>
      <c r="I320" s="57"/>
    </row>
    <row r="321" spans="1:9" x14ac:dyDescent="0.2">
      <c r="A321" s="66" t="s">
        <v>413</v>
      </c>
      <c r="B321" s="2" t="s">
        <v>7</v>
      </c>
      <c r="C321" s="2" t="s">
        <v>76</v>
      </c>
      <c r="I321" s="57"/>
    </row>
    <row r="322" spans="1:9" x14ac:dyDescent="0.2">
      <c r="A322" s="58" t="s">
        <v>115</v>
      </c>
      <c r="B322" s="3">
        <f>CHOOSE(Ext_VCC, IF(MODE=1, (Qg_Q1+Qg_Q2+Qg_Q3+Qg_Q4)*Fsw*VCC, (Qg_Q1+Qg_Q2)*2*Fsw*VCC), IF(MODE=1, (Qg_Q1+Qg_Q2+Qg_Q3+Qg_Q4)*Fsw*Vin, (Qg_Q1+Qg_Q2)*2*Fsw*Vin))</f>
        <v>0.69300000000000006</v>
      </c>
      <c r="C322" s="3" t="s">
        <v>116</v>
      </c>
      <c r="I322" s="57"/>
    </row>
    <row r="323" spans="1:9" x14ac:dyDescent="0.2">
      <c r="A323" s="58" t="s">
        <v>119</v>
      </c>
      <c r="B323" s="642">
        <f>B322*ThetaJaCtrl</f>
        <v>24.116399999999999</v>
      </c>
      <c r="C323" s="114" t="s">
        <v>226</v>
      </c>
      <c r="I323" s="57"/>
    </row>
    <row r="324" spans="1:9" x14ac:dyDescent="0.2">
      <c r="A324" s="212" t="s">
        <v>807</v>
      </c>
      <c r="B324" s="642">
        <f>B323 + Ta</f>
        <v>49.116399999999999</v>
      </c>
      <c r="C324" s="114" t="s">
        <v>226</v>
      </c>
      <c r="I324" s="57"/>
    </row>
    <row r="325" spans="1:9" x14ac:dyDescent="0.2">
      <c r="A325" s="643"/>
      <c r="B325" s="642"/>
      <c r="C325" s="114"/>
      <c r="I325" s="57"/>
    </row>
    <row r="326" spans="1:9" x14ac:dyDescent="0.2">
      <c r="A326" s="58" t="s">
        <v>210</v>
      </c>
      <c r="B326" s="42">
        <f>(Qg_Q1+Qg_Q2)*Fsw+Iq</f>
        <v>6.9334999999999994E-2</v>
      </c>
      <c r="C326" t="s">
        <v>1</v>
      </c>
      <c r="I326" s="57"/>
    </row>
    <row r="327" spans="1:9" x14ac:dyDescent="0.2">
      <c r="A327" s="58" t="s">
        <v>211</v>
      </c>
      <c r="B327">
        <f>Qrr_Q2*Fsw</f>
        <v>0.126</v>
      </c>
      <c r="C327" t="s">
        <v>1</v>
      </c>
      <c r="I327" s="57"/>
    </row>
    <row r="328" spans="1:9" x14ac:dyDescent="0.2">
      <c r="A328" s="58" t="s">
        <v>212</v>
      </c>
      <c r="B328" t="e">
        <f>C328/Vin</f>
        <v>#NAME?</v>
      </c>
      <c r="C328" t="e">
        <f>Deadtime*Fsw*(Ipp/2)*(Vsd_Q1+Vsd_Q2)</f>
        <v>#NAME?</v>
      </c>
      <c r="I328" s="57"/>
    </row>
    <row r="329" spans="1:9" x14ac:dyDescent="0.2">
      <c r="A329" s="58" t="s">
        <v>214</v>
      </c>
      <c r="B329" t="e">
        <f>SUM(B326:B328)</f>
        <v>#NAME?</v>
      </c>
      <c r="C329" t="s">
        <v>1</v>
      </c>
      <c r="I329" s="57"/>
    </row>
    <row r="330" spans="1:9" x14ac:dyDescent="0.2">
      <c r="A330" s="56"/>
      <c r="I330" s="57"/>
    </row>
    <row r="331" spans="1:9" x14ac:dyDescent="0.2">
      <c r="A331" s="66" t="s">
        <v>440</v>
      </c>
      <c r="I331" s="57"/>
    </row>
    <row r="332" spans="1:9" x14ac:dyDescent="0.2">
      <c r="A332" s="56" t="s">
        <v>114</v>
      </c>
      <c r="I332" s="57"/>
    </row>
    <row r="333" spans="1:9" ht="13.5" thickBot="1" x14ac:dyDescent="0.25">
      <c r="A333" s="60" t="s">
        <v>115</v>
      </c>
      <c r="B333" s="61"/>
      <c r="C333" s="298"/>
      <c r="D333" s="61"/>
      <c r="E333" s="61"/>
      <c r="F333" s="61"/>
      <c r="G333" s="61"/>
      <c r="H333" s="61"/>
      <c r="I333" s="62"/>
    </row>
    <row r="334" spans="1:9" x14ac:dyDescent="0.2">
      <c r="A334" s="1"/>
      <c r="B334" s="1"/>
      <c r="C334" s="1"/>
    </row>
    <row r="335" spans="1:9" ht="21.75" customHeight="1" thickBot="1" x14ac:dyDescent="0.3">
      <c r="A335" s="89" t="s">
        <v>206</v>
      </c>
      <c r="D335" s="2"/>
    </row>
    <row r="336" spans="1:9" x14ac:dyDescent="0.2">
      <c r="A336" s="90" t="str">
        <f>"RC1 = "&amp;'Design Regulator'!D70&amp;"kΩ"</f>
        <v>RC1 = 1.47kΩ</v>
      </c>
      <c r="B336" s="63" t="str">
        <f>'Design Regulator'!D70&amp;"kΩ"</f>
        <v>1.47kΩ</v>
      </c>
      <c r="C336" s="297"/>
      <c r="D336" s="292" t="str">
        <f>'Design Regulator'!D73&amp;"kΩ"</f>
        <v>5.9kΩ</v>
      </c>
      <c r="E336" s="63"/>
      <c r="F336" s="63"/>
      <c r="G336" s="63"/>
      <c r="H336" s="63"/>
      <c r="I336" s="64"/>
    </row>
    <row r="337" spans="1:9" x14ac:dyDescent="0.2">
      <c r="A337" s="56" t="str">
        <f>"RC2 = "&amp;'Design Regulator'!D73&amp;"kΩ"</f>
        <v>RC2 = 5.9kΩ</v>
      </c>
      <c r="B337" t="str">
        <f>'Design Regulator'!D73&amp;"kΩ"</f>
        <v>5.9kΩ</v>
      </c>
      <c r="I337" s="57"/>
    </row>
    <row r="338" spans="1:9" x14ac:dyDescent="0.2">
      <c r="A338" s="56"/>
      <c r="I338" s="57"/>
    </row>
    <row r="339" spans="1:9" x14ac:dyDescent="0.2">
      <c r="A339" s="56" t="str">
        <f>"LF = "&amp;'Design Regulator'!E28&amp;"µH"</f>
        <v>LF = 2.2µH</v>
      </c>
      <c r="B339" t="str">
        <f>'Design Regulator'!E28&amp;"µH"</f>
        <v>2.2µH</v>
      </c>
      <c r="D339" t="str">
        <f>IF(MODE = 1, 'Design Regulator'!J28&amp;"µH", 'Design Regulator'!E28&amp;"µH")</f>
        <v>2.2µH</v>
      </c>
      <c r="I339" s="57"/>
    </row>
    <row r="340" spans="1:9" x14ac:dyDescent="0.2">
      <c r="A340" s="56" t="str">
        <f>"Rdcr = "&amp;Rdcr*1000&amp;"mΩ"</f>
        <v>Rdcr = 1.35mΩ</v>
      </c>
      <c r="B340" t="str">
        <f>Rdcr*1000&amp;"mΩ"</f>
        <v>1.35mΩ</v>
      </c>
      <c r="D340" t="str">
        <f>IF(MODE=1, Rdcr2*1000&amp;"mΩ", Rdcr*1000&amp;"mΩ")</f>
        <v>1.35mΩ</v>
      </c>
      <c r="I340" s="57"/>
    </row>
    <row r="341" spans="1:9" x14ac:dyDescent="0.2">
      <c r="A341" s="56" t="str">
        <f>"Rs = "&amp;'Design Regulator'!E19&amp;"mΩ"</f>
        <v>Rs = 10mΩ</v>
      </c>
      <c r="B341" t="str">
        <f>CHOOSE(SENSING_TYPE, 'Design Regulator'!E19&amp;"mΩ", Rdcr*1000&amp;"mΩ")</f>
        <v>10mΩ</v>
      </c>
      <c r="D341" t="str">
        <f>IF(MODE = 1, 'Design Regulator'!J19&amp;"mΩ", CHOOSE(SENSING_TYPE, 'Design Regulator'!E19&amp;"mΩ", Rdcr*1000&amp;"mΩ"))</f>
        <v>10mΩ</v>
      </c>
      <c r="I341" s="57"/>
    </row>
    <row r="342" spans="1:9" x14ac:dyDescent="0.2">
      <c r="A342" s="56"/>
      <c r="I342" s="57"/>
    </row>
    <row r="343" spans="1:9" x14ac:dyDescent="0.2">
      <c r="A343" s="56" t="str">
        <f>"VOUT = "&amp;'Design Regulator'!E10&amp;"V"</f>
        <v>VOUT = 5V</v>
      </c>
      <c r="B343" t="str">
        <f>'Design Regulator'!E10&amp;"V"</f>
        <v>5V</v>
      </c>
      <c r="D343" t="str">
        <f>IF(MODE=1, 'Design Regulator'!J10&amp;"V", "")</f>
        <v>20V</v>
      </c>
      <c r="I343" s="57"/>
    </row>
    <row r="344" spans="1:9" x14ac:dyDescent="0.2">
      <c r="A344" s="56"/>
      <c r="I344" s="57"/>
    </row>
    <row r="345" spans="1:9" x14ac:dyDescent="0.2">
      <c r="A345" s="56" t="str">
        <f>"COUT = "&amp;'Design Regulator'!$E$35&amp;"µF"</f>
        <v>COUT = 4.7µF</v>
      </c>
      <c r="B345" t="str">
        <f>ROUND('Design Regulator'!$E$35/Number_of_Phases, 0)&amp;"µF"</f>
        <v>5µF</v>
      </c>
      <c r="D345" t="str">
        <f>IF(MODE=1, 'Design Regulator'!$J$35&amp;"µF", ROUND('Design Regulator'!$E$35/Number_of_Phases, 0)&amp;"µF")</f>
        <v>4.7µF</v>
      </c>
      <c r="I345" s="57"/>
    </row>
    <row r="346" spans="1:9" x14ac:dyDescent="0.2">
      <c r="A346" s="212" t="s">
        <v>266</v>
      </c>
      <c r="B346" t="str">
        <f>"22µF"</f>
        <v>22µF</v>
      </c>
      <c r="I346" s="57"/>
    </row>
    <row r="347" spans="1:9" x14ac:dyDescent="0.2">
      <c r="A347" s="212" t="s">
        <v>267</v>
      </c>
      <c r="B347" s="116" t="str">
        <f>ROUNDUP(Cout*1000000/22,0)&amp;" x"</f>
        <v>1 x</v>
      </c>
      <c r="C347" s="299"/>
      <c r="I347" s="57"/>
    </row>
    <row r="348" spans="1:9" x14ac:dyDescent="0.2">
      <c r="A348" s="56"/>
      <c r="I348" s="57"/>
    </row>
    <row r="349" spans="1:9" x14ac:dyDescent="0.2">
      <c r="A349" s="56" t="s">
        <v>215</v>
      </c>
      <c r="B349" t="str">
        <f>Cin*1000000&amp;"µF"</f>
        <v>50µF</v>
      </c>
      <c r="I349" s="57"/>
    </row>
    <row r="350" spans="1:9" x14ac:dyDescent="0.2">
      <c r="A350" s="212" t="s">
        <v>265</v>
      </c>
      <c r="B350" t="str">
        <f>"10µF"</f>
        <v>10µF</v>
      </c>
      <c r="I350" s="57"/>
    </row>
    <row r="351" spans="1:9" x14ac:dyDescent="0.2">
      <c r="A351" s="212" t="s">
        <v>264</v>
      </c>
      <c r="B351" s="116" t="str">
        <f>ROUNDUP(Cin*1000000/10,0)&amp;" x"</f>
        <v>5 x</v>
      </c>
      <c r="C351" s="299"/>
      <c r="I351" s="57"/>
    </row>
    <row r="352" spans="1:9" x14ac:dyDescent="0.2">
      <c r="A352" s="212"/>
      <c r="B352" s="116"/>
      <c r="C352" s="299"/>
      <c r="I352" s="57"/>
    </row>
    <row r="353" spans="1:9" x14ac:dyDescent="0.2">
      <c r="A353" s="56" t="str">
        <f>"RC1 = "&amp;Rcea1_u/1000&amp;"kΩ"</f>
        <v>RC1 = 1.47kΩ</v>
      </c>
      <c r="B353" t="str">
        <f>ROUND(Rcea1_u/1000,2)&amp;"kΩ"</f>
        <v>1.47kΩ</v>
      </c>
      <c r="C353" s="114" t="str">
        <f>IF(MODE=1, "Rc2", "")</f>
        <v>Rc2</v>
      </c>
      <c r="D353" t="str">
        <f>IF(MODE=1, ROUND(Rcea2_u/1000,2)&amp;"kΩ", "")</f>
        <v>5.9kΩ</v>
      </c>
      <c r="E353">
        <f>IF(MODE=1, ROUND(Rcea2_u/1000,2), "")</f>
        <v>5.9</v>
      </c>
      <c r="I353" s="57"/>
    </row>
    <row r="354" spans="1:9" x14ac:dyDescent="0.2">
      <c r="A354" s="56" t="str">
        <f>"CC1 = "&amp;Cc1ea_u*10^9&amp;"nF"</f>
        <v>CC1 = 18nF</v>
      </c>
      <c r="B354" t="str">
        <f>Cc1ea_u*10^9&amp;"nF"</f>
        <v>18nF</v>
      </c>
      <c r="C354" s="114" t="str">
        <f>IF(MODE=1, "Cc3", "")</f>
        <v>Cc3</v>
      </c>
      <c r="D354" t="str">
        <f>IF(MODE=1, Cc3ea_u*10^9&amp;"nF", "")</f>
        <v>4.7nF</v>
      </c>
      <c r="E354">
        <f>IF(MODE=1, Cc3ea_u*10^9, "")</f>
        <v>4.7000000000000011</v>
      </c>
      <c r="I354" s="57"/>
    </row>
    <row r="355" spans="1:9" x14ac:dyDescent="0.2">
      <c r="A355" s="56" t="str">
        <f>"CC2 = "&amp;IF(Cc2ea_u&gt;0, Cc2ea_u*10^12&amp;"pF", "OPEN")</f>
        <v>CC2 = 100pF</v>
      </c>
      <c r="B355" t="str">
        <f>IF(Cc2ea_u&gt;0, ROUND(Cc2ea_u*10^12,1)&amp;"pF", "N/A")</f>
        <v>100pF</v>
      </c>
      <c r="C355" s="114" t="str">
        <f>IF(MODE=1, "Cc4", "")</f>
        <v>Cc4</v>
      </c>
      <c r="D355" t="str">
        <f>IF(MODE=1, IF(Cc4ea_u&gt;0, ROUND(Cc4ea_u*10^12,1)&amp;"pF", "N/A"), "")</f>
        <v>18pF</v>
      </c>
      <c r="E355">
        <f>IF(MODE=1, IF(Cc4ea_u&gt;0, ROUND(Cc4ea_u*10^12,1), "N/A"), "")</f>
        <v>18</v>
      </c>
      <c r="I355" s="57"/>
    </row>
    <row r="356" spans="1:9" x14ac:dyDescent="0.2">
      <c r="A356" s="56"/>
      <c r="I356" s="57"/>
    </row>
    <row r="357" spans="1:9" x14ac:dyDescent="0.2">
      <c r="A357" s="56" t="str">
        <f>"gm = "&amp;$B$184*1000&amp;"mS"</f>
        <v>gm = 1.2mS</v>
      </c>
      <c r="B357" t="str">
        <f>$B$184*1000&amp;"mS"</f>
        <v>1.2mS</v>
      </c>
      <c r="I357" s="57"/>
    </row>
    <row r="358" spans="1:9" x14ac:dyDescent="0.2">
      <c r="A358" s="56" t="str">
        <f>"RoEA = "&amp;RoEA/1000000&amp;"MΩ"</f>
        <v>RoEA = 64MΩ</v>
      </c>
      <c r="B358" t="str">
        <f>RoEA/1000000&amp;"MΩ"</f>
        <v>64MΩ</v>
      </c>
      <c r="I358" s="57"/>
    </row>
    <row r="359" spans="1:9" x14ac:dyDescent="0.2">
      <c r="A359" s="56" t="str">
        <f>"GBW = "&amp;GBW&amp;"MHz"</f>
        <v>GBW = 30MHz</v>
      </c>
      <c r="B359" t="str">
        <f>GBW&amp;"MHz"</f>
        <v>30MHz</v>
      </c>
      <c r="I359" s="57"/>
    </row>
    <row r="360" spans="1:9" x14ac:dyDescent="0.2">
      <c r="A360" s="56"/>
      <c r="I360" s="57"/>
    </row>
    <row r="361" spans="1:9" x14ac:dyDescent="0.2">
      <c r="A361" s="56" t="e">
        <f>"Cslope = "&amp;Cslope&amp;"pF"</f>
        <v>#NAME?</v>
      </c>
      <c r="B361" t="e">
        <f>ROUND(Cslope*1,0)&amp;"pF"</f>
        <v>#NAME?</v>
      </c>
      <c r="I361" s="57"/>
    </row>
    <row r="362" spans="1:9" x14ac:dyDescent="0.2">
      <c r="A362" s="56" t="str">
        <f>IF(DITHER=1, "Cdither = "&amp;Cdither*1000000000&amp;"nF", "")</f>
        <v/>
      </c>
      <c r="B362" t="str">
        <f>IF(DITHER=1, ROUND(Cdither*1000000000,1)&amp;"nF", "")</f>
        <v/>
      </c>
      <c r="C362" s="2" t="str">
        <f>IF(DITHER=1, "Cd", "")</f>
        <v/>
      </c>
      <c r="I362" s="57"/>
    </row>
    <row r="363" spans="1:9" x14ac:dyDescent="0.2">
      <c r="A363" s="56" t="str">
        <f>"RFB1 = "&amp;'Design Regulator'!E65&amp;"kΩ"</f>
        <v>RFB1 = 10kΩ</v>
      </c>
      <c r="B363" t="str">
        <f>'Design Regulator'!E65&amp;"kΩ"</f>
        <v>10kΩ</v>
      </c>
      <c r="D363" t="str">
        <f>'Design Regulator'!J65&amp;"kΩ"</f>
        <v>10kΩ</v>
      </c>
      <c r="I363" s="57"/>
    </row>
    <row r="364" spans="1:9" x14ac:dyDescent="0.2">
      <c r="A364" s="56" t="str">
        <f>"RFB2 = "&amp;IF(Vout=Vref,"OPEN",'Design Regulator'!E66&amp;"kΩ")</f>
        <v>RFB2 = 1.37kΩ</v>
      </c>
      <c r="B364" t="str">
        <f>IF(Vout=Vref,"OPEN",Rfb2_u/1000&amp;"kΩ")</f>
        <v>1.37kΩ</v>
      </c>
      <c r="D364" t="str">
        <f>IF(Vout2=Vref,"OPEN",Rfb4_u/1000&amp;"kΩ")</f>
        <v>0.309kΩ</v>
      </c>
      <c r="I364" s="57"/>
    </row>
    <row r="365" spans="1:9" x14ac:dyDescent="0.2">
      <c r="A365" s="56" t="str">
        <f>CHOOSE(BODE_PLOT_TYPE, "Crossover Frequency = "&amp;ROUND('Stability Calculations'!Q4,1)&amp;" kHz",  "Crossover Frequency = "&amp;ROUND('Ch2 Stability Calculations'!Q4,1)&amp;" kHz")</f>
        <v>Crossover Frequency = 44.9 kHz</v>
      </c>
      <c r="B365" t="str">
        <f>CHOOSE(BODE_PLOT_TYPE, ROUND('Stability Calculations'!Q4,1)&amp;" kHz", ROUND('Ch2 Stability Calculations'!Q4,1)&amp;" kHz")</f>
        <v>44.9 kHz</v>
      </c>
      <c r="D365" s="115">
        <f>'Stability Calculations'!Q4</f>
        <v>44.928249999999998</v>
      </c>
      <c r="I365" s="57"/>
    </row>
    <row r="366" spans="1:9" x14ac:dyDescent="0.2">
      <c r="A366" s="56" t="str">
        <f>CHOOSE(BODE_PLOT_TYPE, "Phase Margin = "&amp;ROUND('Stability Calculations'!Q5,0)&amp;"°", "Phase Margin = "&amp;ROUND('Ch2 Stability Calculations'!Q5,0)&amp;"°")</f>
        <v>Phase Margin = 115°</v>
      </c>
      <c r="B366" s="116" t="str">
        <f>CHOOSE(BODE_PLOT_TYPE, ROUND('Stability Calculations'!Q5,0)&amp;"°", ROUND('Ch2 Stability Calculations'!Q5,0)&amp;"°")</f>
        <v>115°</v>
      </c>
      <c r="C366" s="299"/>
      <c r="E366" s="213"/>
      <c r="I366" s="57"/>
    </row>
    <row r="367" spans="1:9" x14ac:dyDescent="0.2">
      <c r="A367" s="56"/>
      <c r="B367" s="116"/>
      <c r="C367" s="299"/>
      <c r="E367" s="213"/>
      <c r="I367" s="57"/>
    </row>
    <row r="368" spans="1:9" x14ac:dyDescent="0.2">
      <c r="A368" s="66" t="s">
        <v>598</v>
      </c>
      <c r="B368" s="492" t="str">
        <f>IF(PLOT_TYPE=1, ROUND('Efficiency Calculations'!AZ109,1)&amp;"%", ROUND('Ch2 Efficiency Calculations'!AZ109,1)&amp;"%")</f>
        <v>83%</v>
      </c>
      <c r="C368" s="299"/>
      <c r="D368" s="492"/>
      <c r="E368" s="213"/>
      <c r="I368" s="57"/>
    </row>
    <row r="369" spans="1:9" x14ac:dyDescent="0.2">
      <c r="A369" s="66" t="s">
        <v>599</v>
      </c>
      <c r="B369" s="492" t="str">
        <f>IF(PLOT_TYPE=1, ROUND('Efficiency Calculations'!AZ59,1)&amp;"%", ROUND('Ch2 Efficiency Calculations'!AZ59,1)&amp;"%")</f>
        <v>80.1%</v>
      </c>
      <c r="C369" s="299"/>
      <c r="D369" s="492"/>
      <c r="E369" s="213"/>
      <c r="I369" s="57"/>
    </row>
    <row r="370" spans="1:9" x14ac:dyDescent="0.2">
      <c r="A370" s="56"/>
      <c r="B370" s="116"/>
      <c r="C370" s="299"/>
      <c r="E370" s="213"/>
      <c r="I370" s="57"/>
    </row>
    <row r="371" spans="1:9" x14ac:dyDescent="0.2">
      <c r="A371" s="56" t="str">
        <f>"CDITH = "&amp;Cdither*1000000000&amp;"nF"</f>
        <v>CDITH = 10nF</v>
      </c>
      <c r="B371" t="str">
        <f>Cdither*1000000000&amp;"nF"</f>
        <v>10nF</v>
      </c>
      <c r="I371" s="57"/>
    </row>
    <row r="372" spans="1:9" x14ac:dyDescent="0.2">
      <c r="A372" s="56" t="str">
        <f>"Rs = "&amp;Rs&amp;"Ω"</f>
        <v>Rs = 0.01Ω</v>
      </c>
      <c r="B372" t="str">
        <f>'Standard Value Calculator'!O6&amp;"Ω"</f>
        <v>Ω</v>
      </c>
      <c r="I372" s="57"/>
    </row>
    <row r="373" spans="1:9" x14ac:dyDescent="0.2">
      <c r="A373" s="56" t="s">
        <v>189</v>
      </c>
      <c r="B373" t="str">
        <f>'Standard Value Calculator'!O16&amp;"mΩ"</f>
        <v>11.3mΩ</v>
      </c>
      <c r="I373" s="57"/>
    </row>
    <row r="374" spans="1:9" x14ac:dyDescent="0.2">
      <c r="A374" s="56" t="s">
        <v>167</v>
      </c>
      <c r="B374" t="str">
        <f>'Standard Value Calculator'!O6&amp;"mΩ"</f>
        <v>mΩ</v>
      </c>
      <c r="I374" s="57"/>
    </row>
    <row r="375" spans="1:9" x14ac:dyDescent="0.2">
      <c r="A375" s="56" t="e">
        <f>"Rshunt = "&amp;ROUND(Rshunt,1)&amp;"mΩ"</f>
        <v>#NAME?</v>
      </c>
      <c r="B375" t="e">
        <f>IF(Rshunt="0", "N/A",ROUND(Rshunt,1)&amp;"mΩ")</f>
        <v>#NAME?</v>
      </c>
      <c r="I375" s="57"/>
    </row>
    <row r="376" spans="1:9" x14ac:dyDescent="0.2">
      <c r="A376" s="56"/>
      <c r="I376" s="57"/>
    </row>
    <row r="377" spans="1:9" x14ac:dyDescent="0.2">
      <c r="A377" s="212" t="s">
        <v>262</v>
      </c>
      <c r="B377" s="114" t="s">
        <v>263</v>
      </c>
      <c r="I377" s="57"/>
    </row>
    <row r="378" spans="1:9" x14ac:dyDescent="0.2">
      <c r="A378" s="212"/>
      <c r="B378" s="114"/>
      <c r="I378" s="57"/>
    </row>
    <row r="379" spans="1:9" x14ac:dyDescent="0.2">
      <c r="A379" s="212"/>
      <c r="B379" s="114"/>
      <c r="I379" s="57"/>
    </row>
    <row r="380" spans="1:9" x14ac:dyDescent="0.2">
      <c r="A380" s="212" t="s">
        <v>280</v>
      </c>
      <c r="B380" t="str">
        <f>'Standard Value Calculator'!O4/1000&amp;"kΩ"</f>
        <v>10.5kΩ</v>
      </c>
      <c r="I380" s="57"/>
    </row>
    <row r="381" spans="1:9" x14ac:dyDescent="0.2">
      <c r="A381" s="56" t="s">
        <v>152</v>
      </c>
      <c r="B381" t="str">
        <f>IF(MODE=1, 'Standard Value Calculator'!B4*1000000000&amp;"nF", "")</f>
        <v>100nF</v>
      </c>
      <c r="C381" s="114" t="str">
        <f>IF(MODE=1,"Css1","")</f>
        <v>Css1</v>
      </c>
      <c r="I381" s="57"/>
    </row>
    <row r="382" spans="1:9" x14ac:dyDescent="0.2">
      <c r="A382" s="643" t="s">
        <v>814</v>
      </c>
      <c r="B382" t="str">
        <f xml:space="preserve"> 'Standard Value Calculator'!B4*1000000000&amp;"nF"</f>
        <v>100nF</v>
      </c>
      <c r="C382" s="114" t="str">
        <f>IF(MODE=1,"Css2","Css")</f>
        <v>Css2</v>
      </c>
      <c r="I382" s="57"/>
    </row>
    <row r="383" spans="1:9" x14ac:dyDescent="0.2">
      <c r="A383" s="212" t="s">
        <v>682</v>
      </c>
      <c r="B383" t="str">
        <f>IF(Cres_u = 0, "N/A", Cres_u*1000000000 &amp;"nF")</f>
        <v>470nF</v>
      </c>
      <c r="D383">
        <f>Cres_u</f>
        <v>4.7E-7</v>
      </c>
      <c r="I383" s="57"/>
    </row>
    <row r="384" spans="1:9" x14ac:dyDescent="0.2">
      <c r="A384" s="643"/>
      <c r="I384" s="57"/>
    </row>
    <row r="385" spans="1:9" x14ac:dyDescent="0.2">
      <c r="A385" s="56" t="s">
        <v>190</v>
      </c>
      <c r="B385" t="str">
        <f>IF(B76="y","","|")</f>
        <v>|</v>
      </c>
      <c r="I385" s="57"/>
    </row>
    <row r="386" spans="1:9" x14ac:dyDescent="0.2">
      <c r="A386" s="56" t="s">
        <v>207</v>
      </c>
      <c r="B386" t="str">
        <f>'Design Regulator'!$E$11&amp;"A"</f>
        <v>5A</v>
      </c>
      <c r="D386" t="str">
        <f>IF(MODE=1,'Design Regulator'!$J$11&amp;"A","")</f>
        <v>5A</v>
      </c>
      <c r="I386" s="57"/>
    </row>
    <row r="387" spans="1:9" x14ac:dyDescent="0.2">
      <c r="A387" s="56" t="s">
        <v>144</v>
      </c>
      <c r="B387" t="str">
        <f>VIN_nom&amp;"V"</f>
        <v>21V</v>
      </c>
      <c r="I387" s="57"/>
    </row>
    <row r="388" spans="1:9" x14ac:dyDescent="0.2">
      <c r="A388" s="212" t="s">
        <v>608</v>
      </c>
      <c r="B388" t="str">
        <f>VIN_min&amp;"V"&amp;"..."&amp;VIN_max&amp;"V"</f>
        <v>20V...26V</v>
      </c>
      <c r="I388" s="57"/>
    </row>
    <row r="389" spans="1:9" x14ac:dyDescent="0.2">
      <c r="A389" s="56"/>
      <c r="I389" s="57"/>
    </row>
    <row r="390" spans="1:9" ht="13.5" thickBot="1" x14ac:dyDescent="0.25">
      <c r="A390" s="60"/>
      <c r="B390" s="61"/>
      <c r="C390" s="298"/>
      <c r="D390" s="61"/>
      <c r="E390" s="61"/>
      <c r="F390" s="61"/>
      <c r="G390" s="61"/>
      <c r="H390" s="61"/>
      <c r="I390" s="62"/>
    </row>
  </sheetData>
  <sheetProtection selectLockedCells="1"/>
  <mergeCells count="2">
    <mergeCell ref="E5:H5"/>
    <mergeCell ref="A1:I1"/>
  </mergeCells>
  <phoneticPr fontId="5" type="noConversion"/>
  <pageMargins left="0.75" right="0.75" top="1" bottom="1" header="0.5" footer="0.5"/>
  <pageSetup orientation="portrait" r:id="rId1"/>
  <headerFooter alignWithMargins="0"/>
  <ignoredErrors>
    <ignoredError sqref="K132" 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E687"/>
  <sheetViews>
    <sheetView zoomScaleNormal="100" workbookViewId="0">
      <pane ySplit="11" topLeftCell="A12" activePane="bottomLeft" state="frozen"/>
      <selection activeCell="A93" sqref="A93"/>
      <selection pane="bottomLeft" activeCell="C5" sqref="C5"/>
    </sheetView>
  </sheetViews>
  <sheetFormatPr defaultColWidth="9.140625" defaultRowHeight="12.75" x14ac:dyDescent="0.2"/>
  <cols>
    <col min="1" max="1" width="16.140625" style="319" customWidth="1"/>
    <col min="2" max="2" width="15.7109375" style="319" customWidth="1"/>
    <col min="3" max="3" width="10" style="319" customWidth="1"/>
    <col min="4" max="4" width="10.85546875" style="319" customWidth="1"/>
    <col min="5" max="5" width="10.140625" style="319" customWidth="1"/>
    <col min="6" max="8" width="11.85546875" style="319" customWidth="1"/>
    <col min="9" max="9" width="14.28515625" style="319" customWidth="1"/>
    <col min="10" max="10" width="11" style="319" customWidth="1"/>
    <col min="11" max="11" width="12" style="319" customWidth="1"/>
    <col min="12" max="12" width="11.42578125" style="319" customWidth="1"/>
    <col min="13" max="13" width="10.85546875" style="319" customWidth="1"/>
    <col min="14" max="14" width="11.42578125" style="319" customWidth="1"/>
    <col min="15" max="15" width="12.28515625" style="319" customWidth="1"/>
    <col min="16" max="16" width="12.140625" style="319" customWidth="1"/>
    <col min="17" max="17" width="9.42578125" style="319" customWidth="1"/>
    <col min="18" max="18" width="16.140625" style="319" bestFit="1" customWidth="1"/>
    <col min="19" max="19" width="16.140625" style="359" customWidth="1"/>
    <col min="20" max="20" width="9.140625" style="319"/>
    <col min="21" max="21" width="13.42578125" style="319" bestFit="1" customWidth="1"/>
    <col min="22" max="22" width="9.28515625" style="319" bestFit="1" customWidth="1"/>
    <col min="23" max="23" width="9.140625" style="319"/>
    <col min="24" max="24" width="13.5703125" style="319" customWidth="1"/>
    <col min="25" max="25" width="10.5703125" style="319" customWidth="1"/>
    <col min="26" max="26" width="9.140625" style="319"/>
    <col min="27" max="27" width="9.28515625" style="319" bestFit="1" customWidth="1"/>
    <col min="28" max="28" width="11.28515625" style="319" bestFit="1" customWidth="1"/>
    <col min="29" max="29" width="9.140625" style="319"/>
    <col min="30" max="30" width="12.28515625" customWidth="1"/>
    <col min="31" max="31" width="8.85546875" customWidth="1"/>
    <col min="32" max="16384" width="9.140625" style="319"/>
  </cols>
  <sheetData>
    <row r="1" spans="1:31" ht="13.5" thickBot="1" x14ac:dyDescent="0.25"/>
    <row r="2" spans="1:31" x14ac:dyDescent="0.2">
      <c r="A2" s="733" t="s">
        <v>422</v>
      </c>
      <c r="B2" s="734"/>
      <c r="C2" s="735"/>
      <c r="D2" s="736"/>
      <c r="E2" s="733" t="s">
        <v>328</v>
      </c>
      <c r="F2" s="734"/>
      <c r="G2" s="734"/>
      <c r="H2" s="401"/>
      <c r="I2" s="417"/>
      <c r="J2" s="733" t="s">
        <v>420</v>
      </c>
      <c r="K2" s="735"/>
      <c r="L2" s="736"/>
      <c r="M2" s="733" t="s">
        <v>421</v>
      </c>
      <c r="N2" s="735"/>
      <c r="O2" s="736"/>
      <c r="P2" s="733" t="s">
        <v>329</v>
      </c>
      <c r="Q2" s="734"/>
      <c r="R2" s="742"/>
      <c r="AD2" s="114"/>
      <c r="AE2" s="114"/>
    </row>
    <row r="3" spans="1:31" x14ac:dyDescent="0.2">
      <c r="B3" s="320" t="s">
        <v>330</v>
      </c>
      <c r="C3" s="404">
        <f>Afb</f>
        <v>0.12</v>
      </c>
      <c r="D3" s="322" t="s">
        <v>28</v>
      </c>
      <c r="E3" s="323" t="s">
        <v>331</v>
      </c>
      <c r="F3" s="404">
        <f>Acs</f>
        <v>8.3333333333333339</v>
      </c>
      <c r="G3" s="322" t="s">
        <v>419</v>
      </c>
      <c r="H3" s="415" t="s">
        <v>347</v>
      </c>
      <c r="I3" s="427">
        <f>gm</f>
        <v>1.1999999999999999E-3</v>
      </c>
      <c r="J3" s="323" t="s">
        <v>438</v>
      </c>
      <c r="K3" s="324">
        <f>Fesr</f>
        <v>16931376.944016635</v>
      </c>
      <c r="L3" s="322" t="s">
        <v>9</v>
      </c>
      <c r="M3" s="323" t="s">
        <v>333</v>
      </c>
      <c r="N3" s="324">
        <f>Fsw/2</f>
        <v>1050000</v>
      </c>
      <c r="O3" s="322" t="s">
        <v>9</v>
      </c>
      <c r="P3" s="325" t="s">
        <v>334</v>
      </c>
      <c r="Q3" s="324">
        <f>Am*Afb*AEA</f>
        <v>65565.622996716178</v>
      </c>
      <c r="R3" s="322" t="s">
        <v>28</v>
      </c>
    </row>
    <row r="4" spans="1:31" x14ac:dyDescent="0.2">
      <c r="B4" s="320" t="s">
        <v>443</v>
      </c>
      <c r="C4" s="324">
        <f>Fz1_u</f>
        <v>6014.9260496506558</v>
      </c>
      <c r="D4" s="322" t="s">
        <v>9</v>
      </c>
      <c r="E4" s="323" t="s">
        <v>336</v>
      </c>
      <c r="F4" s="329">
        <f>Am</f>
        <v>7.1143254119700723</v>
      </c>
      <c r="G4" s="322" t="s">
        <v>28</v>
      </c>
      <c r="H4" s="416"/>
      <c r="I4" s="416"/>
      <c r="J4" s="323" t="s">
        <v>437</v>
      </c>
      <c r="K4" s="324">
        <f>Fp_dominant</f>
        <v>39664.985700375459</v>
      </c>
      <c r="L4" s="322" t="s">
        <v>9</v>
      </c>
      <c r="M4" s="323" t="s">
        <v>338</v>
      </c>
      <c r="N4" s="402">
        <f>Q*pole3</f>
        <v>422206.24192158616</v>
      </c>
      <c r="O4" s="322"/>
      <c r="P4" s="325" t="s">
        <v>339</v>
      </c>
      <c r="Q4" s="365">
        <f>AE7</f>
        <v>44.928249999999998</v>
      </c>
      <c r="R4" s="322" t="s">
        <v>2</v>
      </c>
    </row>
    <row r="5" spans="1:31" x14ac:dyDescent="0.2">
      <c r="B5" s="320" t="s">
        <v>442</v>
      </c>
      <c r="C5" s="404">
        <f>Fp1_u</f>
        <v>0.13815215952049953</v>
      </c>
      <c r="D5" s="322" t="s">
        <v>9</v>
      </c>
      <c r="E5" s="323" t="s">
        <v>27</v>
      </c>
      <c r="F5" s="404">
        <f>Q</f>
        <v>0.40210118278246298</v>
      </c>
      <c r="G5" s="322"/>
      <c r="H5" s="416"/>
      <c r="I5" s="416"/>
      <c r="J5" s="323"/>
      <c r="K5" s="324"/>
      <c r="L5" s="322"/>
      <c r="M5" s="323" t="s">
        <v>341</v>
      </c>
      <c r="N5" s="321">
        <f>pole3^2</f>
        <v>1102500000000</v>
      </c>
      <c r="O5" s="322"/>
      <c r="P5" s="325" t="s">
        <v>342</v>
      </c>
      <c r="Q5" s="329">
        <f>AE9</f>
        <v>115.35407135695573</v>
      </c>
      <c r="R5" s="388" t="s">
        <v>399</v>
      </c>
    </row>
    <row r="6" spans="1:31" x14ac:dyDescent="0.2">
      <c r="B6" s="320" t="s">
        <v>343</v>
      </c>
      <c r="C6" s="321">
        <f>AEA</f>
        <v>76800</v>
      </c>
      <c r="D6" s="322" t="s">
        <v>28</v>
      </c>
      <c r="E6" s="323" t="s">
        <v>371</v>
      </c>
      <c r="F6" s="404">
        <f>mc</f>
        <v>1.7000000000000002</v>
      </c>
      <c r="G6" s="415"/>
      <c r="H6" s="418"/>
      <c r="I6" s="328"/>
      <c r="J6" s="326"/>
      <c r="K6" s="327"/>
      <c r="L6" s="328"/>
      <c r="M6" s="326"/>
      <c r="N6" s="430"/>
      <c r="O6" s="328"/>
      <c r="P6" s="400" t="s">
        <v>344</v>
      </c>
      <c r="Q6" s="327">
        <f>180/Pi</f>
        <v>57.295779578552292</v>
      </c>
      <c r="R6" s="328"/>
      <c r="AD6" s="5" t="s">
        <v>46</v>
      </c>
      <c r="AE6" s="5"/>
    </row>
    <row r="7" spans="1:31" ht="13.5" thickBot="1" x14ac:dyDescent="0.25">
      <c r="B7" s="396" t="s">
        <v>441</v>
      </c>
      <c r="C7" s="403">
        <f>Fp2_u</f>
        <v>1017886.0502993048</v>
      </c>
      <c r="D7" s="398" t="s">
        <v>9</v>
      </c>
      <c r="E7" s="397" t="s">
        <v>346</v>
      </c>
      <c r="F7" s="399">
        <f>k</f>
        <v>1.2916163895486938</v>
      </c>
      <c r="G7" s="399"/>
      <c r="H7" s="419"/>
      <c r="I7" s="398"/>
      <c r="J7" s="397"/>
      <c r="K7" s="397"/>
      <c r="L7" s="398"/>
      <c r="M7" s="397"/>
      <c r="N7" s="397"/>
      <c r="O7" s="398"/>
      <c r="P7" s="397"/>
      <c r="Q7" s="397"/>
      <c r="R7" s="398"/>
      <c r="AD7" t="s">
        <v>43</v>
      </c>
      <c r="AE7">
        <f>SUM(AD12:AD613)/1000</f>
        <v>44.928249999999998</v>
      </c>
    </row>
    <row r="8" spans="1:31" x14ac:dyDescent="0.2">
      <c r="B8" s="405"/>
      <c r="C8" s="406"/>
      <c r="F8" s="407"/>
      <c r="G8" s="407"/>
      <c r="H8" s="407"/>
    </row>
    <row r="9" spans="1:31" ht="13.5" thickBot="1" x14ac:dyDescent="0.25">
      <c r="AD9" t="s">
        <v>44</v>
      </c>
      <c r="AE9" s="4">
        <f>SUM(AE13:AE613)</f>
        <v>115.35407135695573</v>
      </c>
    </row>
    <row r="10" spans="1:31" ht="15" x14ac:dyDescent="0.25">
      <c r="A10" s="737" t="s">
        <v>450</v>
      </c>
      <c r="B10" s="731"/>
      <c r="C10" s="745" t="s">
        <v>348</v>
      </c>
      <c r="D10" s="746"/>
      <c r="E10" s="746"/>
      <c r="F10" s="746"/>
      <c r="G10" s="746"/>
      <c r="H10" s="747"/>
      <c r="I10" s="745" t="s">
        <v>349</v>
      </c>
      <c r="J10" s="746"/>
      <c r="K10" s="746"/>
      <c r="L10" s="746"/>
      <c r="M10" s="746"/>
      <c r="N10" s="747"/>
      <c r="O10" s="740" t="s">
        <v>350</v>
      </c>
      <c r="P10" s="741"/>
      <c r="Q10" s="740" t="s">
        <v>351</v>
      </c>
      <c r="R10" s="748"/>
      <c r="S10" s="749"/>
      <c r="X10" s="750" t="s">
        <v>352</v>
      </c>
      <c r="Y10" s="751"/>
      <c r="AA10" s="750" t="s">
        <v>353</v>
      </c>
      <c r="AB10" s="751"/>
    </row>
    <row r="11" spans="1:31" x14ac:dyDescent="0.2">
      <c r="A11" s="738"/>
      <c r="B11" s="732"/>
      <c r="C11" s="752" t="s">
        <v>437</v>
      </c>
      <c r="D11" s="753"/>
      <c r="E11" s="753" t="s">
        <v>438</v>
      </c>
      <c r="F11" s="754"/>
      <c r="G11" s="743" t="s">
        <v>439</v>
      </c>
      <c r="H11" s="744"/>
      <c r="I11" s="752" t="s">
        <v>337</v>
      </c>
      <c r="J11" s="753"/>
      <c r="K11" s="753" t="s">
        <v>332</v>
      </c>
      <c r="L11" s="754"/>
      <c r="M11" s="743" t="s">
        <v>340</v>
      </c>
      <c r="N11" s="744"/>
      <c r="O11" s="752" t="s">
        <v>333</v>
      </c>
      <c r="P11" s="754"/>
      <c r="Q11" s="323"/>
      <c r="R11" s="321"/>
      <c r="S11" s="366"/>
      <c r="X11" s="323"/>
      <c r="Y11" s="322"/>
      <c r="AA11" s="323"/>
      <c r="AB11" s="322"/>
    </row>
    <row r="12" spans="1:31" ht="13.5" thickBot="1" x14ac:dyDescent="0.25">
      <c r="A12" s="739"/>
      <c r="B12" s="363"/>
      <c r="C12" s="330" t="s">
        <v>354</v>
      </c>
      <c r="D12" s="331" t="s">
        <v>355</v>
      </c>
      <c r="E12" s="331" t="s">
        <v>354</v>
      </c>
      <c r="F12" s="332" t="s">
        <v>355</v>
      </c>
      <c r="G12" s="331" t="s">
        <v>354</v>
      </c>
      <c r="H12" s="332" t="s">
        <v>355</v>
      </c>
      <c r="I12" s="330" t="s">
        <v>354</v>
      </c>
      <c r="J12" s="331" t="s">
        <v>355</v>
      </c>
      <c r="K12" s="331" t="s">
        <v>354</v>
      </c>
      <c r="L12" s="332" t="s">
        <v>355</v>
      </c>
      <c r="M12" s="330" t="s">
        <v>354</v>
      </c>
      <c r="N12" s="331" t="s">
        <v>355</v>
      </c>
      <c r="O12" s="330" t="s">
        <v>354</v>
      </c>
      <c r="P12" s="332" t="s">
        <v>355</v>
      </c>
      <c r="Q12" s="330" t="s">
        <v>356</v>
      </c>
      <c r="R12" s="331" t="s">
        <v>358</v>
      </c>
      <c r="S12" s="367" t="s">
        <v>357</v>
      </c>
      <c r="V12" s="333" t="s">
        <v>359</v>
      </c>
      <c r="X12" s="334" t="s">
        <v>360</v>
      </c>
      <c r="Y12" s="335" t="s">
        <v>361</v>
      </c>
      <c r="AA12" s="334" t="s">
        <v>360</v>
      </c>
      <c r="AB12" s="335" t="s">
        <v>361</v>
      </c>
    </row>
    <row r="13" spans="1:31" x14ac:dyDescent="0.2">
      <c r="A13" s="336">
        <v>1</v>
      </c>
      <c r="B13" s="364">
        <f>A13/1000</f>
        <v>1E-3</v>
      </c>
      <c r="C13" s="337">
        <f t="shared" ref="C13:C76" si="0">SQRT(1+(A13/pole1)^2)</f>
        <v>1.0000000003178011</v>
      </c>
      <c r="D13" s="338">
        <f t="shared" ref="D13:D76" si="1">ATAN(A13/pole1)</f>
        <v>2.5211152408878012E-5</v>
      </c>
      <c r="E13" s="338">
        <f t="shared" ref="E13:E76" si="2">SQRT(1+(A13/Zero1)^2)</f>
        <v>1.0000000000000018</v>
      </c>
      <c r="F13" s="339">
        <f t="shared" ref="F13:F76" si="3">ATAN(A13/Zero1)</f>
        <v>5.9061941819999938E-8</v>
      </c>
      <c r="G13" s="338">
        <f t="shared" ref="G13:G76" si="4">IF(VIN_nom&gt;Vout, 1, SQRT(1+(A13/z_RHP)^2))</f>
        <v>1</v>
      </c>
      <c r="H13" s="339">
        <f t="shared" ref="H13:H76" si="5">IF(VIN_nom&gt;Vout, 0, -ATAN(A13/z_RHP))</f>
        <v>0</v>
      </c>
      <c r="I13" s="337">
        <f t="shared" ref="I13:I76" si="6">SQRT(1+(A13/Pole2)^2)</f>
        <v>7.307145309917475</v>
      </c>
      <c r="J13" s="340">
        <f t="shared" ref="J13:J76" si="7">ATAN(A13/Pole2)</f>
        <v>1.4335131623004456</v>
      </c>
      <c r="K13" s="338">
        <f t="shared" ref="K13:K76" si="8">SQRT(1+(A13/Zero2)^2)</f>
        <v>1.0000000138200438</v>
      </c>
      <c r="L13" s="339">
        <f t="shared" ref="L13:L76" si="9">ATAN(A13/Zero2)</f>
        <v>1.6625308150625012E-4</v>
      </c>
      <c r="M13" s="337">
        <f t="shared" ref="M13:M76" si="10">SQRT(1+(A13/pole4)^2)</f>
        <v>1.0000000000004827</v>
      </c>
      <c r="N13" s="340">
        <f t="shared" ref="N13:N76" si="11">ATAN(A13/pole4)</f>
        <v>9.8242823909968387E-7</v>
      </c>
      <c r="O13" s="341">
        <f t="shared" ref="O13:O76" si="12">SQRT((1-(V13/pterm2))^2+(A13/pterm1)^2)</f>
        <v>1.0000000000018978</v>
      </c>
      <c r="P13" s="342">
        <f t="shared" ref="P13:P76" si="13">IF((ATAN((A13/pterm1)/(1-A13^2/pterm2))&gt;0),ATAN((A13/pterm1)/(1-A13^2/pterm2)),PI()+ATAN((A13/pterm1)/(1-A13^2/pterm2)))</f>
        <v>2.3685106962126846E-6</v>
      </c>
      <c r="Q13" s="343">
        <f t="shared" ref="Q13:Q76" si="14">20*LOG10(((E13*K13*G13)/(C13*I13*O13*M13))*Adc)</f>
        <v>79.058569084588839</v>
      </c>
      <c r="R13" s="344">
        <f t="shared" ref="R13:R76" si="15">((F13+L13+H13)-(D13+J13+P13+N13))*radconv</f>
        <v>-82.126361673497513</v>
      </c>
      <c r="S13" s="600">
        <f t="shared" ref="S13:S76" si="16">IF(R13&gt;0,R13,R13+180)</f>
        <v>97.873638326502487</v>
      </c>
      <c r="U13" s="319">
        <f>IF(Q13&lt;0,A13,1000000000)</f>
        <v>1000000000</v>
      </c>
      <c r="V13" s="319">
        <f>A13^2</f>
        <v>1</v>
      </c>
      <c r="X13" s="345">
        <f t="shared" ref="X13:X76" si="17">20*LOG10((K13/(I13*M13))*AEA)</f>
        <v>80.432269644411576</v>
      </c>
      <c r="Y13" s="346">
        <f t="shared" ref="Y13:Y76" si="18">(L13-(J13+N13))*radconv</f>
        <v>-82.124784859199394</v>
      </c>
      <c r="AA13" s="345">
        <f t="shared" ref="AA13:AA76" si="19">20*LOG10((E13*G13/(C13*O13))*Acs*Am)</f>
        <v>35.45904959827228</v>
      </c>
      <c r="AB13" s="346">
        <f t="shared" ref="AB13:AB76" si="20">(F13+H13-(D13+P13))*radconv</f>
        <v>-1.5768142981200076E-3</v>
      </c>
      <c r="AD13">
        <f>SUM((Q14&lt;0)*(Q13&gt;0))*A13</f>
        <v>0</v>
      </c>
      <c r="AE13">
        <f t="shared" ref="AE13:AE44" si="21">IF(AD13&gt;0,S11,0)</f>
        <v>0</v>
      </c>
    </row>
    <row r="14" spans="1:31" x14ac:dyDescent="0.2">
      <c r="A14" s="347">
        <v>1.0965</v>
      </c>
      <c r="B14" s="364">
        <f t="shared" ref="B14:B77" si="22">A14/1000</f>
        <v>1.0965E-3</v>
      </c>
      <c r="C14" s="337">
        <f t="shared" si="0"/>
        <v>1.0000000003820961</v>
      </c>
      <c r="D14" s="338">
        <f t="shared" si="1"/>
        <v>2.7644028615149822E-5</v>
      </c>
      <c r="E14" s="338">
        <f t="shared" si="2"/>
        <v>1.0000000000000022</v>
      </c>
      <c r="F14" s="339">
        <f t="shared" si="3"/>
        <v>6.4761419205629918E-8</v>
      </c>
      <c r="G14" s="338">
        <f t="shared" si="4"/>
        <v>1</v>
      </c>
      <c r="H14" s="339">
        <f t="shared" si="5"/>
        <v>0</v>
      </c>
      <c r="I14" s="337">
        <f t="shared" si="6"/>
        <v>7.9996497413510186</v>
      </c>
      <c r="J14" s="340">
        <f t="shared" si="7"/>
        <v>1.4454629793281613</v>
      </c>
      <c r="K14" s="348">
        <f t="shared" si="8"/>
        <v>1.0000000166160079</v>
      </c>
      <c r="L14" s="349">
        <f t="shared" si="9"/>
        <v>1.8229650353180697E-4</v>
      </c>
      <c r="M14" s="337">
        <f t="shared" si="10"/>
        <v>1.0000000000005802</v>
      </c>
      <c r="N14" s="340">
        <f t="shared" si="11"/>
        <v>1.0772325641727333E-6</v>
      </c>
      <c r="O14" s="341">
        <f t="shared" si="12"/>
        <v>1.0000000000022817</v>
      </c>
      <c r="P14" s="342">
        <f t="shared" si="13"/>
        <v>2.5970719783967027E-6</v>
      </c>
      <c r="Q14" s="343">
        <f t="shared" si="14"/>
        <v>78.27210454154806</v>
      </c>
      <c r="R14" s="344">
        <f t="shared" si="15"/>
        <v>-82.810274130016893</v>
      </c>
      <c r="S14" s="346">
        <f t="shared" si="16"/>
        <v>97.189725869983107</v>
      </c>
      <c r="U14" s="319">
        <f t="shared" ref="U14:U77" si="23">IF(Q14&lt;0,A14,1000000000)</f>
        <v>1000000000</v>
      </c>
      <c r="V14" s="319">
        <f t="shared" ref="V14:V77" si="24">A14^2</f>
        <v>1.2023122500000001</v>
      </c>
      <c r="X14" s="345">
        <f t="shared" si="17"/>
        <v>79.645805101932567</v>
      </c>
      <c r="Y14" s="346">
        <f t="shared" si="18"/>
        <v>-82.808545153139065</v>
      </c>
      <c r="AA14" s="345">
        <f t="shared" si="19"/>
        <v>35.459049597710489</v>
      </c>
      <c r="AB14" s="346">
        <f t="shared" si="20"/>
        <v>-1.7289768778206685E-3</v>
      </c>
      <c r="AD14">
        <f t="shared" ref="AD14:AD77" si="25">SUM((Q15&lt;0)*(Q14&gt;0))*A14</f>
        <v>0</v>
      </c>
      <c r="AE14">
        <f t="shared" si="21"/>
        <v>0</v>
      </c>
    </row>
    <row r="15" spans="1:31" x14ac:dyDescent="0.2">
      <c r="A15" s="347">
        <v>1.2022999999999999</v>
      </c>
      <c r="B15" s="364">
        <f t="shared" si="22"/>
        <v>1.2022999999999999E-3</v>
      </c>
      <c r="C15" s="337">
        <f t="shared" si="0"/>
        <v>1.0000000004593894</v>
      </c>
      <c r="D15" s="338">
        <f t="shared" si="1"/>
        <v>3.0311368538332872E-5</v>
      </c>
      <c r="E15" s="338">
        <f t="shared" si="2"/>
        <v>1.0000000000000027</v>
      </c>
      <c r="F15" s="339">
        <f t="shared" si="3"/>
        <v>7.1010172650185879E-8</v>
      </c>
      <c r="G15" s="338">
        <f t="shared" si="4"/>
        <v>1</v>
      </c>
      <c r="H15" s="339">
        <f t="shared" si="5"/>
        <v>0</v>
      </c>
      <c r="I15" s="337">
        <f t="shared" si="6"/>
        <v>8.7599880489891309</v>
      </c>
      <c r="J15" s="340">
        <f t="shared" si="7"/>
        <v>1.4563915193937875</v>
      </c>
      <c r="K15" s="348">
        <f t="shared" si="8"/>
        <v>1.0000000199772228</v>
      </c>
      <c r="L15" s="349">
        <f t="shared" si="9"/>
        <v>1.9988607907447494E-4</v>
      </c>
      <c r="M15" s="337">
        <f t="shared" si="10"/>
        <v>1.0000000000006977</v>
      </c>
      <c r="N15" s="340">
        <f t="shared" si="11"/>
        <v>1.1811734718693807E-6</v>
      </c>
      <c r="O15" s="341">
        <f t="shared" si="12"/>
        <v>1.0000000000027434</v>
      </c>
      <c r="P15" s="342">
        <f t="shared" si="13"/>
        <v>2.8476604100552884E-6</v>
      </c>
      <c r="Q15" s="343">
        <f t="shared" si="14"/>
        <v>77.483453739634996</v>
      </c>
      <c r="R15" s="344">
        <f t="shared" si="15"/>
        <v>-83.43559832661721</v>
      </c>
      <c r="S15" s="346">
        <f t="shared" si="16"/>
        <v>96.56440167338279</v>
      </c>
      <c r="U15" s="319">
        <f t="shared" si="23"/>
        <v>1000000000</v>
      </c>
      <c r="V15" s="319">
        <f t="shared" si="24"/>
        <v>1.4455252899999997</v>
      </c>
      <c r="X15" s="345">
        <f t="shared" si="17"/>
        <v>78.857154300694873</v>
      </c>
      <c r="Y15" s="346">
        <f t="shared" si="18"/>
        <v>-83.433702522786746</v>
      </c>
      <c r="AA15" s="345">
        <f t="shared" si="19"/>
        <v>35.459049597035126</v>
      </c>
      <c r="AB15" s="346">
        <f t="shared" si="20"/>
        <v>-1.8958038304656827E-3</v>
      </c>
      <c r="AD15">
        <f t="shared" si="25"/>
        <v>0</v>
      </c>
      <c r="AE15">
        <f t="shared" si="21"/>
        <v>0</v>
      </c>
    </row>
    <row r="16" spans="1:31" x14ac:dyDescent="0.2">
      <c r="A16" s="347">
        <v>1.3183</v>
      </c>
      <c r="B16" s="364">
        <f t="shared" si="22"/>
        <v>1.3183000000000001E-3</v>
      </c>
      <c r="C16" s="337">
        <f t="shared" si="0"/>
        <v>1.0000000005523113</v>
      </c>
      <c r="D16" s="338">
        <f t="shared" si="1"/>
        <v>3.3235862215427781E-5</v>
      </c>
      <c r="E16" s="338">
        <f t="shared" si="2"/>
        <v>1.0000000000000031</v>
      </c>
      <c r="F16" s="339">
        <f t="shared" si="3"/>
        <v>7.7861357901305852E-8</v>
      </c>
      <c r="G16" s="338">
        <f t="shared" si="4"/>
        <v>1</v>
      </c>
      <c r="H16" s="339">
        <f t="shared" si="5"/>
        <v>0</v>
      </c>
      <c r="I16" s="337">
        <f t="shared" si="6"/>
        <v>9.594631845955444</v>
      </c>
      <c r="J16" s="340">
        <f t="shared" si="7"/>
        <v>1.4663817544475066</v>
      </c>
      <c r="K16" s="348">
        <f t="shared" si="8"/>
        <v>1.0000000240180595</v>
      </c>
      <c r="L16" s="349">
        <f t="shared" si="9"/>
        <v>2.1917143585961369E-4</v>
      </c>
      <c r="M16" s="337">
        <f t="shared" si="10"/>
        <v>1.0000000000008387</v>
      </c>
      <c r="N16" s="340">
        <f t="shared" si="11"/>
        <v>1.2951351476048059E-6</v>
      </c>
      <c r="O16" s="341">
        <f t="shared" si="12"/>
        <v>1.0000000000032985</v>
      </c>
      <c r="P16" s="342">
        <f t="shared" si="13"/>
        <v>3.122407650814963E-6</v>
      </c>
      <c r="Q16" s="343">
        <f t="shared" si="14"/>
        <v>76.69295774439189</v>
      </c>
      <c r="R16" s="344">
        <f t="shared" si="15"/>
        <v>-84.007081102623061</v>
      </c>
      <c r="S16" s="346">
        <f t="shared" si="16"/>
        <v>95.992918897376939</v>
      </c>
      <c r="U16" s="319">
        <f t="shared" si="23"/>
        <v>1000000000</v>
      </c>
      <c r="V16" s="319">
        <f t="shared" si="24"/>
        <v>1.7379148900000001</v>
      </c>
      <c r="X16" s="345">
        <f t="shared" si="17"/>
        <v>78.06665830626369</v>
      </c>
      <c r="Y16" s="346">
        <f t="shared" si="18"/>
        <v>-84.005002388334134</v>
      </c>
      <c r="AA16" s="345">
        <f t="shared" si="19"/>
        <v>35.459049596223196</v>
      </c>
      <c r="AB16" s="346">
        <f t="shared" si="20"/>
        <v>-2.0787142889137642E-3</v>
      </c>
      <c r="AD16">
        <f t="shared" si="25"/>
        <v>0</v>
      </c>
      <c r="AE16">
        <f t="shared" si="21"/>
        <v>0</v>
      </c>
    </row>
    <row r="17" spans="1:31" x14ac:dyDescent="0.2">
      <c r="A17" s="347">
        <v>1.4454</v>
      </c>
      <c r="B17" s="364">
        <f t="shared" si="22"/>
        <v>1.4454000000000001E-3</v>
      </c>
      <c r="C17" s="337">
        <f t="shared" si="0"/>
        <v>1.000000000663944</v>
      </c>
      <c r="D17" s="338">
        <f t="shared" si="1"/>
        <v>3.6440199683383262E-5</v>
      </c>
      <c r="E17" s="338">
        <f t="shared" si="2"/>
        <v>1.0000000000000036</v>
      </c>
      <c r="F17" s="339">
        <f t="shared" si="3"/>
        <v>8.5368130706627795E-8</v>
      </c>
      <c r="G17" s="338">
        <f t="shared" si="4"/>
        <v>1</v>
      </c>
      <c r="H17" s="339">
        <f t="shared" si="5"/>
        <v>0</v>
      </c>
      <c r="I17" s="337">
        <f t="shared" si="6"/>
        <v>10.510058805005645</v>
      </c>
      <c r="J17" s="340">
        <f t="shared" si="7"/>
        <v>1.4755052326009523</v>
      </c>
      <c r="K17" s="348">
        <f t="shared" si="8"/>
        <v>1.0000000288725748</v>
      </c>
      <c r="L17" s="349">
        <f t="shared" si="9"/>
        <v>2.4030220159769643E-4</v>
      </c>
      <c r="M17" s="337">
        <f t="shared" si="10"/>
        <v>1.0000000000010081</v>
      </c>
      <c r="N17" s="340">
        <f t="shared" si="11"/>
        <v>1.4200017767941855E-6</v>
      </c>
      <c r="O17" s="341">
        <f t="shared" si="12"/>
        <v>1.0000000000039651</v>
      </c>
      <c r="P17" s="342">
        <f t="shared" si="13"/>
        <v>3.4234453603022234E-6</v>
      </c>
      <c r="Q17" s="343">
        <f t="shared" si="14"/>
        <v>75.901421169291183</v>
      </c>
      <c r="R17" s="344">
        <f t="shared" si="15"/>
        <v>-84.528814759624538</v>
      </c>
      <c r="S17" s="346">
        <f t="shared" si="16"/>
        <v>95.471185240375462</v>
      </c>
      <c r="U17" s="319">
        <f t="shared" si="23"/>
        <v>1000000000</v>
      </c>
      <c r="V17" s="319">
        <f t="shared" si="24"/>
        <v>2.0891811599999999</v>
      </c>
      <c r="X17" s="345">
        <f t="shared" si="17"/>
        <v>77.275121732138416</v>
      </c>
      <c r="Y17" s="346">
        <f t="shared" si="18"/>
        <v>-84.52653563223852</v>
      </c>
      <c r="AA17" s="345">
        <f t="shared" si="19"/>
        <v>35.459049595247784</v>
      </c>
      <c r="AB17" s="346">
        <f t="shared" si="20"/>
        <v>-2.2791273860206522E-3</v>
      </c>
      <c r="AD17">
        <f t="shared" si="25"/>
        <v>0</v>
      </c>
      <c r="AE17">
        <f t="shared" si="21"/>
        <v>0</v>
      </c>
    </row>
    <row r="18" spans="1:31" x14ac:dyDescent="0.2">
      <c r="A18" s="347">
        <v>1.5849</v>
      </c>
      <c r="B18" s="364">
        <f t="shared" si="22"/>
        <v>1.5849E-3</v>
      </c>
      <c r="C18" s="337">
        <f t="shared" si="0"/>
        <v>1.000000000798287</v>
      </c>
      <c r="D18" s="338">
        <f t="shared" si="1"/>
        <v>3.9957155440031523E-5</v>
      </c>
      <c r="E18" s="338">
        <f t="shared" si="2"/>
        <v>1.0000000000000044</v>
      </c>
      <c r="F18" s="339">
        <f t="shared" si="3"/>
        <v>9.360727159051773E-8</v>
      </c>
      <c r="G18" s="338">
        <f t="shared" si="4"/>
        <v>1</v>
      </c>
      <c r="H18" s="339">
        <f t="shared" si="5"/>
        <v>0</v>
      </c>
      <c r="I18" s="337">
        <f t="shared" si="6"/>
        <v>11.515634770313433</v>
      </c>
      <c r="J18" s="340">
        <f t="shared" si="7"/>
        <v>1.4838483535534925</v>
      </c>
      <c r="K18" s="348">
        <f t="shared" si="8"/>
        <v>1.0000000347146782</v>
      </c>
      <c r="L18" s="349">
        <f t="shared" si="9"/>
        <v>2.6349450520884163E-4</v>
      </c>
      <c r="M18" s="337">
        <f t="shared" si="10"/>
        <v>1.0000000000012124</v>
      </c>
      <c r="N18" s="340">
        <f t="shared" si="11"/>
        <v>1.5570505161483317E-6</v>
      </c>
      <c r="O18" s="341">
        <f t="shared" si="12"/>
        <v>1.0000000000047673</v>
      </c>
      <c r="P18" s="342">
        <f t="shared" si="13"/>
        <v>3.7538526024220189E-6</v>
      </c>
      <c r="Q18" s="343">
        <f t="shared" si="14"/>
        <v>75.107766491172725</v>
      </c>
      <c r="R18" s="344">
        <f t="shared" si="15"/>
        <v>-85.005739375511553</v>
      </c>
      <c r="S18" s="346">
        <f t="shared" si="16"/>
        <v>94.994260624488447</v>
      </c>
      <c r="U18" s="319">
        <f t="shared" si="23"/>
        <v>1000000000</v>
      </c>
      <c r="V18" s="319">
        <f t="shared" si="24"/>
        <v>2.51190801</v>
      </c>
      <c r="X18" s="345">
        <f t="shared" si="17"/>
        <v>76.481467055193804</v>
      </c>
      <c r="Y18" s="346">
        <f t="shared" si="18"/>
        <v>-85.003240282531195</v>
      </c>
      <c r="AA18" s="345">
        <f t="shared" si="19"/>
        <v>35.459049594073939</v>
      </c>
      <c r="AB18" s="346">
        <f t="shared" si="20"/>
        <v>-2.4990929803567446E-3</v>
      </c>
      <c r="AD18">
        <f t="shared" si="25"/>
        <v>0</v>
      </c>
      <c r="AE18">
        <f t="shared" si="21"/>
        <v>0</v>
      </c>
    </row>
    <row r="19" spans="1:31" x14ac:dyDescent="0.2">
      <c r="A19" s="347">
        <v>1.7378</v>
      </c>
      <c r="B19" s="364">
        <f t="shared" si="22"/>
        <v>1.7378000000000001E-3</v>
      </c>
      <c r="C19" s="337">
        <f t="shared" si="0"/>
        <v>1.000000000959743</v>
      </c>
      <c r="D19" s="338">
        <f t="shared" si="1"/>
        <v>4.3811940637398394E-5</v>
      </c>
      <c r="E19" s="338">
        <f t="shared" si="2"/>
        <v>1.0000000000000053</v>
      </c>
      <c r="F19" s="339">
        <f t="shared" si="3"/>
        <v>1.0263784249479565E-7</v>
      </c>
      <c r="G19" s="338">
        <f t="shared" si="4"/>
        <v>1</v>
      </c>
      <c r="H19" s="339">
        <f t="shared" si="5"/>
        <v>0</v>
      </c>
      <c r="I19" s="337">
        <f t="shared" si="6"/>
        <v>12.618570628096139</v>
      </c>
      <c r="J19" s="340">
        <f t="shared" si="7"/>
        <v>1.491464862581992</v>
      </c>
      <c r="K19" s="348">
        <f t="shared" si="8"/>
        <v>1.0000000417358244</v>
      </c>
      <c r="L19" s="349">
        <f t="shared" si="9"/>
        <v>2.8891459966471044E-4</v>
      </c>
      <c r="M19" s="337">
        <f t="shared" si="10"/>
        <v>1.0000000000014575</v>
      </c>
      <c r="N19" s="340">
        <f t="shared" si="11"/>
        <v>1.7072637939063212E-6</v>
      </c>
      <c r="O19" s="341">
        <f t="shared" si="12"/>
        <v>1.0000000000057314</v>
      </c>
      <c r="P19" s="342">
        <f t="shared" si="13"/>
        <v>4.1159978878703972E-6</v>
      </c>
      <c r="Q19" s="343">
        <f t="shared" si="14"/>
        <v>74.313320940246101</v>
      </c>
      <c r="R19" s="344">
        <f t="shared" si="15"/>
        <v>-85.440926435330397</v>
      </c>
      <c r="S19" s="346">
        <f t="shared" si="16"/>
        <v>94.559073564669603</v>
      </c>
      <c r="U19" s="319">
        <f t="shared" si="23"/>
        <v>1000000000</v>
      </c>
      <c r="V19" s="319">
        <f t="shared" si="24"/>
        <v>3.0199488400000001</v>
      </c>
      <c r="X19" s="345">
        <f t="shared" si="17"/>
        <v>75.687021505677933</v>
      </c>
      <c r="Y19" s="346">
        <f t="shared" si="18"/>
        <v>-85.438186247444193</v>
      </c>
      <c r="AA19" s="345">
        <f t="shared" si="19"/>
        <v>35.459049592663177</v>
      </c>
      <c r="AB19" s="346">
        <f t="shared" si="20"/>
        <v>-2.7401878861982049E-3</v>
      </c>
      <c r="AD19">
        <f t="shared" si="25"/>
        <v>0</v>
      </c>
      <c r="AE19">
        <f t="shared" si="21"/>
        <v>0</v>
      </c>
    </row>
    <row r="20" spans="1:31" x14ac:dyDescent="0.2">
      <c r="A20" s="347">
        <v>1.9055</v>
      </c>
      <c r="B20" s="364">
        <f t="shared" si="22"/>
        <v>1.9055000000000001E-3</v>
      </c>
      <c r="C20" s="337">
        <f t="shared" si="0"/>
        <v>1.0000000011539136</v>
      </c>
      <c r="D20" s="338">
        <f t="shared" si="1"/>
        <v>4.8039850888339238E-5</v>
      </c>
      <c r="E20" s="338">
        <f t="shared" si="2"/>
        <v>1.0000000000000062</v>
      </c>
      <c r="F20" s="339">
        <f t="shared" si="3"/>
        <v>1.1254253013800953E-7</v>
      </c>
      <c r="G20" s="338">
        <f t="shared" si="4"/>
        <v>1</v>
      </c>
      <c r="H20" s="339">
        <f t="shared" si="5"/>
        <v>0</v>
      </c>
      <c r="I20" s="337">
        <f t="shared" si="6"/>
        <v>13.82896642310612</v>
      </c>
      <c r="J20" s="340">
        <f t="shared" si="7"/>
        <v>1.4984211737773119</v>
      </c>
      <c r="K20" s="348">
        <f t="shared" si="8"/>
        <v>1.0000000501796138</v>
      </c>
      <c r="L20" s="349">
        <f t="shared" si="9"/>
        <v>3.1679523913113393E-4</v>
      </c>
      <c r="M20" s="337">
        <f t="shared" si="10"/>
        <v>1.0000000000017524</v>
      </c>
      <c r="N20" s="340">
        <f t="shared" si="11"/>
        <v>1.8720170096028632E-6</v>
      </c>
      <c r="O20" s="341">
        <f t="shared" si="12"/>
        <v>1.0000000000068912</v>
      </c>
      <c r="P20" s="342">
        <f t="shared" si="13"/>
        <v>4.5131971316218367E-6</v>
      </c>
      <c r="Q20" s="343">
        <f t="shared" si="14"/>
        <v>73.517729826252179</v>
      </c>
      <c r="R20" s="344">
        <f t="shared" si="15"/>
        <v>-85.838170136705145</v>
      </c>
      <c r="S20" s="346">
        <f t="shared" si="16"/>
        <v>94.161829863294855</v>
      </c>
      <c r="U20" s="319">
        <f t="shared" si="23"/>
        <v>1000000000</v>
      </c>
      <c r="V20" s="319">
        <f t="shared" si="24"/>
        <v>3.63093025</v>
      </c>
      <c r="X20" s="345">
        <f t="shared" si="17"/>
        <v>74.891430393380617</v>
      </c>
      <c r="Y20" s="346">
        <f t="shared" si="18"/>
        <v>-85.835165517061611</v>
      </c>
      <c r="AA20" s="345">
        <f t="shared" si="19"/>
        <v>35.459049590966572</v>
      </c>
      <c r="AB20" s="346">
        <f t="shared" si="20"/>
        <v>-3.004619643532764E-3</v>
      </c>
      <c r="AD20">
        <f t="shared" si="25"/>
        <v>0</v>
      </c>
      <c r="AE20">
        <f t="shared" si="21"/>
        <v>0</v>
      </c>
    </row>
    <row r="21" spans="1:31" x14ac:dyDescent="0.2">
      <c r="A21" s="347">
        <v>2.0893000000000002</v>
      </c>
      <c r="B21" s="364">
        <f t="shared" si="22"/>
        <v>2.0893000000000001E-3</v>
      </c>
      <c r="C21" s="337">
        <f t="shared" si="0"/>
        <v>1.0000000013872572</v>
      </c>
      <c r="D21" s="338">
        <f t="shared" si="1"/>
        <v>5.2673660690314052E-5</v>
      </c>
      <c r="E21" s="338">
        <f t="shared" si="2"/>
        <v>1.0000000000000075</v>
      </c>
      <c r="F21" s="339">
        <f t="shared" si="3"/>
        <v>1.233981150445254E-7</v>
      </c>
      <c r="G21" s="338">
        <f t="shared" si="4"/>
        <v>1</v>
      </c>
      <c r="H21" s="339">
        <f t="shared" si="5"/>
        <v>0</v>
      </c>
      <c r="I21" s="337">
        <f t="shared" si="6"/>
        <v>15.156205943667374</v>
      </c>
      <c r="J21" s="340">
        <f t="shared" si="7"/>
        <v>1.5047687880138572</v>
      </c>
      <c r="K21" s="348">
        <f t="shared" si="8"/>
        <v>1.0000000603269008</v>
      </c>
      <c r="L21" s="349">
        <f t="shared" si="9"/>
        <v>3.4735255242149152E-4</v>
      </c>
      <c r="M21" s="337">
        <f t="shared" si="10"/>
        <v>1.0000000000021065</v>
      </c>
      <c r="N21" s="340">
        <f t="shared" si="11"/>
        <v>2.0525873199487475E-6</v>
      </c>
      <c r="O21" s="341">
        <f t="shared" si="12"/>
        <v>1.0000000000082845</v>
      </c>
      <c r="P21" s="342">
        <f t="shared" si="13"/>
        <v>4.9485293975811272E-6</v>
      </c>
      <c r="Q21" s="343">
        <f t="shared" si="14"/>
        <v>72.721714398054118</v>
      </c>
      <c r="R21" s="344">
        <f t="shared" si="15"/>
        <v>-86.200411002149195</v>
      </c>
      <c r="S21" s="346">
        <f t="shared" si="16"/>
        <v>93.799588997850805</v>
      </c>
      <c r="U21" s="319">
        <f t="shared" si="23"/>
        <v>1000000000</v>
      </c>
      <c r="V21" s="319">
        <f t="shared" si="24"/>
        <v>4.3651744900000002</v>
      </c>
      <c r="X21" s="345">
        <f t="shared" si="17"/>
        <v>74.095414967221444</v>
      </c>
      <c r="Y21" s="346">
        <f t="shared" si="18"/>
        <v>-86.197116564038296</v>
      </c>
      <c r="AA21" s="345">
        <f t="shared" si="19"/>
        <v>35.459049588927684</v>
      </c>
      <c r="AB21" s="346">
        <f t="shared" si="20"/>
        <v>-3.2944381109094828E-3</v>
      </c>
      <c r="AD21">
        <f t="shared" si="25"/>
        <v>0</v>
      </c>
      <c r="AE21">
        <f t="shared" si="21"/>
        <v>0</v>
      </c>
    </row>
    <row r="22" spans="1:31" x14ac:dyDescent="0.2">
      <c r="A22" s="347">
        <v>2.2909000000000002</v>
      </c>
      <c r="B22" s="364">
        <f t="shared" si="22"/>
        <v>2.2909000000000002E-3</v>
      </c>
      <c r="C22" s="337">
        <f t="shared" si="0"/>
        <v>1.0000000016678909</v>
      </c>
      <c r="D22" s="338">
        <f t="shared" si="1"/>
        <v>5.775622900151457E-5</v>
      </c>
      <c r="E22" s="338">
        <f t="shared" si="2"/>
        <v>1.0000000000000091</v>
      </c>
      <c r="F22" s="339">
        <f t="shared" si="3"/>
        <v>1.3530500251543719E-7</v>
      </c>
      <c r="G22" s="338">
        <f t="shared" si="4"/>
        <v>1</v>
      </c>
      <c r="H22" s="339">
        <f t="shared" si="5"/>
        <v>0</v>
      </c>
      <c r="I22" s="337">
        <f t="shared" si="6"/>
        <v>16.61256576484503</v>
      </c>
      <c r="J22" s="340">
        <f t="shared" si="7"/>
        <v>1.5105645170112418</v>
      </c>
      <c r="K22" s="348">
        <f t="shared" si="8"/>
        <v>1.0000000725306666</v>
      </c>
      <c r="L22" s="349">
        <f t="shared" si="9"/>
        <v>3.8086916951529117E-4</v>
      </c>
      <c r="M22" s="337">
        <f t="shared" si="10"/>
        <v>1.0000000000025326</v>
      </c>
      <c r="N22" s="340">
        <f t="shared" si="11"/>
        <v>2.2506448529503898E-6</v>
      </c>
      <c r="O22" s="341">
        <f t="shared" si="12"/>
        <v>1.0000000000099605</v>
      </c>
      <c r="P22" s="342">
        <f t="shared" si="13"/>
        <v>5.4260211539314425E-6</v>
      </c>
      <c r="Q22" s="343">
        <f t="shared" si="14"/>
        <v>71.924790194710994</v>
      </c>
      <c r="R22" s="344">
        <f t="shared" si="15"/>
        <v>-86.530890686197594</v>
      </c>
      <c r="S22" s="346">
        <f t="shared" si="16"/>
        <v>93.469109313802406</v>
      </c>
      <c r="U22" s="319">
        <f t="shared" si="23"/>
        <v>1000000000</v>
      </c>
      <c r="V22" s="319">
        <f t="shared" si="24"/>
        <v>5.2482228100000006</v>
      </c>
      <c r="X22" s="345">
        <f t="shared" si="17"/>
        <v>73.298490766330417</v>
      </c>
      <c r="Y22" s="346">
        <f t="shared" si="18"/>
        <v>-86.527278362325006</v>
      </c>
      <c r="AA22" s="345">
        <f t="shared" si="19"/>
        <v>35.459049586475587</v>
      </c>
      <c r="AB22" s="346">
        <f t="shared" si="20"/>
        <v>-3.6123238725833855E-3</v>
      </c>
      <c r="AD22">
        <f t="shared" si="25"/>
        <v>0</v>
      </c>
      <c r="AE22">
        <f t="shared" si="21"/>
        <v>0</v>
      </c>
    </row>
    <row r="23" spans="1:31" x14ac:dyDescent="0.2">
      <c r="A23" s="347">
        <v>2.5118999999999998</v>
      </c>
      <c r="B23" s="364">
        <f t="shared" si="22"/>
        <v>2.5118999999999996E-3</v>
      </c>
      <c r="C23" s="337">
        <f t="shared" si="0"/>
        <v>1.0000000020052111</v>
      </c>
      <c r="D23" s="338">
        <f t="shared" si="1"/>
        <v>6.3327893664620602E-5</v>
      </c>
      <c r="E23" s="338">
        <f t="shared" si="2"/>
        <v>1.0000000000000111</v>
      </c>
      <c r="F23" s="339">
        <f t="shared" si="3"/>
        <v>1.4835769165765692E-7</v>
      </c>
      <c r="G23" s="338">
        <f t="shared" si="4"/>
        <v>1</v>
      </c>
      <c r="H23" s="339">
        <f t="shared" si="5"/>
        <v>0</v>
      </c>
      <c r="I23" s="337">
        <f t="shared" si="6"/>
        <v>18.20960497545682</v>
      </c>
      <c r="J23" s="340">
        <f t="shared" si="7"/>
        <v>1.5158526136349579</v>
      </c>
      <c r="K23" s="348">
        <f t="shared" si="8"/>
        <v>1.0000000871995196</v>
      </c>
      <c r="L23" s="349">
        <f t="shared" si="9"/>
        <v>4.1761109500616106E-4</v>
      </c>
      <c r="M23" s="337">
        <f t="shared" si="10"/>
        <v>1.0000000000030449</v>
      </c>
      <c r="N23" s="340">
        <f t="shared" si="11"/>
        <v>2.4677614937902803E-6</v>
      </c>
      <c r="O23" s="341">
        <f t="shared" si="12"/>
        <v>1.0000000000119751</v>
      </c>
      <c r="P23" s="342">
        <f t="shared" si="13"/>
        <v>5.9494620177862229E-6</v>
      </c>
      <c r="Q23" s="343">
        <f t="shared" si="14"/>
        <v>71.127514090212912</v>
      </c>
      <c r="R23" s="344">
        <f t="shared" si="15"/>
        <v>-86.83213206330187</v>
      </c>
      <c r="S23" s="346">
        <f t="shared" si="16"/>
        <v>93.16786793669813</v>
      </c>
      <c r="U23" s="319">
        <f t="shared" si="23"/>
        <v>1000000000</v>
      </c>
      <c r="V23" s="319">
        <f t="shared" si="24"/>
        <v>6.309641609999999</v>
      </c>
      <c r="X23" s="345">
        <f t="shared" si="17"/>
        <v>72.501214664779752</v>
      </c>
      <c r="Y23" s="346">
        <f t="shared" si="18"/>
        <v>-86.828171263470509</v>
      </c>
      <c r="AA23" s="345">
        <f t="shared" si="19"/>
        <v>35.459049583528177</v>
      </c>
      <c r="AB23" s="346">
        <f t="shared" si="20"/>
        <v>-3.9607998313641486E-3</v>
      </c>
      <c r="AD23">
        <f t="shared" si="25"/>
        <v>0</v>
      </c>
      <c r="AE23">
        <f t="shared" si="21"/>
        <v>0</v>
      </c>
    </row>
    <row r="24" spans="1:31" x14ac:dyDescent="0.2">
      <c r="A24" s="347">
        <v>2.7542</v>
      </c>
      <c r="B24" s="364">
        <f t="shared" si="22"/>
        <v>2.7542000000000001E-3</v>
      </c>
      <c r="C24" s="337">
        <f t="shared" si="0"/>
        <v>1.0000000024107176</v>
      </c>
      <c r="D24" s="338">
        <f t="shared" si="1"/>
        <v>6.9436555867648532E-5</v>
      </c>
      <c r="E24" s="338">
        <f t="shared" si="2"/>
        <v>1.0000000000000133</v>
      </c>
      <c r="F24" s="339">
        <f t="shared" si="3"/>
        <v>1.6266840016064258E-7</v>
      </c>
      <c r="G24" s="338">
        <f t="shared" si="4"/>
        <v>1</v>
      </c>
      <c r="H24" s="339">
        <f t="shared" si="5"/>
        <v>0</v>
      </c>
      <c r="I24" s="337">
        <f t="shared" si="6"/>
        <v>19.961054002268234</v>
      </c>
      <c r="J24" s="340">
        <f t="shared" si="7"/>
        <v>1.5206777926142272</v>
      </c>
      <c r="K24" s="348">
        <f t="shared" si="8"/>
        <v>1.0000001048335627</v>
      </c>
      <c r="L24" s="349">
        <f t="shared" si="9"/>
        <v>4.5789420930147229E-4</v>
      </c>
      <c r="M24" s="337">
        <f t="shared" si="10"/>
        <v>1.0000000000036606</v>
      </c>
      <c r="N24" s="340">
        <f t="shared" si="11"/>
        <v>2.7058038561226165E-6</v>
      </c>
      <c r="O24" s="341">
        <f t="shared" si="12"/>
        <v>1.0000000000143967</v>
      </c>
      <c r="P24" s="342">
        <f t="shared" si="13"/>
        <v>6.5233521594676086E-6</v>
      </c>
      <c r="Q24" s="343">
        <f t="shared" si="14"/>
        <v>70.32985534144531</v>
      </c>
      <c r="R24" s="344">
        <f t="shared" si="15"/>
        <v>-87.106682103013426</v>
      </c>
      <c r="S24" s="346">
        <f t="shared" si="16"/>
        <v>92.893317896986574</v>
      </c>
      <c r="U24" s="319">
        <f t="shared" si="23"/>
        <v>1000000000</v>
      </c>
      <c r="V24" s="319">
        <f t="shared" si="24"/>
        <v>7.5856176399999997</v>
      </c>
      <c r="X24" s="345">
        <f t="shared" si="17"/>
        <v>71.703555919555342</v>
      </c>
      <c r="Y24" s="346">
        <f t="shared" si="18"/>
        <v>-87.102339241079108</v>
      </c>
      <c r="AA24" s="345">
        <f t="shared" si="19"/>
        <v>35.459049579984978</v>
      </c>
      <c r="AB24" s="346">
        <f t="shared" si="20"/>
        <v>-4.3428619343287506E-3</v>
      </c>
      <c r="AD24">
        <f t="shared" si="25"/>
        <v>0</v>
      </c>
      <c r="AE24">
        <f t="shared" si="21"/>
        <v>0</v>
      </c>
    </row>
    <row r="25" spans="1:31" x14ac:dyDescent="0.2">
      <c r="A25" s="347">
        <v>3.02</v>
      </c>
      <c r="B25" s="364">
        <f t="shared" si="22"/>
        <v>3.0200000000000001E-3</v>
      </c>
      <c r="C25" s="337">
        <f t="shared" si="0"/>
        <v>1.000000002898473</v>
      </c>
      <c r="D25" s="338">
        <f t="shared" si="1"/>
        <v>7.6137680143820665E-5</v>
      </c>
      <c r="E25" s="338">
        <f t="shared" si="2"/>
        <v>1.000000000000016</v>
      </c>
      <c r="F25" s="339">
        <f t="shared" si="3"/>
        <v>1.7836706429639813E-7</v>
      </c>
      <c r="G25" s="338">
        <f t="shared" si="4"/>
        <v>1</v>
      </c>
      <c r="H25" s="339">
        <f t="shared" si="5"/>
        <v>0</v>
      </c>
      <c r="I25" s="337">
        <f t="shared" si="6"/>
        <v>21.882815990655832</v>
      </c>
      <c r="J25" s="340">
        <f t="shared" si="7"/>
        <v>1.5250824489070236</v>
      </c>
      <c r="K25" s="348">
        <f t="shared" si="8"/>
        <v>1.0000001260443196</v>
      </c>
      <c r="L25" s="349">
        <f t="shared" si="9"/>
        <v>5.0208426858484694E-4</v>
      </c>
      <c r="M25" s="337">
        <f t="shared" si="10"/>
        <v>1.0000000000044014</v>
      </c>
      <c r="N25" s="340">
        <f t="shared" si="11"/>
        <v>2.9669332820732943E-6</v>
      </c>
      <c r="O25" s="341">
        <f t="shared" si="12"/>
        <v>1.0000000000173095</v>
      </c>
      <c r="P25" s="342">
        <f t="shared" si="13"/>
        <v>7.1529023025063756E-6</v>
      </c>
      <c r="Q25" s="343">
        <f t="shared" si="14"/>
        <v>69.531460743975984</v>
      </c>
      <c r="R25" s="344">
        <f t="shared" si="15"/>
        <v>-87.356952494041039</v>
      </c>
      <c r="S25" s="346">
        <f t="shared" si="16"/>
        <v>92.643047505958961</v>
      </c>
      <c r="U25" s="319">
        <f t="shared" si="23"/>
        <v>1000000000</v>
      </c>
      <c r="V25" s="319">
        <f t="shared" si="24"/>
        <v>9.1204000000000001</v>
      </c>
      <c r="X25" s="345">
        <f t="shared" si="17"/>
        <v>70.90516132634788</v>
      </c>
      <c r="Y25" s="346">
        <f t="shared" si="18"/>
        <v>-87.352190514868227</v>
      </c>
      <c r="AA25" s="345">
        <f t="shared" si="19"/>
        <v>35.459049575723107</v>
      </c>
      <c r="AB25" s="346">
        <f t="shared" si="20"/>
        <v>-4.7619791728139918E-3</v>
      </c>
      <c r="AD25">
        <f t="shared" si="25"/>
        <v>0</v>
      </c>
      <c r="AE25">
        <f t="shared" si="21"/>
        <v>0</v>
      </c>
    </row>
    <row r="26" spans="1:31" x14ac:dyDescent="0.2">
      <c r="A26" s="347">
        <v>3.3113000000000001</v>
      </c>
      <c r="B26" s="364">
        <f t="shared" si="22"/>
        <v>3.3113000000000001E-3</v>
      </c>
      <c r="C26" s="337">
        <f t="shared" si="0"/>
        <v>1.0000000034845962</v>
      </c>
      <c r="D26" s="338">
        <f t="shared" si="1"/>
        <v>8.3481688795271493E-5</v>
      </c>
      <c r="E26" s="338">
        <f t="shared" si="2"/>
        <v>1.0000000000000191</v>
      </c>
      <c r="F26" s="339">
        <f t="shared" si="3"/>
        <v>1.9557180794856354E-7</v>
      </c>
      <c r="G26" s="338">
        <f t="shared" si="4"/>
        <v>1</v>
      </c>
      <c r="H26" s="339">
        <f t="shared" si="5"/>
        <v>0</v>
      </c>
      <c r="I26" s="337">
        <f t="shared" si="6"/>
        <v>23.989351386466886</v>
      </c>
      <c r="J26" s="340">
        <f t="shared" si="7"/>
        <v>1.5290990829066873</v>
      </c>
      <c r="K26" s="348">
        <f t="shared" si="8"/>
        <v>1.0000001515327293</v>
      </c>
      <c r="L26" s="349">
        <f t="shared" si="9"/>
        <v>5.5051377824982632E-4</v>
      </c>
      <c r="M26" s="337">
        <f t="shared" si="10"/>
        <v>1.0000000000052913</v>
      </c>
      <c r="N26" s="340">
        <f t="shared" si="11"/>
        <v>3.2531146281203544E-6</v>
      </c>
      <c r="O26" s="341">
        <f t="shared" si="12"/>
        <v>1.00000000002081</v>
      </c>
      <c r="P26" s="342">
        <f t="shared" si="13"/>
        <v>7.8428494682938078E-6</v>
      </c>
      <c r="Q26" s="343">
        <f t="shared" si="14"/>
        <v>68.733155012020376</v>
      </c>
      <c r="R26" s="344">
        <f t="shared" si="15"/>
        <v>-87.584789586808398</v>
      </c>
      <c r="S26" s="346">
        <f t="shared" si="16"/>
        <v>92.415210413191602</v>
      </c>
      <c r="U26" s="319">
        <f t="shared" si="23"/>
        <v>1000000000</v>
      </c>
      <c r="V26" s="319">
        <f t="shared" si="24"/>
        <v>10.964707690000001</v>
      </c>
      <c r="X26" s="345">
        <f t="shared" si="17"/>
        <v>70.106855599513651</v>
      </c>
      <c r="Y26" s="346">
        <f t="shared" si="18"/>
        <v>-87.579568281633129</v>
      </c>
      <c r="AA26" s="345">
        <f t="shared" si="19"/>
        <v>35.459049570601728</v>
      </c>
      <c r="AB26" s="346">
        <f t="shared" si="20"/>
        <v>-5.2213051752623028E-3</v>
      </c>
      <c r="AD26">
        <f t="shared" si="25"/>
        <v>0</v>
      </c>
      <c r="AE26">
        <f t="shared" si="21"/>
        <v>0</v>
      </c>
    </row>
    <row r="27" spans="1:31" x14ac:dyDescent="0.2">
      <c r="A27" s="347">
        <v>3.6307999999999998</v>
      </c>
      <c r="B27" s="364">
        <f t="shared" si="22"/>
        <v>3.6308E-3</v>
      </c>
      <c r="C27" s="337">
        <f t="shared" si="0"/>
        <v>1.0000000041894792</v>
      </c>
      <c r="D27" s="338">
        <f t="shared" si="1"/>
        <v>9.1536651929887298E-5</v>
      </c>
      <c r="E27" s="338">
        <f t="shared" si="2"/>
        <v>1.0000000000000231</v>
      </c>
      <c r="F27" s="339">
        <f t="shared" si="3"/>
        <v>2.1444209836005274E-7</v>
      </c>
      <c r="G27" s="338">
        <f t="shared" si="4"/>
        <v>1</v>
      </c>
      <c r="H27" s="339">
        <f t="shared" si="5"/>
        <v>0</v>
      </c>
      <c r="I27" s="337">
        <f t="shared" si="6"/>
        <v>26.300185324461626</v>
      </c>
      <c r="J27" s="340">
        <f t="shared" si="7"/>
        <v>1.532764613448284</v>
      </c>
      <c r="K27" s="348">
        <f t="shared" si="8"/>
        <v>1.0000001821855944</v>
      </c>
      <c r="L27" s="349">
        <f t="shared" si="9"/>
        <v>6.0363162057904722E-4</v>
      </c>
      <c r="M27" s="337">
        <f t="shared" si="10"/>
        <v>1.0000000000063618</v>
      </c>
      <c r="N27" s="340">
        <f t="shared" si="11"/>
        <v>3.5670004505091511E-6</v>
      </c>
      <c r="O27" s="341">
        <f t="shared" si="12"/>
        <v>1.0000000000250193</v>
      </c>
      <c r="P27" s="342">
        <f t="shared" si="13"/>
        <v>8.5995886357081324E-6</v>
      </c>
      <c r="Q27" s="343">
        <f t="shared" si="14"/>
        <v>67.934349214166389</v>
      </c>
      <c r="R27" s="344">
        <f t="shared" si="15"/>
        <v>-87.792287365070081</v>
      </c>
      <c r="S27" s="346">
        <f t="shared" si="16"/>
        <v>92.207712634929919</v>
      </c>
      <c r="U27" s="319">
        <f t="shared" si="23"/>
        <v>1000000000</v>
      </c>
      <c r="V27" s="319">
        <f t="shared" si="24"/>
        <v>13.182708639999998</v>
      </c>
      <c r="X27" s="345">
        <f t="shared" si="17"/>
        <v>69.308049807818733</v>
      </c>
      <c r="Y27" s="346">
        <f t="shared" si="18"/>
        <v>-87.786562267730019</v>
      </c>
      <c r="AA27" s="345">
        <f t="shared" si="19"/>
        <v>35.459049564442665</v>
      </c>
      <c r="AB27" s="346">
        <f t="shared" si="20"/>
        <v>-5.7250973400712422E-3</v>
      </c>
      <c r="AD27">
        <f t="shared" si="25"/>
        <v>0</v>
      </c>
      <c r="AE27">
        <f t="shared" si="21"/>
        <v>0</v>
      </c>
    </row>
    <row r="28" spans="1:31" x14ac:dyDescent="0.2">
      <c r="A28" s="347">
        <v>3.9811000000000001</v>
      </c>
      <c r="B28" s="364">
        <f t="shared" si="22"/>
        <v>3.9811000000000004E-3</v>
      </c>
      <c r="C28" s="337">
        <f t="shared" si="0"/>
        <v>1.0000000050368796</v>
      </c>
      <c r="D28" s="338">
        <f t="shared" si="1"/>
        <v>1.0036811853922089E-4</v>
      </c>
      <c r="E28" s="338">
        <f t="shared" si="2"/>
        <v>1.0000000000000275</v>
      </c>
      <c r="F28" s="339">
        <f t="shared" si="3"/>
        <v>2.3513149657959769E-7</v>
      </c>
      <c r="G28" s="338">
        <f t="shared" si="4"/>
        <v>1</v>
      </c>
      <c r="H28" s="339">
        <f t="shared" si="5"/>
        <v>0</v>
      </c>
      <c r="I28" s="337">
        <f t="shared" si="6"/>
        <v>28.834122978576595</v>
      </c>
      <c r="J28" s="340">
        <f t="shared" si="7"/>
        <v>1.5361082396004959</v>
      </c>
      <c r="K28" s="348">
        <f t="shared" si="8"/>
        <v>1.0000002190360229</v>
      </c>
      <c r="L28" s="349">
        <f t="shared" si="9"/>
        <v>6.6187005223366006E-4</v>
      </c>
      <c r="M28" s="337">
        <f t="shared" si="10"/>
        <v>1.0000000000076485</v>
      </c>
      <c r="N28" s="340">
        <f t="shared" si="11"/>
        <v>3.9111450626610668E-6</v>
      </c>
      <c r="O28" s="341">
        <f t="shared" si="12"/>
        <v>1.0000000000300799</v>
      </c>
      <c r="P28" s="342">
        <f t="shared" si="13"/>
        <v>9.429277932557493E-6</v>
      </c>
      <c r="Q28" s="343">
        <f t="shared" si="14"/>
        <v>67.135390773917848</v>
      </c>
      <c r="R28" s="344">
        <f t="shared" si="15"/>
        <v>-87.98109829181513</v>
      </c>
      <c r="S28" s="346">
        <f t="shared" si="16"/>
        <v>92.01890170818487</v>
      </c>
      <c r="U28" s="319">
        <f t="shared" si="23"/>
        <v>1000000000</v>
      </c>
      <c r="V28" s="319">
        <f t="shared" si="24"/>
        <v>15.849157210000001</v>
      </c>
      <c r="X28" s="345">
        <f t="shared" si="17"/>
        <v>68.509091374974531</v>
      </c>
      <c r="Y28" s="346">
        <f t="shared" si="18"/>
        <v>-87.974820836430993</v>
      </c>
      <c r="AA28" s="345">
        <f t="shared" si="19"/>
        <v>35.45904955703832</v>
      </c>
      <c r="AB28" s="346">
        <f t="shared" si="20"/>
        <v>-6.2774553841459298E-3</v>
      </c>
      <c r="AD28">
        <f t="shared" si="25"/>
        <v>0</v>
      </c>
      <c r="AE28">
        <f t="shared" si="21"/>
        <v>0</v>
      </c>
    </row>
    <row r="29" spans="1:31" x14ac:dyDescent="0.2">
      <c r="A29" s="347">
        <v>4.3651999999999997</v>
      </c>
      <c r="B29" s="364">
        <f t="shared" si="22"/>
        <v>4.3651999999999996E-3</v>
      </c>
      <c r="C29" s="337">
        <f t="shared" si="0"/>
        <v>1.0000000060556908</v>
      </c>
      <c r="D29" s="338">
        <f t="shared" si="1"/>
        <v>1.1005172207425787E-4</v>
      </c>
      <c r="E29" s="338">
        <f t="shared" si="2"/>
        <v>1.0000000000000333</v>
      </c>
      <c r="F29" s="339">
        <f t="shared" si="3"/>
        <v>2.5781718843265827E-7</v>
      </c>
      <c r="G29" s="338">
        <f t="shared" si="4"/>
        <v>1</v>
      </c>
      <c r="H29" s="339">
        <f t="shared" si="5"/>
        <v>0</v>
      </c>
      <c r="I29" s="337">
        <f t="shared" si="6"/>
        <v>31.612865295249868</v>
      </c>
      <c r="J29" s="340">
        <f t="shared" si="7"/>
        <v>1.5391583579810009</v>
      </c>
      <c r="K29" s="348">
        <f t="shared" si="8"/>
        <v>1.0000002633404999</v>
      </c>
      <c r="L29" s="349">
        <f t="shared" si="9"/>
        <v>7.2572783066845905E-4</v>
      </c>
      <c r="M29" s="337">
        <f t="shared" si="10"/>
        <v>1.0000000000091958</v>
      </c>
      <c r="N29" s="340">
        <f t="shared" si="11"/>
        <v>4.2884957492930296E-6</v>
      </c>
      <c r="O29" s="341">
        <f t="shared" si="12"/>
        <v>1.0000000000361644</v>
      </c>
      <c r="P29" s="342">
        <f t="shared" si="13"/>
        <v>1.033902289092786E-5</v>
      </c>
      <c r="Q29" s="343">
        <f t="shared" si="14"/>
        <v>66.336248862493377</v>
      </c>
      <c r="R29" s="344">
        <f t="shared" si="15"/>
        <v>-88.152825696003092</v>
      </c>
      <c r="S29" s="346">
        <f t="shared" si="16"/>
        <v>91.847174303996908</v>
      </c>
      <c r="U29" s="319">
        <f t="shared" si="23"/>
        <v>1000000000</v>
      </c>
      <c r="V29" s="319">
        <f t="shared" si="24"/>
        <v>19.054971039999998</v>
      </c>
      <c r="X29" s="345">
        <f t="shared" si="17"/>
        <v>67.709949472452152</v>
      </c>
      <c r="Y29" s="346">
        <f t="shared" si="18"/>
        <v>-88.145942586253071</v>
      </c>
      <c r="AA29" s="345">
        <f t="shared" si="19"/>
        <v>35.459049548136242</v>
      </c>
      <c r="AB29" s="346">
        <f t="shared" si="20"/>
        <v>-6.8831097500229865E-3</v>
      </c>
      <c r="AD29">
        <f t="shared" si="25"/>
        <v>0</v>
      </c>
      <c r="AE29">
        <f t="shared" si="21"/>
        <v>0</v>
      </c>
    </row>
    <row r="30" spans="1:31" x14ac:dyDescent="0.2">
      <c r="A30" s="347">
        <v>4.7862999999999998</v>
      </c>
      <c r="B30" s="364">
        <f t="shared" si="22"/>
        <v>4.7862999999999994E-3</v>
      </c>
      <c r="C30" s="337">
        <f t="shared" si="0"/>
        <v>1.0000000072803998</v>
      </c>
      <c r="D30" s="338">
        <f t="shared" si="1"/>
        <v>1.2066813821450361E-4</v>
      </c>
      <c r="E30" s="338">
        <f t="shared" si="2"/>
        <v>1.00000000000004</v>
      </c>
      <c r="F30" s="339">
        <f t="shared" si="3"/>
        <v>2.8268817213305849E-7</v>
      </c>
      <c r="G30" s="338">
        <f t="shared" si="4"/>
        <v>1</v>
      </c>
      <c r="H30" s="339">
        <f t="shared" si="5"/>
        <v>0</v>
      </c>
      <c r="I30" s="337">
        <f t="shared" si="6"/>
        <v>34.659562465025012</v>
      </c>
      <c r="J30" s="340">
        <f t="shared" si="7"/>
        <v>1.5419402558823783</v>
      </c>
      <c r="K30" s="348">
        <f t="shared" si="8"/>
        <v>1.000000316598741</v>
      </c>
      <c r="L30" s="349">
        <f t="shared" si="9"/>
        <v>7.9573696339190077E-4</v>
      </c>
      <c r="M30" s="337">
        <f t="shared" si="10"/>
        <v>1.0000000000110554</v>
      </c>
      <c r="N30" s="340">
        <f t="shared" si="11"/>
        <v>4.7021962807696731E-6</v>
      </c>
      <c r="O30" s="341">
        <f t="shared" si="12"/>
        <v>1.0000000000434781</v>
      </c>
      <c r="P30" s="342">
        <f t="shared" si="13"/>
        <v>1.1336402745043613E-5</v>
      </c>
      <c r="Q30" s="343">
        <f t="shared" si="14"/>
        <v>65.537065010396475</v>
      </c>
      <c r="R30" s="344">
        <f t="shared" si="15"/>
        <v>-88.308893176920876</v>
      </c>
      <c r="S30" s="346">
        <f t="shared" si="16"/>
        <v>91.691106823079124</v>
      </c>
      <c r="U30" s="319">
        <f t="shared" si="23"/>
        <v>1000000000</v>
      </c>
      <c r="V30" s="319">
        <f t="shared" si="24"/>
        <v>22.908667689999998</v>
      </c>
      <c r="X30" s="345">
        <f t="shared" si="17"/>
        <v>66.910765631056407</v>
      </c>
      <c r="Y30" s="346">
        <f t="shared" si="18"/>
        <v>-88.301346070677894</v>
      </c>
      <c r="AA30" s="345">
        <f t="shared" si="19"/>
        <v>35.459049537435085</v>
      </c>
      <c r="AB30" s="346">
        <f t="shared" si="20"/>
        <v>-7.547106242986195E-3</v>
      </c>
      <c r="AD30">
        <f t="shared" si="25"/>
        <v>0</v>
      </c>
      <c r="AE30">
        <f t="shared" si="21"/>
        <v>0</v>
      </c>
    </row>
    <row r="31" spans="1:31" x14ac:dyDescent="0.2">
      <c r="A31" s="347">
        <v>5.2481</v>
      </c>
      <c r="B31" s="364">
        <f t="shared" si="22"/>
        <v>5.2481000000000003E-3</v>
      </c>
      <c r="C31" s="337">
        <f t="shared" si="0"/>
        <v>1.0000000087530538</v>
      </c>
      <c r="D31" s="338">
        <f t="shared" si="1"/>
        <v>1.3231064821298352E-4</v>
      </c>
      <c r="E31" s="338">
        <f t="shared" si="2"/>
        <v>1.000000000000048</v>
      </c>
      <c r="F31" s="339">
        <f t="shared" si="3"/>
        <v>3.0996297686553209E-7</v>
      </c>
      <c r="G31" s="338">
        <f t="shared" si="4"/>
        <v>1</v>
      </c>
      <c r="H31" s="339">
        <f t="shared" si="5"/>
        <v>0</v>
      </c>
      <c r="I31" s="337">
        <f t="shared" si="6"/>
        <v>38.000984403746976</v>
      </c>
      <c r="J31" s="340">
        <f t="shared" si="7"/>
        <v>1.5444781809409995</v>
      </c>
      <c r="K31" s="348">
        <f t="shared" si="8"/>
        <v>1.000000380639225</v>
      </c>
      <c r="L31" s="349">
        <f t="shared" si="9"/>
        <v>8.7251258368338828E-4</v>
      </c>
      <c r="M31" s="337">
        <f t="shared" si="10"/>
        <v>1.0000000000132916</v>
      </c>
      <c r="N31" s="340">
        <f t="shared" si="11"/>
        <v>5.1558816415750234E-6</v>
      </c>
      <c r="O31" s="341">
        <f t="shared" si="12"/>
        <v>1.0000000000522729</v>
      </c>
      <c r="P31" s="342">
        <f t="shared" si="13"/>
        <v>1.2430180984476095E-5</v>
      </c>
      <c r="Q31" s="343">
        <f t="shared" si="14"/>
        <v>64.737630132641854</v>
      </c>
      <c r="R31" s="344">
        <f t="shared" si="15"/>
        <v>-88.450660819738061</v>
      </c>
      <c r="S31" s="346">
        <f t="shared" si="16"/>
        <v>91.549339180261939</v>
      </c>
      <c r="U31" s="319">
        <f t="shared" si="23"/>
        <v>1000000000</v>
      </c>
      <c r="V31" s="319">
        <f t="shared" si="24"/>
        <v>27.542553609999999</v>
      </c>
      <c r="X31" s="345">
        <f t="shared" si="17"/>
        <v>66.111330766169402</v>
      </c>
      <c r="Y31" s="346">
        <f t="shared" si="18"/>
        <v>-88.442385540662741</v>
      </c>
      <c r="AA31" s="345">
        <f t="shared" si="19"/>
        <v>35.459049524567455</v>
      </c>
      <c r="AB31" s="346">
        <f t="shared" si="20"/>
        <v>-8.2752790753145324E-3</v>
      </c>
      <c r="AD31">
        <f t="shared" si="25"/>
        <v>0</v>
      </c>
      <c r="AE31">
        <f t="shared" si="21"/>
        <v>0</v>
      </c>
    </row>
    <row r="32" spans="1:31" x14ac:dyDescent="0.2">
      <c r="A32" s="347">
        <v>5.7544000000000004</v>
      </c>
      <c r="B32" s="364">
        <f t="shared" si="22"/>
        <v>5.7544000000000007E-3</v>
      </c>
      <c r="C32" s="337">
        <f t="shared" si="0"/>
        <v>1.0000000105233857</v>
      </c>
      <c r="D32" s="338">
        <f t="shared" si="1"/>
        <v>1.4507505443459715E-4</v>
      </c>
      <c r="E32" s="338">
        <f t="shared" si="2"/>
        <v>1.0000000000000577</v>
      </c>
      <c r="F32" s="339">
        <f t="shared" si="3"/>
        <v>3.3986603800899497E-7</v>
      </c>
      <c r="G32" s="338">
        <f t="shared" si="4"/>
        <v>1</v>
      </c>
      <c r="H32" s="339">
        <f t="shared" si="5"/>
        <v>0</v>
      </c>
      <c r="I32" s="337">
        <f t="shared" si="6"/>
        <v>41.664626639897961</v>
      </c>
      <c r="J32" s="340">
        <f t="shared" si="7"/>
        <v>1.5467928467459466</v>
      </c>
      <c r="K32" s="348">
        <f t="shared" si="8"/>
        <v>1.0000004576246555</v>
      </c>
      <c r="L32" s="349">
        <f t="shared" si="9"/>
        <v>9.5668644916500076E-4</v>
      </c>
      <c r="M32" s="337">
        <f t="shared" si="10"/>
        <v>1.0000000000159797</v>
      </c>
      <c r="N32" s="340">
        <f t="shared" si="11"/>
        <v>5.6532850590168143E-6</v>
      </c>
      <c r="O32" s="341">
        <f t="shared" si="12"/>
        <v>1.0000000000628453</v>
      </c>
      <c r="P32" s="342">
        <f t="shared" si="13"/>
        <v>1.3629357949864818E-5</v>
      </c>
      <c r="Q32" s="343">
        <f t="shared" si="14"/>
        <v>63.938177837751631</v>
      </c>
      <c r="R32" s="344">
        <f t="shared" si="15"/>
        <v>-88.579285434435178</v>
      </c>
      <c r="S32" s="346">
        <f t="shared" si="16"/>
        <v>91.420714565564822</v>
      </c>
      <c r="U32" s="319">
        <f t="shared" si="23"/>
        <v>1000000000</v>
      </c>
      <c r="V32" s="319">
        <f t="shared" si="24"/>
        <v>33.113119360000006</v>
      </c>
      <c r="X32" s="345">
        <f t="shared" si="17"/>
        <v>65.31187848674783</v>
      </c>
      <c r="Y32" s="346">
        <f t="shared" si="18"/>
        <v>-88.570211814294666</v>
      </c>
      <c r="AA32" s="345">
        <f t="shared" si="19"/>
        <v>35.459049509098804</v>
      </c>
      <c r="AB32" s="346">
        <f t="shared" si="20"/>
        <v>-9.0736201405237984E-3</v>
      </c>
      <c r="AD32">
        <f t="shared" si="25"/>
        <v>0</v>
      </c>
      <c r="AE32">
        <f t="shared" si="21"/>
        <v>0</v>
      </c>
    </row>
    <row r="33" spans="1:31" x14ac:dyDescent="0.2">
      <c r="A33" s="347">
        <v>6.3095999999999997</v>
      </c>
      <c r="B33" s="364">
        <f t="shared" si="22"/>
        <v>6.3095999999999994E-3</v>
      </c>
      <c r="C33" s="337">
        <f t="shared" si="0"/>
        <v>1.0000000126519963</v>
      </c>
      <c r="D33" s="338">
        <f t="shared" si="1"/>
        <v>1.5907228593103762E-4</v>
      </c>
      <c r="E33" s="338">
        <f t="shared" si="2"/>
        <v>1.0000000000000693</v>
      </c>
      <c r="F33" s="339">
        <f t="shared" si="3"/>
        <v>3.7265722810745476E-7</v>
      </c>
      <c r="G33" s="338">
        <f t="shared" si="4"/>
        <v>1</v>
      </c>
      <c r="H33" s="339">
        <f t="shared" si="5"/>
        <v>0</v>
      </c>
      <c r="I33" s="337">
        <f t="shared" si="6"/>
        <v>45.682328089566141</v>
      </c>
      <c r="J33" s="340">
        <f t="shared" si="7"/>
        <v>1.5489042752450606</v>
      </c>
      <c r="K33" s="348">
        <f t="shared" si="8"/>
        <v>1.0000005501903335</v>
      </c>
      <c r="L33" s="349">
        <f t="shared" si="9"/>
        <v>1.0489900679737749E-3</v>
      </c>
      <c r="M33" s="337">
        <f t="shared" si="10"/>
        <v>1.0000000000192122</v>
      </c>
      <c r="N33" s="340">
        <f t="shared" si="11"/>
        <v>6.1987292173459656E-6</v>
      </c>
      <c r="O33" s="341">
        <f t="shared" si="12"/>
        <v>1.0000000000755571</v>
      </c>
      <c r="P33" s="342">
        <f t="shared" si="13"/>
        <v>1.4944355088265054E-5</v>
      </c>
      <c r="Q33" s="343">
        <f t="shared" si="14"/>
        <v>63.138563940327337</v>
      </c>
      <c r="R33" s="344">
        <f t="shared" si="15"/>
        <v>-88.6958794674469</v>
      </c>
      <c r="S33" s="346">
        <f t="shared" si="16"/>
        <v>91.3041205325531</v>
      </c>
      <c r="U33" s="319">
        <f t="shared" si="23"/>
        <v>1000000000</v>
      </c>
      <c r="V33" s="319">
        <f t="shared" si="24"/>
        <v>39.811052159999996</v>
      </c>
      <c r="X33" s="345">
        <f t="shared" si="17"/>
        <v>64.512264607922731</v>
      </c>
      <c r="Y33" s="346">
        <f t="shared" si="18"/>
        <v>-88.685930400026464</v>
      </c>
      <c r="AA33" s="345">
        <f t="shared" si="19"/>
        <v>35.459049490499616</v>
      </c>
      <c r="AB33" s="346">
        <f t="shared" si="20"/>
        <v>-9.9490674204420291E-3</v>
      </c>
      <c r="AD33">
        <f t="shared" si="25"/>
        <v>0</v>
      </c>
      <c r="AE33">
        <f t="shared" si="21"/>
        <v>0</v>
      </c>
    </row>
    <row r="34" spans="1:31" x14ac:dyDescent="0.2">
      <c r="A34" s="347">
        <v>6.9183000000000003</v>
      </c>
      <c r="B34" s="364">
        <f t="shared" si="22"/>
        <v>6.9183000000000005E-3</v>
      </c>
      <c r="C34" s="337">
        <f t="shared" si="0"/>
        <v>1.0000000152108743</v>
      </c>
      <c r="D34" s="338">
        <f t="shared" si="1"/>
        <v>1.7441831397859093E-4</v>
      </c>
      <c r="E34" s="338">
        <f t="shared" si="2"/>
        <v>1.0000000000000835</v>
      </c>
      <c r="F34" s="339">
        <f t="shared" si="3"/>
        <v>4.0860823209328331E-7</v>
      </c>
      <c r="G34" s="338">
        <f t="shared" si="4"/>
        <v>1</v>
      </c>
      <c r="H34" s="339">
        <f t="shared" si="5"/>
        <v>0</v>
      </c>
      <c r="I34" s="337">
        <f t="shared" si="6"/>
        <v>50.087376650694154</v>
      </c>
      <c r="J34" s="340">
        <f t="shared" si="7"/>
        <v>1.5508298898787585</v>
      </c>
      <c r="K34" s="348">
        <f t="shared" si="8"/>
        <v>1.0000006614668091</v>
      </c>
      <c r="L34" s="349">
        <f t="shared" si="9"/>
        <v>1.1501881971742625E-3</v>
      </c>
      <c r="M34" s="337">
        <f t="shared" si="10"/>
        <v>1.0000000000230977</v>
      </c>
      <c r="N34" s="340">
        <f t="shared" si="11"/>
        <v>6.796733286460871E-6</v>
      </c>
      <c r="O34" s="341">
        <f t="shared" si="12"/>
        <v>1.0000000000908384</v>
      </c>
      <c r="P34" s="342">
        <f t="shared" si="13"/>
        <v>1.6386067548868793E-5</v>
      </c>
      <c r="Q34" s="343">
        <f t="shared" si="14"/>
        <v>62.338963737648214</v>
      </c>
      <c r="R34" s="344">
        <f t="shared" si="15"/>
        <v>-88.801404903296373</v>
      </c>
      <c r="S34" s="346">
        <f t="shared" si="16"/>
        <v>91.198595096703627</v>
      </c>
      <c r="U34" s="319">
        <f t="shared" si="23"/>
        <v>1000000000</v>
      </c>
      <c r="V34" s="319">
        <f t="shared" si="24"/>
        <v>47.862874890000008</v>
      </c>
      <c r="X34" s="345">
        <f t="shared" si="17"/>
        <v>63.712664427602348</v>
      </c>
      <c r="Y34" s="346">
        <f t="shared" si="18"/>
        <v>-88.790496029036959</v>
      </c>
      <c r="AA34" s="345">
        <f t="shared" si="19"/>
        <v>35.459049468140876</v>
      </c>
      <c r="AB34" s="346">
        <f t="shared" si="20"/>
        <v>-1.0908874259419329E-2</v>
      </c>
      <c r="AD34">
        <f t="shared" si="25"/>
        <v>0</v>
      </c>
      <c r="AE34">
        <f t="shared" si="21"/>
        <v>0</v>
      </c>
    </row>
    <row r="35" spans="1:31" x14ac:dyDescent="0.2">
      <c r="A35" s="347">
        <v>7.5857999999999999</v>
      </c>
      <c r="B35" s="364">
        <f t="shared" si="22"/>
        <v>7.5858000000000002E-3</v>
      </c>
      <c r="C35" s="337">
        <f t="shared" si="0"/>
        <v>1.0000000182876614</v>
      </c>
      <c r="D35" s="338">
        <f t="shared" si="1"/>
        <v>1.9124675765214846E-4</v>
      </c>
      <c r="E35" s="338">
        <f t="shared" si="2"/>
        <v>1.0000000000001004</v>
      </c>
      <c r="F35" s="339">
        <f t="shared" si="3"/>
        <v>4.4803207825812608E-7</v>
      </c>
      <c r="G35" s="338">
        <f t="shared" si="4"/>
        <v>1</v>
      </c>
      <c r="H35" s="339">
        <f t="shared" si="5"/>
        <v>0</v>
      </c>
      <c r="I35" s="337">
        <f t="shared" si="6"/>
        <v>54.918127459507808</v>
      </c>
      <c r="J35" s="340">
        <f t="shared" si="7"/>
        <v>1.5525863965710012</v>
      </c>
      <c r="K35" s="348">
        <f t="shared" si="8"/>
        <v>1.0000007952652825</v>
      </c>
      <c r="L35" s="349">
        <f t="shared" si="9"/>
        <v>1.261161968670792E-3</v>
      </c>
      <c r="M35" s="337">
        <f t="shared" si="10"/>
        <v>1.0000000000277698</v>
      </c>
      <c r="N35" s="340">
        <f t="shared" si="11"/>
        <v>7.4525041360268094E-6</v>
      </c>
      <c r="O35" s="341">
        <f t="shared" si="12"/>
        <v>1.0000000001092131</v>
      </c>
      <c r="P35" s="342">
        <f t="shared" si="13"/>
        <v>1.7967048438351921E-5</v>
      </c>
      <c r="Q35" s="343">
        <f t="shared" si="14"/>
        <v>61.539216177111548</v>
      </c>
      <c r="R35" s="344">
        <f t="shared" si="15"/>
        <v>-88.896777091226681</v>
      </c>
      <c r="S35" s="346">
        <f t="shared" si="16"/>
        <v>91.103222908773319</v>
      </c>
      <c r="U35" s="319">
        <f t="shared" si="23"/>
        <v>1000000000</v>
      </c>
      <c r="V35" s="319">
        <f t="shared" si="24"/>
        <v>57.544361639999998</v>
      </c>
      <c r="X35" s="345">
        <f t="shared" si="17"/>
        <v>62.91291689394977</v>
      </c>
      <c r="Y35" s="346">
        <f t="shared" si="18"/>
        <v>-88.884815693455323</v>
      </c>
      <c r="AA35" s="345">
        <f t="shared" si="19"/>
        <v>35.459049441256788</v>
      </c>
      <c r="AB35" s="346">
        <f t="shared" si="20"/>
        <v>-1.1961397771351292E-2</v>
      </c>
      <c r="AD35">
        <f t="shared" si="25"/>
        <v>0</v>
      </c>
      <c r="AE35">
        <f t="shared" si="21"/>
        <v>0</v>
      </c>
    </row>
    <row r="36" spans="1:31" x14ac:dyDescent="0.2">
      <c r="A36" s="347">
        <v>8.3176000000000005</v>
      </c>
      <c r="B36" s="364">
        <f t="shared" si="22"/>
        <v>8.3176000000000014E-3</v>
      </c>
      <c r="C36" s="337">
        <f t="shared" si="0"/>
        <v>1.000000021986265</v>
      </c>
      <c r="D36" s="338">
        <f t="shared" si="1"/>
        <v>2.0969627824688627E-4</v>
      </c>
      <c r="E36" s="338">
        <f t="shared" si="2"/>
        <v>1.0000000000001208</v>
      </c>
      <c r="F36" s="339">
        <f t="shared" si="3"/>
        <v>4.9125360728199253E-7</v>
      </c>
      <c r="G36" s="338">
        <f t="shared" si="4"/>
        <v>1</v>
      </c>
      <c r="H36" s="339">
        <f t="shared" si="5"/>
        <v>0</v>
      </c>
      <c r="I36" s="337">
        <f t="shared" si="6"/>
        <v>60.214384466066299</v>
      </c>
      <c r="J36" s="340">
        <f t="shared" si="7"/>
        <v>1.5541882358579144</v>
      </c>
      <c r="K36" s="348">
        <f t="shared" si="8"/>
        <v>1.0000009561043059</v>
      </c>
      <c r="L36" s="349">
        <f t="shared" si="9"/>
        <v>1.3828257620597871E-3</v>
      </c>
      <c r="M36" s="337">
        <f t="shared" si="10"/>
        <v>1.0000000000333862</v>
      </c>
      <c r="N36" s="340">
        <f t="shared" si="11"/>
        <v>8.1714451213562831E-6</v>
      </c>
      <c r="O36" s="341">
        <f t="shared" si="12"/>
        <v>1.0000000001313007</v>
      </c>
      <c r="P36" s="342">
        <f t="shared" si="13"/>
        <v>1.9700324565525217E-5</v>
      </c>
      <c r="Q36" s="343">
        <f t="shared" si="14"/>
        <v>60.739526931969017</v>
      </c>
      <c r="R36" s="344">
        <f t="shared" si="15"/>
        <v>-88.982780004986523</v>
      </c>
      <c r="S36" s="346">
        <f t="shared" si="16"/>
        <v>91.017219995013477</v>
      </c>
      <c r="U36" s="319">
        <f t="shared" si="23"/>
        <v>1000000000</v>
      </c>
      <c r="V36" s="319">
        <f t="shared" si="24"/>
        <v>69.182469760000004</v>
      </c>
      <c r="X36" s="345">
        <f t="shared" si="17"/>
        <v>62.11322768112457</v>
      </c>
      <c r="Y36" s="346">
        <f t="shared" si="18"/>
        <v>-88.969664694554098</v>
      </c>
      <c r="AA36" s="345">
        <f t="shared" si="19"/>
        <v>35.45904940893945</v>
      </c>
      <c r="AB36" s="346">
        <f t="shared" si="20"/>
        <v>-1.311531043240864E-2</v>
      </c>
      <c r="AD36">
        <f t="shared" si="25"/>
        <v>0</v>
      </c>
      <c r="AE36">
        <f t="shared" si="21"/>
        <v>0</v>
      </c>
    </row>
    <row r="37" spans="1:31" x14ac:dyDescent="0.2">
      <c r="A37" s="347">
        <v>9.1201000000000008</v>
      </c>
      <c r="B37" s="364">
        <f t="shared" si="22"/>
        <v>9.1201000000000008E-3</v>
      </c>
      <c r="C37" s="337">
        <f t="shared" si="0"/>
        <v>1.0000000264334954</v>
      </c>
      <c r="D37" s="338">
        <f t="shared" si="1"/>
        <v>2.2992822708105151E-4</v>
      </c>
      <c r="E37" s="338">
        <f t="shared" si="2"/>
        <v>1.0000000000001452</v>
      </c>
      <c r="F37" s="339">
        <f t="shared" si="3"/>
        <v>5.3865081559252995E-7</v>
      </c>
      <c r="G37" s="338">
        <f t="shared" si="4"/>
        <v>1</v>
      </c>
      <c r="H37" s="339">
        <f t="shared" si="5"/>
        <v>0</v>
      </c>
      <c r="I37" s="337">
        <f t="shared" si="6"/>
        <v>66.022466408020449</v>
      </c>
      <c r="J37" s="340">
        <f t="shared" si="7"/>
        <v>1.5556493882795381</v>
      </c>
      <c r="K37" s="348">
        <f t="shared" si="8"/>
        <v>1.0000011494983991</v>
      </c>
      <c r="L37" s="349">
        <f t="shared" si="9"/>
        <v>1.5162435806685298E-3</v>
      </c>
      <c r="M37" s="337">
        <f t="shared" si="10"/>
        <v>1.0000000000401394</v>
      </c>
      <c r="N37" s="340">
        <f t="shared" si="11"/>
        <v>8.9598437831761493E-6</v>
      </c>
      <c r="O37" s="341">
        <f t="shared" si="12"/>
        <v>1.0000000001578595</v>
      </c>
      <c r="P37" s="342">
        <f t="shared" si="13"/>
        <v>2.1601054398820035E-5</v>
      </c>
      <c r="Q37" s="343">
        <f t="shared" si="14"/>
        <v>59.939698711064793</v>
      </c>
      <c r="R37" s="344">
        <f t="shared" si="15"/>
        <v>-89.060164159474027</v>
      </c>
      <c r="S37" s="346">
        <f t="shared" si="16"/>
        <v>90.939835840525973</v>
      </c>
      <c r="U37" s="319">
        <f t="shared" si="23"/>
        <v>1000000000</v>
      </c>
      <c r="V37" s="319">
        <f t="shared" si="24"/>
        <v>83.176224010000013</v>
      </c>
      <c r="X37" s="345">
        <f t="shared" si="17"/>
        <v>61.313399499078976</v>
      </c>
      <c r="Y37" s="346">
        <f t="shared" si="18"/>
        <v>-89.045783455623194</v>
      </c>
      <c r="AA37" s="345">
        <f t="shared" si="19"/>
        <v>35.459049370080827</v>
      </c>
      <c r="AB37" s="346">
        <f t="shared" si="20"/>
        <v>-1.4380703850822359E-2</v>
      </c>
      <c r="AD37">
        <f t="shared" si="25"/>
        <v>0</v>
      </c>
      <c r="AE37">
        <f t="shared" si="21"/>
        <v>0</v>
      </c>
    </row>
    <row r="38" spans="1:31" x14ac:dyDescent="0.2">
      <c r="A38" s="347">
        <v>10</v>
      </c>
      <c r="B38" s="364">
        <f t="shared" si="22"/>
        <v>0.01</v>
      </c>
      <c r="C38" s="337">
        <f t="shared" si="0"/>
        <v>1.0000000317801099</v>
      </c>
      <c r="D38" s="338">
        <f t="shared" si="1"/>
        <v>2.5211151880077319E-4</v>
      </c>
      <c r="E38" s="338">
        <f t="shared" si="2"/>
        <v>1.0000000000001745</v>
      </c>
      <c r="F38" s="339">
        <f t="shared" si="3"/>
        <v>5.9061941819993136E-7</v>
      </c>
      <c r="G38" s="338">
        <f t="shared" si="4"/>
        <v>1</v>
      </c>
      <c r="H38" s="339">
        <f t="shared" si="5"/>
        <v>0</v>
      </c>
      <c r="I38" s="337">
        <f t="shared" si="6"/>
        <v>72.390864465241023</v>
      </c>
      <c r="J38" s="340">
        <f t="shared" si="7"/>
        <v>1.5569819896671315</v>
      </c>
      <c r="K38" s="348">
        <f t="shared" si="8"/>
        <v>1.0000013820034259</v>
      </c>
      <c r="L38" s="349">
        <f t="shared" si="9"/>
        <v>1.6625292986326133E-3</v>
      </c>
      <c r="M38" s="337">
        <f t="shared" si="10"/>
        <v>1.0000000000482583</v>
      </c>
      <c r="N38" s="340">
        <f t="shared" si="11"/>
        <v>9.8242823906839308E-6</v>
      </c>
      <c r="O38" s="341">
        <f t="shared" si="12"/>
        <v>1.0000000001897891</v>
      </c>
      <c r="P38" s="342">
        <f t="shared" si="13"/>
        <v>2.3685106959868972E-5</v>
      </c>
      <c r="Q38" s="343">
        <f t="shared" si="14"/>
        <v>59.139860312493433</v>
      </c>
      <c r="R38" s="344">
        <f t="shared" si="15"/>
        <v>-89.129572008102883</v>
      </c>
      <c r="S38" s="346">
        <f t="shared" si="16"/>
        <v>90.870427991897117</v>
      </c>
      <c r="U38" s="319">
        <f t="shared" si="23"/>
        <v>1000000000</v>
      </c>
      <c r="V38" s="319">
        <f t="shared" si="24"/>
        <v>100</v>
      </c>
      <c r="X38" s="345">
        <f t="shared" si="17"/>
        <v>60.513561147224799</v>
      </c>
      <c r="Y38" s="346">
        <f t="shared" si="18"/>
        <v>-89.113803865424785</v>
      </c>
      <c r="AA38" s="345">
        <f t="shared" si="19"/>
        <v>35.459049323363644</v>
      </c>
      <c r="AB38" s="346">
        <f t="shared" si="20"/>
        <v>-1.5768142678090236E-2</v>
      </c>
      <c r="AD38">
        <f t="shared" si="25"/>
        <v>0</v>
      </c>
      <c r="AE38">
        <f t="shared" si="21"/>
        <v>0</v>
      </c>
    </row>
    <row r="39" spans="1:31" x14ac:dyDescent="0.2">
      <c r="A39" s="347">
        <v>10.965</v>
      </c>
      <c r="B39" s="364">
        <f t="shared" si="22"/>
        <v>1.0964999999999999E-2</v>
      </c>
      <c r="C39" s="337">
        <f t="shared" si="0"/>
        <v>1.0000000382096152</v>
      </c>
      <c r="D39" s="338">
        <f t="shared" si="1"/>
        <v>2.7644027918013157E-4</v>
      </c>
      <c r="E39" s="338">
        <f t="shared" si="2"/>
        <v>1.0000000000002096</v>
      </c>
      <c r="F39" s="339">
        <f t="shared" si="3"/>
        <v>6.476141920562095E-7</v>
      </c>
      <c r="G39" s="338">
        <f t="shared" si="4"/>
        <v>1</v>
      </c>
      <c r="H39" s="339">
        <f t="shared" si="5"/>
        <v>0</v>
      </c>
      <c r="I39" s="337">
        <f t="shared" si="6"/>
        <v>79.375308493446127</v>
      </c>
      <c r="J39" s="340">
        <f t="shared" si="7"/>
        <v>1.5581976172711063</v>
      </c>
      <c r="K39" s="348">
        <f t="shared" si="8"/>
        <v>1.0000016615994163</v>
      </c>
      <c r="L39" s="349">
        <f t="shared" si="9"/>
        <v>1.8229630361555709E-3</v>
      </c>
      <c r="M39" s="337">
        <f t="shared" si="10"/>
        <v>1.0000000000580216</v>
      </c>
      <c r="N39" s="340">
        <f t="shared" si="11"/>
        <v>1.0772325641314816E-5</v>
      </c>
      <c r="O39" s="341">
        <f t="shared" si="12"/>
        <v>1.0000000002281859</v>
      </c>
      <c r="P39" s="342">
        <f t="shared" si="13"/>
        <v>2.5970719780990385E-5</v>
      </c>
      <c r="Q39" s="343">
        <f t="shared" si="14"/>
        <v>58.339829417753251</v>
      </c>
      <c r="R39" s="344">
        <f t="shared" si="15"/>
        <v>-89.191606107865383</v>
      </c>
      <c r="S39" s="346">
        <f t="shared" si="16"/>
        <v>90.808393892134617</v>
      </c>
      <c r="U39" s="319">
        <f t="shared" si="23"/>
        <v>1000000000</v>
      </c>
      <c r="V39" s="319">
        <f t="shared" si="24"/>
        <v>120.23122499999999</v>
      </c>
      <c r="X39" s="345">
        <f t="shared" si="17"/>
        <v>59.713530308663792</v>
      </c>
      <c r="Y39" s="346">
        <f t="shared" si="18"/>
        <v>-89.174316339486765</v>
      </c>
      <c r="AA39" s="345">
        <f t="shared" si="19"/>
        <v>35.459049267184469</v>
      </c>
      <c r="AB39" s="346">
        <f t="shared" si="20"/>
        <v>-1.7289768378606254E-2</v>
      </c>
      <c r="AD39">
        <f t="shared" si="25"/>
        <v>0</v>
      </c>
      <c r="AE39">
        <f t="shared" si="21"/>
        <v>0</v>
      </c>
    </row>
    <row r="40" spans="1:31" x14ac:dyDescent="0.2">
      <c r="A40" s="347">
        <v>12.023</v>
      </c>
      <c r="B40" s="364">
        <f t="shared" si="22"/>
        <v>1.2022999999999999E-2</v>
      </c>
      <c r="C40" s="337">
        <f t="shared" si="0"/>
        <v>1.0000000459389522</v>
      </c>
      <c r="D40" s="338">
        <f t="shared" si="1"/>
        <v>3.0311367619301048E-4</v>
      </c>
      <c r="E40" s="338">
        <f t="shared" si="2"/>
        <v>1.0000000000002522</v>
      </c>
      <c r="F40" s="339">
        <f t="shared" si="3"/>
        <v>7.1010172650174071E-7</v>
      </c>
      <c r="G40" s="338">
        <f t="shared" si="4"/>
        <v>1</v>
      </c>
      <c r="H40" s="339">
        <f t="shared" si="5"/>
        <v>0</v>
      </c>
      <c r="I40" s="337">
        <f t="shared" si="6"/>
        <v>87.032976864193486</v>
      </c>
      <c r="J40" s="340">
        <f t="shared" si="7"/>
        <v>1.5593061762761358</v>
      </c>
      <c r="K40" s="348">
        <f t="shared" si="8"/>
        <v>1.0000019977202881</v>
      </c>
      <c r="L40" s="349">
        <f t="shared" si="9"/>
        <v>1.9988581552597253E-3</v>
      </c>
      <c r="M40" s="337">
        <f t="shared" si="10"/>
        <v>1.0000000000697584</v>
      </c>
      <c r="N40" s="340">
        <f t="shared" si="11"/>
        <v>1.1811734718149987E-5</v>
      </c>
      <c r="O40" s="341">
        <f t="shared" si="12"/>
        <v>1.000000000274345</v>
      </c>
      <c r="P40" s="342">
        <f t="shared" si="13"/>
        <v>2.8476604096628802E-5</v>
      </c>
      <c r="Q40" s="343">
        <f t="shared" si="14"/>
        <v>57.53986402701338</v>
      </c>
      <c r="R40" s="344">
        <f t="shared" si="15"/>
        <v>-89.246771635446834</v>
      </c>
      <c r="S40" s="346">
        <f t="shared" si="16"/>
        <v>90.753228364553166</v>
      </c>
      <c r="U40" s="319">
        <f t="shared" si="23"/>
        <v>1000000000</v>
      </c>
      <c r="V40" s="319">
        <f t="shared" si="24"/>
        <v>144.55252899999999</v>
      </c>
      <c r="X40" s="345">
        <f t="shared" si="17"/>
        <v>58.91356498546066</v>
      </c>
      <c r="Y40" s="346">
        <f t="shared" si="18"/>
        <v>-89.227813597668984</v>
      </c>
      <c r="AA40" s="345">
        <f t="shared" si="19"/>
        <v>35.459049199647737</v>
      </c>
      <c r="AB40" s="346">
        <f t="shared" si="20"/>
        <v>-1.895803777786555E-2</v>
      </c>
      <c r="AD40">
        <f t="shared" si="25"/>
        <v>0</v>
      </c>
      <c r="AE40">
        <f t="shared" si="21"/>
        <v>0</v>
      </c>
    </row>
    <row r="41" spans="1:31" x14ac:dyDescent="0.2">
      <c r="A41" s="347">
        <v>13.183</v>
      </c>
      <c r="B41" s="364">
        <f t="shared" si="22"/>
        <v>1.3183E-2</v>
      </c>
      <c r="C41" s="337">
        <f t="shared" si="0"/>
        <v>1.0000000552311255</v>
      </c>
      <c r="D41" s="338">
        <f t="shared" si="1"/>
        <v>3.3235861003896145E-4</v>
      </c>
      <c r="E41" s="338">
        <f t="shared" si="2"/>
        <v>1.0000000000003031</v>
      </c>
      <c r="F41" s="339">
        <f t="shared" si="3"/>
        <v>7.7861357901290272E-7</v>
      </c>
      <c r="G41" s="338">
        <f t="shared" si="4"/>
        <v>1</v>
      </c>
      <c r="H41" s="339">
        <f t="shared" si="5"/>
        <v>0</v>
      </c>
      <c r="I41" s="337">
        <f t="shared" si="6"/>
        <v>95.429010400099173</v>
      </c>
      <c r="J41" s="340">
        <f t="shared" si="7"/>
        <v>1.5603171412907901</v>
      </c>
      <c r="K41" s="348">
        <f t="shared" si="8"/>
        <v>1.0000024018031075</v>
      </c>
      <c r="L41" s="349">
        <f t="shared" si="9"/>
        <v>2.1917108843182271E-3</v>
      </c>
      <c r="M41" s="337">
        <f t="shared" si="10"/>
        <v>1.0000000000838689</v>
      </c>
      <c r="N41" s="340">
        <f t="shared" si="11"/>
        <v>1.2951351475331158E-5</v>
      </c>
      <c r="O41" s="341">
        <f t="shared" si="12"/>
        <v>1.0000000003298375</v>
      </c>
      <c r="P41" s="342">
        <f t="shared" si="13"/>
        <v>3.1224076502976634E-5</v>
      </c>
      <c r="Q41" s="343">
        <f t="shared" si="14"/>
        <v>56.739935817798575</v>
      </c>
      <c r="R41" s="344">
        <f t="shared" si="15"/>
        <v>-89.29554041628019</v>
      </c>
      <c r="S41" s="346">
        <f t="shared" si="16"/>
        <v>90.70445958371981</v>
      </c>
      <c r="U41" s="319">
        <f t="shared" si="23"/>
        <v>1000000000</v>
      </c>
      <c r="V41" s="319">
        <f t="shared" si="24"/>
        <v>173.79148899999998</v>
      </c>
      <c r="X41" s="345">
        <f t="shared" si="17"/>
        <v>58.113636857438195</v>
      </c>
      <c r="Y41" s="346">
        <f t="shared" si="18"/>
        <v>-89.274753274085512</v>
      </c>
      <c r="AA41" s="345">
        <f t="shared" si="19"/>
        <v>35.45904911845539</v>
      </c>
      <c r="AB41" s="346">
        <f t="shared" si="20"/>
        <v>-2.0787142194684766E-2</v>
      </c>
      <c r="AD41">
        <f t="shared" si="25"/>
        <v>0</v>
      </c>
      <c r="AE41">
        <f t="shared" si="21"/>
        <v>0</v>
      </c>
    </row>
    <row r="42" spans="1:31" x14ac:dyDescent="0.2">
      <c r="A42" s="347">
        <v>14.454000000000001</v>
      </c>
      <c r="B42" s="364">
        <f t="shared" si="22"/>
        <v>1.4454E-2</v>
      </c>
      <c r="C42" s="337">
        <f t="shared" si="0"/>
        <v>1.0000000663944055</v>
      </c>
      <c r="D42" s="338">
        <f t="shared" si="1"/>
        <v>3.6440198086562585E-4</v>
      </c>
      <c r="E42" s="338">
        <f t="shared" si="2"/>
        <v>1.0000000000003644</v>
      </c>
      <c r="F42" s="339">
        <f t="shared" si="3"/>
        <v>8.5368130706607273E-7</v>
      </c>
      <c r="G42" s="338">
        <f t="shared" si="4"/>
        <v>1</v>
      </c>
      <c r="H42" s="339">
        <f t="shared" si="5"/>
        <v>0</v>
      </c>
      <c r="I42" s="337">
        <f t="shared" si="6"/>
        <v>104.62855063732685</v>
      </c>
      <c r="J42" s="340">
        <f t="shared" si="7"/>
        <v>1.5612385605903569</v>
      </c>
      <c r="K42" s="348">
        <f t="shared" si="8"/>
        <v>1.0000028872533475</v>
      </c>
      <c r="L42" s="349">
        <f t="shared" si="9"/>
        <v>2.4030174368182716E-3</v>
      </c>
      <c r="M42" s="337">
        <f t="shared" si="10"/>
        <v>1.0000000001008202</v>
      </c>
      <c r="N42" s="340">
        <f t="shared" si="11"/>
        <v>1.4200017766996968E-5</v>
      </c>
      <c r="O42" s="341">
        <f t="shared" si="12"/>
        <v>1.0000000003965039</v>
      </c>
      <c r="P42" s="342">
        <f t="shared" si="13"/>
        <v>3.4234453596204127E-5</v>
      </c>
      <c r="Q42" s="343">
        <f t="shared" si="14"/>
        <v>55.940544154607963</v>
      </c>
      <c r="R42" s="344">
        <f t="shared" si="15"/>
        <v>-89.338302553770887</v>
      </c>
      <c r="S42" s="346">
        <f t="shared" si="16"/>
        <v>90.661697446229113</v>
      </c>
      <c r="U42" s="319">
        <f t="shared" si="23"/>
        <v>1000000000</v>
      </c>
      <c r="V42" s="319">
        <f t="shared" si="24"/>
        <v>208.91811600000003</v>
      </c>
      <c r="X42" s="345">
        <f t="shared" si="17"/>
        <v>57.314245291789121</v>
      </c>
      <c r="Y42" s="346">
        <f t="shared" si="18"/>
        <v>-89.315511280825973</v>
      </c>
      <c r="AA42" s="345">
        <f t="shared" si="19"/>
        <v>35.459049020913852</v>
      </c>
      <c r="AB42" s="346">
        <f t="shared" si="20"/>
        <v>-2.2791272944905027E-2</v>
      </c>
      <c r="AD42">
        <f t="shared" si="25"/>
        <v>0</v>
      </c>
      <c r="AE42">
        <f t="shared" si="21"/>
        <v>0</v>
      </c>
    </row>
    <row r="43" spans="1:31" x14ac:dyDescent="0.2">
      <c r="A43" s="347">
        <v>15.849</v>
      </c>
      <c r="B43" s="364">
        <f t="shared" si="22"/>
        <v>1.5848999999999999E-2</v>
      </c>
      <c r="C43" s="337">
        <f t="shared" si="0"/>
        <v>1.0000000798287105</v>
      </c>
      <c r="D43" s="338">
        <f t="shared" si="1"/>
        <v>3.9957153334811035E-4</v>
      </c>
      <c r="E43" s="338">
        <f t="shared" si="2"/>
        <v>1.0000000000004381</v>
      </c>
      <c r="F43" s="339">
        <f t="shared" si="3"/>
        <v>9.3607271590490673E-7</v>
      </c>
      <c r="G43" s="338">
        <f t="shared" si="4"/>
        <v>1</v>
      </c>
      <c r="H43" s="339">
        <f t="shared" si="5"/>
        <v>0</v>
      </c>
      <c r="I43" s="337">
        <f t="shared" si="6"/>
        <v>114.72569204988554</v>
      </c>
      <c r="J43" s="340">
        <f t="shared" si="7"/>
        <v>1.5620797730282912</v>
      </c>
      <c r="K43" s="348">
        <f t="shared" si="8"/>
        <v>1.0000034714618489</v>
      </c>
      <c r="L43" s="349">
        <f t="shared" si="9"/>
        <v>2.6349390150097914E-3</v>
      </c>
      <c r="M43" s="337">
        <f t="shared" si="10"/>
        <v>1.0000000001212204</v>
      </c>
      <c r="N43" s="340">
        <f t="shared" si="11"/>
        <v>1.5570505160237593E-5</v>
      </c>
      <c r="O43" s="341">
        <f t="shared" si="12"/>
        <v>1.0000000004767331</v>
      </c>
      <c r="P43" s="342">
        <f t="shared" si="13"/>
        <v>3.7538526015231303E-5</v>
      </c>
      <c r="Q43" s="343">
        <f t="shared" si="14"/>
        <v>55.140339575059237</v>
      </c>
      <c r="R43" s="344">
        <f t="shared" si="15"/>
        <v>-89.375490527365457</v>
      </c>
      <c r="S43" s="346">
        <f t="shared" si="16"/>
        <v>90.624509472634543</v>
      </c>
      <c r="U43" s="319">
        <f t="shared" si="23"/>
        <v>1000000000</v>
      </c>
      <c r="V43" s="319">
        <f t="shared" si="24"/>
        <v>251.19080099999999</v>
      </c>
      <c r="X43" s="345">
        <f t="shared" si="17"/>
        <v>56.5140408296255</v>
      </c>
      <c r="Y43" s="346">
        <f t="shared" si="18"/>
        <v>-89.350499598768621</v>
      </c>
      <c r="AA43" s="345">
        <f t="shared" si="19"/>
        <v>35.459048903528746</v>
      </c>
      <c r="AB43" s="346">
        <f t="shared" si="20"/>
        <v>-2.4990928596849947E-2</v>
      </c>
      <c r="AD43">
        <f t="shared" si="25"/>
        <v>0</v>
      </c>
      <c r="AE43">
        <f t="shared" si="21"/>
        <v>0</v>
      </c>
    </row>
    <row r="44" spans="1:31" x14ac:dyDescent="0.2">
      <c r="A44" s="347">
        <v>17.378</v>
      </c>
      <c r="B44" s="364">
        <f t="shared" si="22"/>
        <v>1.7378000000000001E-2</v>
      </c>
      <c r="C44" s="337">
        <f t="shared" si="0"/>
        <v>1.0000000959743027</v>
      </c>
      <c r="D44" s="338">
        <f t="shared" si="1"/>
        <v>4.3811937862217083E-4</v>
      </c>
      <c r="E44" s="338">
        <f t="shared" si="2"/>
        <v>1.0000000000005267</v>
      </c>
      <c r="F44" s="339">
        <f t="shared" si="3"/>
        <v>1.0263784249475996E-6</v>
      </c>
      <c r="G44" s="338">
        <f t="shared" si="4"/>
        <v>1</v>
      </c>
      <c r="H44" s="339">
        <f t="shared" si="5"/>
        <v>0</v>
      </c>
      <c r="I44" s="337">
        <f t="shared" si="6"/>
        <v>125.79281565186885</v>
      </c>
      <c r="J44" s="340">
        <f t="shared" si="7"/>
        <v>1.5628466634714917</v>
      </c>
      <c r="K44" s="348">
        <f t="shared" si="8"/>
        <v>1.0000041735738179</v>
      </c>
      <c r="L44" s="349">
        <f t="shared" si="9"/>
        <v>2.8891380383482342E-3</v>
      </c>
      <c r="M44" s="337">
        <f t="shared" si="10"/>
        <v>1.0000000001457376</v>
      </c>
      <c r="N44" s="340">
        <f t="shared" si="11"/>
        <v>1.707263793742105E-5</v>
      </c>
      <c r="O44" s="341">
        <f t="shared" si="12"/>
        <v>1.0000000005731537</v>
      </c>
      <c r="P44" s="342">
        <f t="shared" si="13"/>
        <v>4.1159978866854493E-5</v>
      </c>
      <c r="Q44" s="343">
        <f t="shared" si="14"/>
        <v>54.340442491780642</v>
      </c>
      <c r="R44" s="344">
        <f t="shared" si="15"/>
        <v>-89.407362596492604</v>
      </c>
      <c r="S44" s="346">
        <f t="shared" si="16"/>
        <v>90.592637403507396</v>
      </c>
      <c r="U44" s="319">
        <f t="shared" si="23"/>
        <v>1000000000</v>
      </c>
      <c r="V44" s="319">
        <f t="shared" si="24"/>
        <v>301.99488400000001</v>
      </c>
      <c r="X44" s="345">
        <f t="shared" si="17"/>
        <v>55.714143887422445</v>
      </c>
      <c r="Y44" s="346">
        <f t="shared" si="18"/>
        <v>-89.379960719221359</v>
      </c>
      <c r="AA44" s="345">
        <f t="shared" si="19"/>
        <v>35.4590487624532</v>
      </c>
      <c r="AB44" s="346">
        <f t="shared" si="20"/>
        <v>-2.7401877271241385E-2</v>
      </c>
      <c r="AD44">
        <f t="shared" si="25"/>
        <v>0</v>
      </c>
      <c r="AE44">
        <f t="shared" si="21"/>
        <v>0</v>
      </c>
    </row>
    <row r="45" spans="1:31" x14ac:dyDescent="0.2">
      <c r="A45" s="347">
        <v>19.055</v>
      </c>
      <c r="B45" s="364">
        <f t="shared" si="22"/>
        <v>1.9054999999999999E-2</v>
      </c>
      <c r="C45" s="337">
        <f t="shared" si="0"/>
        <v>1.0000001153913571</v>
      </c>
      <c r="D45" s="338">
        <f t="shared" si="1"/>
        <v>4.8039847229706359E-4</v>
      </c>
      <c r="E45" s="338">
        <f t="shared" si="2"/>
        <v>1.0000000000006333</v>
      </c>
      <c r="F45" s="339">
        <f t="shared" si="3"/>
        <v>1.125425301379625E-6</v>
      </c>
      <c r="G45" s="338">
        <f t="shared" si="4"/>
        <v>1</v>
      </c>
      <c r="H45" s="339">
        <f t="shared" si="5"/>
        <v>0</v>
      </c>
      <c r="I45" s="337">
        <f t="shared" si="6"/>
        <v>137.93125546133351</v>
      </c>
      <c r="J45" s="340">
        <f t="shared" si="7"/>
        <v>1.5635462748958464</v>
      </c>
      <c r="K45" s="348">
        <f t="shared" si="8"/>
        <v>1.0000050179489226</v>
      </c>
      <c r="L45" s="349">
        <f t="shared" si="9"/>
        <v>3.1679418995771017E-3</v>
      </c>
      <c r="M45" s="337">
        <f t="shared" si="10"/>
        <v>1.0000000001752225</v>
      </c>
      <c r="N45" s="340">
        <f t="shared" si="11"/>
        <v>1.8720170093863704E-5</v>
      </c>
      <c r="O45" s="341">
        <f t="shared" si="12"/>
        <v>1.0000000006891112</v>
      </c>
      <c r="P45" s="342">
        <f t="shared" si="13"/>
        <v>4.5131971300596714E-5</v>
      </c>
      <c r="Q45" s="343">
        <f t="shared" si="14"/>
        <v>53.54031263486057</v>
      </c>
      <c r="R45" s="344">
        <f t="shared" si="15"/>
        <v>-89.434211807580667</v>
      </c>
      <c r="S45" s="346">
        <f t="shared" si="16"/>
        <v>90.565788192419333</v>
      </c>
      <c r="U45" s="319">
        <f t="shared" si="23"/>
        <v>1000000000</v>
      </c>
      <c r="V45" s="319">
        <f t="shared" si="24"/>
        <v>363.09302500000001</v>
      </c>
      <c r="X45" s="345">
        <f t="shared" si="17"/>
        <v>54.914014200163024</v>
      </c>
      <c r="Y45" s="346">
        <f t="shared" si="18"/>
        <v>-89.404165613242483</v>
      </c>
      <c r="AA45" s="345">
        <f t="shared" si="19"/>
        <v>35.459048592792556</v>
      </c>
      <c r="AB45" s="346">
        <f t="shared" si="20"/>
        <v>-3.0046194338190377E-2</v>
      </c>
      <c r="AD45">
        <f t="shared" si="25"/>
        <v>0</v>
      </c>
      <c r="AE45">
        <f t="shared" ref="AE45:AE76" si="26">IF(AD45&gt;0,S43,0)</f>
        <v>0</v>
      </c>
    </row>
    <row r="46" spans="1:31" x14ac:dyDescent="0.2">
      <c r="A46" s="347">
        <v>20.893000000000001</v>
      </c>
      <c r="B46" s="364">
        <f t="shared" si="22"/>
        <v>2.0893000000000002E-2</v>
      </c>
      <c r="C46" s="337">
        <f t="shared" si="0"/>
        <v>1.0000001387257171</v>
      </c>
      <c r="D46" s="338">
        <f t="shared" si="1"/>
        <v>5.2673655867568219E-4</v>
      </c>
      <c r="E46" s="338">
        <f t="shared" si="2"/>
        <v>1.0000000000007614</v>
      </c>
      <c r="F46" s="339">
        <f t="shared" si="3"/>
        <v>1.2339811504446338E-6</v>
      </c>
      <c r="G46" s="338">
        <f t="shared" si="4"/>
        <v>1</v>
      </c>
      <c r="H46" s="339">
        <f t="shared" si="5"/>
        <v>0</v>
      </c>
      <c r="I46" s="337">
        <f t="shared" si="6"/>
        <v>151.23510789722675</v>
      </c>
      <c r="J46" s="340">
        <f t="shared" si="7"/>
        <v>1.5641840573228196</v>
      </c>
      <c r="K46" s="348">
        <f t="shared" si="8"/>
        <v>1.0000060326720723</v>
      </c>
      <c r="L46" s="349">
        <f t="shared" si="9"/>
        <v>3.4735116942110835E-3</v>
      </c>
      <c r="M46" s="337">
        <f t="shared" si="10"/>
        <v>1.0000000002106557</v>
      </c>
      <c r="N46" s="340">
        <f t="shared" si="11"/>
        <v>2.0525873196633703E-5</v>
      </c>
      <c r="O46" s="341">
        <f t="shared" si="12"/>
        <v>1.0000000008284629</v>
      </c>
      <c r="P46" s="342">
        <f t="shared" si="13"/>
        <v>4.9485293955219085E-5</v>
      </c>
      <c r="Q46" s="343">
        <f t="shared" si="14"/>
        <v>52.740522618478536</v>
      </c>
      <c r="R46" s="344">
        <f t="shared" si="15"/>
        <v>-89.45624783250986</v>
      </c>
      <c r="S46" s="346">
        <f t="shared" si="16"/>
        <v>90.54375216749014</v>
      </c>
      <c r="U46" s="319">
        <f t="shared" si="23"/>
        <v>1000000000</v>
      </c>
      <c r="V46" s="319">
        <f t="shared" si="24"/>
        <v>436.51744900000006</v>
      </c>
      <c r="X46" s="345">
        <f t="shared" si="17"/>
        <v>54.114224387669914</v>
      </c>
      <c r="Y46" s="346">
        <f t="shared" si="18"/>
        <v>-89.423303454165165</v>
      </c>
      <c r="AA46" s="345">
        <f t="shared" si="19"/>
        <v>35.459048388903625</v>
      </c>
      <c r="AB46" s="346">
        <f t="shared" si="20"/>
        <v>-3.2944378344685193E-2</v>
      </c>
      <c r="AD46">
        <f t="shared" si="25"/>
        <v>0</v>
      </c>
      <c r="AE46">
        <f t="shared" si="26"/>
        <v>0</v>
      </c>
    </row>
    <row r="47" spans="1:31" x14ac:dyDescent="0.2">
      <c r="A47" s="347">
        <v>22.909000000000002</v>
      </c>
      <c r="B47" s="364">
        <f t="shared" si="22"/>
        <v>2.2909000000000002E-2</v>
      </c>
      <c r="C47" s="337">
        <f t="shared" si="0"/>
        <v>1.0000001667890859</v>
      </c>
      <c r="D47" s="338">
        <f t="shared" si="1"/>
        <v>5.7756222643663615E-4</v>
      </c>
      <c r="E47" s="338">
        <f t="shared" si="2"/>
        <v>1.0000000000009153</v>
      </c>
      <c r="F47" s="339">
        <f t="shared" si="3"/>
        <v>1.3530500251535547E-6</v>
      </c>
      <c r="G47" s="338">
        <f t="shared" si="4"/>
        <v>1</v>
      </c>
      <c r="H47" s="339">
        <f t="shared" si="5"/>
        <v>0</v>
      </c>
      <c r="I47" s="337">
        <f t="shared" si="6"/>
        <v>165.82742272956577</v>
      </c>
      <c r="J47" s="340">
        <f t="shared" si="7"/>
        <v>1.5647659245578971</v>
      </c>
      <c r="K47" s="348">
        <f t="shared" si="8"/>
        <v>1.0000072530406123</v>
      </c>
      <c r="L47" s="349">
        <f t="shared" si="9"/>
        <v>3.8086734630131242E-3</v>
      </c>
      <c r="M47" s="337">
        <f t="shared" si="10"/>
        <v>1.0000000002532701</v>
      </c>
      <c r="N47" s="340">
        <f t="shared" si="11"/>
        <v>2.2506448525741759E-5</v>
      </c>
      <c r="O47" s="341">
        <f t="shared" si="12"/>
        <v>1.0000000009960559</v>
      </c>
      <c r="P47" s="342">
        <f t="shared" si="13"/>
        <v>5.4260211512167649E-5</v>
      </c>
      <c r="Q47" s="343">
        <f t="shared" si="14"/>
        <v>51.940458362203884</v>
      </c>
      <c r="R47" s="344">
        <f t="shared" si="15"/>
        <v>-89.473675349870689</v>
      </c>
      <c r="S47" s="346">
        <f t="shared" si="16"/>
        <v>90.526324650129311</v>
      </c>
      <c r="U47" s="319">
        <f t="shared" si="23"/>
        <v>1000000000</v>
      </c>
      <c r="V47" s="319">
        <f t="shared" si="24"/>
        <v>524.82228100000009</v>
      </c>
      <c r="X47" s="345">
        <f t="shared" si="17"/>
        <v>53.314160376604903</v>
      </c>
      <c r="Y47" s="346">
        <f t="shared" si="18"/>
        <v>-89.437552114789199</v>
      </c>
      <c r="AA47" s="345">
        <f t="shared" si="19"/>
        <v>35.459048143693984</v>
      </c>
      <c r="AB47" s="346">
        <f t="shared" si="20"/>
        <v>-3.6123235081498242E-2</v>
      </c>
      <c r="AD47">
        <f t="shared" si="25"/>
        <v>0</v>
      </c>
      <c r="AE47">
        <f t="shared" si="26"/>
        <v>0</v>
      </c>
    </row>
    <row r="48" spans="1:31" x14ac:dyDescent="0.2">
      <c r="A48" s="347">
        <v>25.119</v>
      </c>
      <c r="B48" s="364">
        <f t="shared" si="22"/>
        <v>2.5118999999999999E-2</v>
      </c>
      <c r="C48" s="337">
        <f t="shared" si="0"/>
        <v>1.0000002005210862</v>
      </c>
      <c r="D48" s="338">
        <f t="shared" si="1"/>
        <v>6.3327885283560284E-4</v>
      </c>
      <c r="E48" s="338">
        <f t="shared" si="2"/>
        <v>1.0000000000011005</v>
      </c>
      <c r="F48" s="339">
        <f t="shared" si="3"/>
        <v>1.4835769165754917E-6</v>
      </c>
      <c r="G48" s="338">
        <f t="shared" si="4"/>
        <v>1</v>
      </c>
      <c r="H48" s="339">
        <f t="shared" si="5"/>
        <v>0</v>
      </c>
      <c r="I48" s="337">
        <f t="shared" si="6"/>
        <v>181.82401199021592</v>
      </c>
      <c r="J48" s="340">
        <f t="shared" si="7"/>
        <v>1.5652964754250689</v>
      </c>
      <c r="K48" s="348">
        <f t="shared" si="8"/>
        <v>1.000008719914329</v>
      </c>
      <c r="L48" s="349">
        <f t="shared" si="9"/>
        <v>4.1760869160918203E-3</v>
      </c>
      <c r="M48" s="337">
        <f t="shared" si="10"/>
        <v>1.0000000003044924</v>
      </c>
      <c r="N48" s="340">
        <f t="shared" si="11"/>
        <v>2.4677614932943468E-5</v>
      </c>
      <c r="O48" s="341">
        <f t="shared" si="12"/>
        <v>1.0000000011975019</v>
      </c>
      <c r="P48" s="342">
        <f t="shared" si="13"/>
        <v>5.9494620142076745E-5</v>
      </c>
      <c r="Q48" s="343">
        <f t="shared" si="14"/>
        <v>51.140573101807796</v>
      </c>
      <c r="R48" s="344">
        <f t="shared" si="15"/>
        <v>-89.486631592289569</v>
      </c>
      <c r="S48" s="346">
        <f t="shared" si="16"/>
        <v>90.513368407710431</v>
      </c>
      <c r="U48" s="319">
        <f t="shared" si="23"/>
        <v>1000000000</v>
      </c>
      <c r="V48" s="319">
        <f t="shared" si="24"/>
        <v>630.96416099999999</v>
      </c>
      <c r="X48" s="345">
        <f t="shared" si="17"/>
        <v>52.514275410949331</v>
      </c>
      <c r="Y48" s="346">
        <f t="shared" si="18"/>
        <v>-89.447023598779978</v>
      </c>
      <c r="AA48" s="345">
        <f t="shared" si="19"/>
        <v>35.459047848953475</v>
      </c>
      <c r="AB48" s="346">
        <f t="shared" si="20"/>
        <v>-3.9607993509597345E-2</v>
      </c>
      <c r="AD48">
        <f t="shared" si="25"/>
        <v>0</v>
      </c>
      <c r="AE48">
        <f t="shared" si="26"/>
        <v>0</v>
      </c>
    </row>
    <row r="49" spans="1:31" x14ac:dyDescent="0.2">
      <c r="A49" s="347">
        <v>27.542000000000002</v>
      </c>
      <c r="B49" s="364">
        <f t="shared" si="22"/>
        <v>2.7542000000000001E-2</v>
      </c>
      <c r="C49" s="337">
        <f t="shared" si="0"/>
        <v>1.0000002410717364</v>
      </c>
      <c r="D49" s="338">
        <f t="shared" si="1"/>
        <v>6.9436544819784305E-4</v>
      </c>
      <c r="E49" s="338">
        <f t="shared" si="2"/>
        <v>1.0000000000013229</v>
      </c>
      <c r="F49" s="339">
        <f t="shared" si="3"/>
        <v>1.6266840016050053E-6</v>
      </c>
      <c r="G49" s="338">
        <f t="shared" si="4"/>
        <v>1</v>
      </c>
      <c r="H49" s="339">
        <f t="shared" si="5"/>
        <v>0</v>
      </c>
      <c r="I49" s="337">
        <f t="shared" si="6"/>
        <v>199.36240289519705</v>
      </c>
      <c r="J49" s="340">
        <f t="shared" si="7"/>
        <v>1.5657803148544007</v>
      </c>
      <c r="K49" s="348">
        <f t="shared" si="8"/>
        <v>1.0000104833018613</v>
      </c>
      <c r="L49" s="349">
        <f t="shared" si="9"/>
        <v>4.5789104116437532E-3</v>
      </c>
      <c r="M49" s="337">
        <f t="shared" si="10"/>
        <v>1.0000000003660687</v>
      </c>
      <c r="N49" s="340">
        <f t="shared" si="11"/>
        <v>2.70580385546888E-5</v>
      </c>
      <c r="O49" s="341">
        <f t="shared" si="12"/>
        <v>1.0000000014396682</v>
      </c>
      <c r="P49" s="342">
        <f t="shared" si="13"/>
        <v>6.5233521547503864E-5</v>
      </c>
      <c r="Q49" s="343">
        <f t="shared" si="14"/>
        <v>50.340747599939284</v>
      </c>
      <c r="R49" s="344">
        <f t="shared" si="15"/>
        <v>-89.495230471101948</v>
      </c>
      <c r="S49" s="346">
        <f t="shared" si="16"/>
        <v>90.504769528898052</v>
      </c>
      <c r="U49" s="319">
        <f t="shared" si="23"/>
        <v>1000000000</v>
      </c>
      <c r="V49" s="319">
        <f t="shared" si="24"/>
        <v>758.56176400000004</v>
      </c>
      <c r="X49" s="345">
        <f t="shared" si="17"/>
        <v>51.714450263400721</v>
      </c>
      <c r="Y49" s="346">
        <f t="shared" si="18"/>
        <v>-89.451801858091329</v>
      </c>
      <c r="AA49" s="345">
        <f t="shared" si="19"/>
        <v>35.45904749463358</v>
      </c>
      <c r="AB49" s="346">
        <f t="shared" si="20"/>
        <v>-4.3428613010624888E-2</v>
      </c>
      <c r="AD49">
        <f t="shared" si="25"/>
        <v>0</v>
      </c>
      <c r="AE49">
        <f t="shared" si="26"/>
        <v>0</v>
      </c>
    </row>
    <row r="50" spans="1:31" x14ac:dyDescent="0.2">
      <c r="A50" s="347">
        <v>30.2</v>
      </c>
      <c r="B50" s="364">
        <f t="shared" si="22"/>
        <v>3.0199999999999998E-2</v>
      </c>
      <c r="C50" s="337">
        <f t="shared" si="0"/>
        <v>1.000000289847276</v>
      </c>
      <c r="D50" s="338">
        <f t="shared" si="1"/>
        <v>7.6137665578746179E-4</v>
      </c>
      <c r="E50" s="338">
        <f t="shared" si="2"/>
        <v>1.0000000000015907</v>
      </c>
      <c r="F50" s="339">
        <f t="shared" si="3"/>
        <v>1.7836706429621085E-6</v>
      </c>
      <c r="G50" s="338">
        <f t="shared" si="4"/>
        <v>1</v>
      </c>
      <c r="H50" s="339">
        <f t="shared" si="5"/>
        <v>0</v>
      </c>
      <c r="I50" s="337">
        <f t="shared" si="6"/>
        <v>218.60183797967082</v>
      </c>
      <c r="J50" s="340">
        <f t="shared" si="7"/>
        <v>1.5662217838862411</v>
      </c>
      <c r="K50" s="348">
        <f t="shared" si="8"/>
        <v>1.0000126043533215</v>
      </c>
      <c r="L50" s="349">
        <f t="shared" si="9"/>
        <v>5.0208009184661718E-3</v>
      </c>
      <c r="M50" s="337">
        <f t="shared" si="10"/>
        <v>1.0000000004401346</v>
      </c>
      <c r="N50" s="340">
        <f t="shared" si="11"/>
        <v>2.9669332812114331E-5</v>
      </c>
      <c r="O50" s="341">
        <f t="shared" si="12"/>
        <v>1.0000000017309534</v>
      </c>
      <c r="P50" s="342">
        <f t="shared" si="13"/>
        <v>7.1529022962873735E-5</v>
      </c>
      <c r="Q50" s="343">
        <f t="shared" si="14"/>
        <v>49.540554603927227</v>
      </c>
      <c r="R50" s="344">
        <f t="shared" si="15"/>
        <v>-89.499547108873259</v>
      </c>
      <c r="S50" s="346">
        <f t="shared" si="16"/>
        <v>90.500452891126741</v>
      </c>
      <c r="U50" s="319">
        <f t="shared" si="23"/>
        <v>1000000000</v>
      </c>
      <c r="V50" s="319">
        <f t="shared" si="24"/>
        <v>912.04</v>
      </c>
      <c r="X50" s="345">
        <f t="shared" si="17"/>
        <v>50.914257693575237</v>
      </c>
      <c r="Y50" s="346">
        <f t="shared" si="18"/>
        <v>-89.451927325493841</v>
      </c>
      <c r="AA50" s="345">
        <f t="shared" si="19"/>
        <v>35.459047068446999</v>
      </c>
      <c r="AB50" s="346">
        <f t="shared" si="20"/>
        <v>-4.761978337940382E-2</v>
      </c>
      <c r="AD50">
        <f t="shared" si="25"/>
        <v>0</v>
      </c>
      <c r="AE50">
        <f t="shared" si="26"/>
        <v>0</v>
      </c>
    </row>
    <row r="51" spans="1:31" x14ac:dyDescent="0.2">
      <c r="A51" s="347">
        <v>33.113</v>
      </c>
      <c r="B51" s="364">
        <f t="shared" si="22"/>
        <v>3.3112999999999997E-2</v>
      </c>
      <c r="C51" s="337">
        <f t="shared" si="0"/>
        <v>1.0000003484595592</v>
      </c>
      <c r="D51" s="338">
        <f t="shared" si="1"/>
        <v>8.3481669595881168E-4</v>
      </c>
      <c r="E51" s="338">
        <f t="shared" si="2"/>
        <v>1.0000000000019125</v>
      </c>
      <c r="F51" s="339">
        <f t="shared" si="3"/>
        <v>1.9557180794831669E-6</v>
      </c>
      <c r="G51" s="338">
        <f t="shared" si="4"/>
        <v>1</v>
      </c>
      <c r="H51" s="339">
        <f t="shared" si="5"/>
        <v>0</v>
      </c>
      <c r="I51" s="337">
        <f t="shared" si="6"/>
        <v>239.68708349499786</v>
      </c>
      <c r="J51" s="340">
        <f t="shared" si="7"/>
        <v>1.5666242083539705</v>
      </c>
      <c r="K51" s="348">
        <f t="shared" si="8"/>
        <v>1.0000151531592547</v>
      </c>
      <c r="L51" s="349">
        <f t="shared" si="9"/>
        <v>5.5050827257352164E-3</v>
      </c>
      <c r="M51" s="337">
        <f t="shared" si="10"/>
        <v>1.0000000005291376</v>
      </c>
      <c r="N51" s="340">
        <f t="shared" si="11"/>
        <v>3.2531146269842664E-5</v>
      </c>
      <c r="O51" s="341">
        <f t="shared" si="12"/>
        <v>1.0000000020809829</v>
      </c>
      <c r="P51" s="342">
        <f t="shared" si="13"/>
        <v>7.842849460096041E-5</v>
      </c>
      <c r="Q51" s="343">
        <f t="shared" si="14"/>
        <v>48.740759792824008</v>
      </c>
      <c r="R51" s="344">
        <f t="shared" si="15"/>
        <v>-89.499614255991261</v>
      </c>
      <c r="S51" s="346">
        <f t="shared" si="16"/>
        <v>90.500385744008739</v>
      </c>
      <c r="U51" s="319">
        <f t="shared" si="23"/>
        <v>1000000000</v>
      </c>
      <c r="V51" s="319">
        <f t="shared" si="24"/>
        <v>1096.470769</v>
      </c>
      <c r="X51" s="345">
        <f t="shared" si="17"/>
        <v>50.114463394609203</v>
      </c>
      <c r="Y51" s="346">
        <f t="shared" si="18"/>
        <v>-89.447401215243772</v>
      </c>
      <c r="AA51" s="345">
        <f t="shared" si="19"/>
        <v>35.459046556309815</v>
      </c>
      <c r="AB51" s="346">
        <f t="shared" si="20"/>
        <v>-5.2213040747485832E-2</v>
      </c>
      <c r="AD51">
        <f t="shared" si="25"/>
        <v>0</v>
      </c>
      <c r="AE51">
        <f t="shared" si="26"/>
        <v>0</v>
      </c>
    </row>
    <row r="52" spans="1:31" x14ac:dyDescent="0.2">
      <c r="A52" s="347">
        <v>36.308</v>
      </c>
      <c r="B52" s="364">
        <f t="shared" si="22"/>
        <v>3.6308E-2</v>
      </c>
      <c r="C52" s="337">
        <f t="shared" si="0"/>
        <v>1.0000004189478469</v>
      </c>
      <c r="D52" s="338">
        <f t="shared" si="1"/>
        <v>9.1536626619499848E-4</v>
      </c>
      <c r="E52" s="338">
        <f t="shared" si="2"/>
        <v>1.0000000000022993</v>
      </c>
      <c r="F52" s="339">
        <f t="shared" si="3"/>
        <v>2.1444209835972732E-6</v>
      </c>
      <c r="G52" s="338">
        <f t="shared" si="4"/>
        <v>1</v>
      </c>
      <c r="H52" s="339">
        <f t="shared" si="5"/>
        <v>0</v>
      </c>
      <c r="I52" s="337">
        <f t="shared" si="6"/>
        <v>262.81357425008071</v>
      </c>
      <c r="J52" s="340">
        <f t="shared" si="7"/>
        <v>1.5669913391117221</v>
      </c>
      <c r="K52" s="348">
        <f t="shared" si="8"/>
        <v>1.0000182183951387</v>
      </c>
      <c r="L52" s="349">
        <f t="shared" si="9"/>
        <v>6.0362436252072143E-3</v>
      </c>
      <c r="M52" s="337">
        <f t="shared" si="10"/>
        <v>1.0000000006361744</v>
      </c>
      <c r="N52" s="340">
        <f t="shared" si="11"/>
        <v>3.5670004490114568E-5</v>
      </c>
      <c r="O52" s="341">
        <f t="shared" si="12"/>
        <v>1.0000000025019355</v>
      </c>
      <c r="P52" s="342">
        <f t="shared" si="13"/>
        <v>8.5995886249010898E-5</v>
      </c>
      <c r="Q52" s="343">
        <f t="shared" si="14"/>
        <v>47.94072256574794</v>
      </c>
      <c r="R52" s="344">
        <f t="shared" si="15"/>
        <v>-89.495433782620964</v>
      </c>
      <c r="S52" s="346">
        <f t="shared" si="16"/>
        <v>90.504566217379036</v>
      </c>
      <c r="U52" s="319">
        <f t="shared" si="23"/>
        <v>1000000000</v>
      </c>
      <c r="V52" s="319">
        <f t="shared" si="24"/>
        <v>1318.2708640000001</v>
      </c>
      <c r="X52" s="345">
        <f t="shared" si="17"/>
        <v>49.31442678343938</v>
      </c>
      <c r="Y52" s="346">
        <f t="shared" si="18"/>
        <v>-89.438182823728226</v>
      </c>
      <c r="AA52" s="345">
        <f t="shared" si="19"/>
        <v>35.45904594040357</v>
      </c>
      <c r="AB52" s="346">
        <f t="shared" si="20"/>
        <v>-5.7250958892736833E-2</v>
      </c>
      <c r="AD52">
        <f t="shared" si="25"/>
        <v>0</v>
      </c>
      <c r="AE52">
        <f t="shared" si="26"/>
        <v>0</v>
      </c>
    </row>
    <row r="53" spans="1:31" x14ac:dyDescent="0.2">
      <c r="A53" s="347">
        <v>39.811</v>
      </c>
      <c r="B53" s="364">
        <f t="shared" si="22"/>
        <v>3.9810999999999999E-2</v>
      </c>
      <c r="C53" s="337">
        <f t="shared" si="0"/>
        <v>1.0000005036878374</v>
      </c>
      <c r="D53" s="338">
        <f t="shared" si="1"/>
        <v>1.0036808517346037E-3</v>
      </c>
      <c r="E53" s="338">
        <f t="shared" si="2"/>
        <v>1.0000000000027645</v>
      </c>
      <c r="F53" s="339">
        <f t="shared" si="3"/>
        <v>2.3513149657916868E-6</v>
      </c>
      <c r="G53" s="338">
        <f t="shared" si="4"/>
        <v>1</v>
      </c>
      <c r="H53" s="339">
        <f t="shared" si="5"/>
        <v>0</v>
      </c>
      <c r="I53" s="337">
        <f t="shared" si="6"/>
        <v>288.16950705160997</v>
      </c>
      <c r="J53" s="340">
        <f t="shared" si="7"/>
        <v>1.5673261400382652</v>
      </c>
      <c r="K53" s="348">
        <f t="shared" si="8"/>
        <v>1.0000219033648203</v>
      </c>
      <c r="L53" s="349">
        <f t="shared" si="9"/>
        <v>6.6186048424187374E-3</v>
      </c>
      <c r="M53" s="337">
        <f t="shared" si="10"/>
        <v>1.0000000007648526</v>
      </c>
      <c r="N53" s="340">
        <f t="shared" si="11"/>
        <v>3.9111450606867092E-5</v>
      </c>
      <c r="O53" s="341">
        <f t="shared" si="12"/>
        <v>1.0000000030079987</v>
      </c>
      <c r="P53" s="342">
        <f t="shared" si="13"/>
        <v>9.4292779183109592E-5</v>
      </c>
      <c r="Q53" s="343">
        <f t="shared" si="14"/>
        <v>47.140749212017326</v>
      </c>
      <c r="R53" s="344">
        <f t="shared" si="15"/>
        <v>-89.486970378935965</v>
      </c>
      <c r="S53" s="346">
        <f t="shared" si="16"/>
        <v>90.513029621064035</v>
      </c>
      <c r="U53" s="319">
        <f t="shared" si="23"/>
        <v>1000000000</v>
      </c>
      <c r="V53" s="319">
        <f t="shared" si="24"/>
        <v>1584.9157210000001</v>
      </c>
      <c r="X53" s="345">
        <f t="shared" si="17"/>
        <v>48.514454170142194</v>
      </c>
      <c r="Y53" s="346">
        <f t="shared" si="18"/>
        <v>-89.424195844219824</v>
      </c>
      <c r="AA53" s="345">
        <f t="shared" si="19"/>
        <v>35.459045199970134</v>
      </c>
      <c r="AB53" s="346">
        <f t="shared" si="20"/>
        <v>-6.2774534716124278E-2</v>
      </c>
      <c r="AD53">
        <f t="shared" si="25"/>
        <v>0</v>
      </c>
      <c r="AE53">
        <f t="shared" si="26"/>
        <v>0</v>
      </c>
    </row>
    <row r="54" spans="1:31" x14ac:dyDescent="0.2">
      <c r="A54" s="347">
        <v>43.652000000000001</v>
      </c>
      <c r="B54" s="364">
        <f t="shared" si="22"/>
        <v>4.3652000000000003E-2</v>
      </c>
      <c r="C54" s="337">
        <f t="shared" si="0"/>
        <v>1.0000006055688981</v>
      </c>
      <c r="D54" s="338">
        <f t="shared" si="1"/>
        <v>1.100516780893026E-3</v>
      </c>
      <c r="E54" s="338">
        <f t="shared" si="2"/>
        <v>1.0000000000033236</v>
      </c>
      <c r="F54" s="339">
        <f t="shared" si="3"/>
        <v>2.5781718843209279E-6</v>
      </c>
      <c r="G54" s="338">
        <f t="shared" si="4"/>
        <v>1</v>
      </c>
      <c r="H54" s="339">
        <f t="shared" si="5"/>
        <v>0</v>
      </c>
      <c r="I54" s="337">
        <f t="shared" si="6"/>
        <v>315.97203233444787</v>
      </c>
      <c r="J54" s="340">
        <f t="shared" si="7"/>
        <v>1.5676314844448158</v>
      </c>
      <c r="K54" s="348">
        <f t="shared" si="8"/>
        <v>1.0000263337067248</v>
      </c>
      <c r="L54" s="349">
        <f t="shared" si="9"/>
        <v>7.2571521757419082E-3</v>
      </c>
      <c r="M54" s="337">
        <f t="shared" si="10"/>
        <v>1.0000000009195598</v>
      </c>
      <c r="N54" s="340">
        <f t="shared" si="11"/>
        <v>4.2884957466903015E-5</v>
      </c>
      <c r="O54" s="341">
        <f t="shared" si="12"/>
        <v>1.0000000036164276</v>
      </c>
      <c r="P54" s="342">
        <f t="shared" si="13"/>
        <v>1.0339022872147135E-4</v>
      </c>
      <c r="Q54" s="343">
        <f t="shared" si="14"/>
        <v>46.340774401636871</v>
      </c>
      <c r="R54" s="344">
        <f t="shared" si="15"/>
        <v>-89.474152001077783</v>
      </c>
      <c r="S54" s="346">
        <f t="shared" si="16"/>
        <v>90.525847998922217</v>
      </c>
      <c r="U54" s="319">
        <f t="shared" si="23"/>
        <v>1000000000</v>
      </c>
      <c r="V54" s="319">
        <f t="shared" si="24"/>
        <v>1905.497104</v>
      </c>
      <c r="X54" s="345">
        <f t="shared" si="17"/>
        <v>47.714480249968794</v>
      </c>
      <c r="Y54" s="346">
        <f t="shared" si="18"/>
        <v>-89.405320928789834</v>
      </c>
      <c r="AA54" s="345">
        <f t="shared" si="19"/>
        <v>35.459044309763087</v>
      </c>
      <c r="AB54" s="346">
        <f t="shared" si="20"/>
        <v>-6.8831072287946604E-2</v>
      </c>
      <c r="AD54">
        <f t="shared" si="25"/>
        <v>0</v>
      </c>
      <c r="AE54">
        <f t="shared" si="26"/>
        <v>0</v>
      </c>
    </row>
    <row r="55" spans="1:31" x14ac:dyDescent="0.2">
      <c r="A55" s="347">
        <v>47.863</v>
      </c>
      <c r="B55" s="364">
        <f t="shared" si="22"/>
        <v>4.7863000000000003E-2</v>
      </c>
      <c r="C55" s="337">
        <f t="shared" si="0"/>
        <v>1.000000728039721</v>
      </c>
      <c r="D55" s="338">
        <f t="shared" si="1"/>
        <v>1.206680802327429E-3</v>
      </c>
      <c r="E55" s="338">
        <f t="shared" si="2"/>
        <v>1.0000000000039955</v>
      </c>
      <c r="F55" s="339">
        <f t="shared" si="3"/>
        <v>2.82688172132313E-6</v>
      </c>
      <c r="G55" s="338">
        <f t="shared" si="4"/>
        <v>1</v>
      </c>
      <c r="H55" s="339">
        <f t="shared" si="5"/>
        <v>0</v>
      </c>
      <c r="I55" s="337">
        <f t="shared" si="6"/>
        <v>346.45277748446051</v>
      </c>
      <c r="J55" s="340">
        <f t="shared" si="7"/>
        <v>1.5679099265304413</v>
      </c>
      <c r="K55" s="348">
        <f t="shared" si="8"/>
        <v>1.0000316593779519</v>
      </c>
      <c r="L55" s="349">
        <f t="shared" si="9"/>
        <v>7.957203366885806E-3</v>
      </c>
      <c r="M55" s="337">
        <f t="shared" si="10"/>
        <v>1.0000000011055323</v>
      </c>
      <c r="N55" s="340">
        <f t="shared" si="11"/>
        <v>4.7021962773387092E-5</v>
      </c>
      <c r="O55" s="341">
        <f t="shared" si="12"/>
        <v>1.0000000043478177</v>
      </c>
      <c r="P55" s="342">
        <f t="shared" si="13"/>
        <v>1.1336402720286521E-4</v>
      </c>
      <c r="Q55" s="343">
        <f t="shared" si="14"/>
        <v>45.540911510334951</v>
      </c>
      <c r="R55" s="344">
        <f t="shared" si="15"/>
        <v>-89.456872568550466</v>
      </c>
      <c r="S55" s="346">
        <f t="shared" si="16"/>
        <v>90.543127431449534</v>
      </c>
      <c r="U55" s="319">
        <f t="shared" si="23"/>
        <v>1000000000</v>
      </c>
      <c r="V55" s="319">
        <f t="shared" si="24"/>
        <v>2290.8667689999997</v>
      </c>
      <c r="X55" s="345">
        <f t="shared" si="17"/>
        <v>46.914618428781139</v>
      </c>
      <c r="Y55" s="346">
        <f t="shared" si="18"/>
        <v>-89.381401539355892</v>
      </c>
      <c r="AA55" s="345">
        <f t="shared" si="19"/>
        <v>35.459043239648807</v>
      </c>
      <c r="AB55" s="346">
        <f t="shared" si="20"/>
        <v>-7.5471029194575809E-2</v>
      </c>
      <c r="AD55">
        <f t="shared" si="25"/>
        <v>0</v>
      </c>
      <c r="AE55">
        <f t="shared" si="26"/>
        <v>0</v>
      </c>
    </row>
    <row r="56" spans="1:31" x14ac:dyDescent="0.2">
      <c r="A56" s="347">
        <v>52.481000000000002</v>
      </c>
      <c r="B56" s="364">
        <f t="shared" si="22"/>
        <v>5.2481E-2</v>
      </c>
      <c r="C56" s="337">
        <f t="shared" si="0"/>
        <v>1.0000008753050087</v>
      </c>
      <c r="D56" s="338">
        <f t="shared" si="1"/>
        <v>1.3231057177699648E-3</v>
      </c>
      <c r="E56" s="338">
        <f t="shared" si="2"/>
        <v>1.0000000000048037</v>
      </c>
      <c r="F56" s="339">
        <f t="shared" si="3"/>
        <v>3.0996297686454937E-6</v>
      </c>
      <c r="G56" s="338">
        <f t="shared" si="4"/>
        <v>1</v>
      </c>
      <c r="H56" s="339">
        <f t="shared" si="5"/>
        <v>0</v>
      </c>
      <c r="I56" s="337">
        <f t="shared" si="6"/>
        <v>379.87956192112</v>
      </c>
      <c r="J56" s="340">
        <f t="shared" si="7"/>
        <v>1.5681639104841067</v>
      </c>
      <c r="K56" s="348">
        <f t="shared" si="8"/>
        <v>1.0000380632053487</v>
      </c>
      <c r="L56" s="349">
        <f t="shared" si="9"/>
        <v>8.7249066525891331E-3</v>
      </c>
      <c r="M56" s="337">
        <f t="shared" si="10"/>
        <v>1.0000000013291557</v>
      </c>
      <c r="N56" s="340">
        <f t="shared" si="11"/>
        <v>5.155881637052064E-5</v>
      </c>
      <c r="O56" s="341">
        <f t="shared" si="12"/>
        <v>1.0000000052272791</v>
      </c>
      <c r="P56" s="342">
        <f t="shared" si="13"/>
        <v>1.2430180951839394E-4</v>
      </c>
      <c r="Q56" s="343">
        <f t="shared" si="14"/>
        <v>44.740928220353588</v>
      </c>
      <c r="R56" s="344">
        <f t="shared" si="15"/>
        <v>-89.43498027924575</v>
      </c>
      <c r="S56" s="346">
        <f t="shared" si="16"/>
        <v>90.56501972075425</v>
      </c>
      <c r="U56" s="319">
        <f t="shared" si="23"/>
        <v>1000000000</v>
      </c>
      <c r="V56" s="319">
        <f t="shared" si="24"/>
        <v>2754.255361</v>
      </c>
      <c r="X56" s="345">
        <f t="shared" si="17"/>
        <v>46.114636425560676</v>
      </c>
      <c r="Y56" s="346">
        <f t="shared" si="18"/>
        <v>-89.352227532305889</v>
      </c>
      <c r="AA56" s="345">
        <f t="shared" si="19"/>
        <v>35.459041952887915</v>
      </c>
      <c r="AB56" s="346">
        <f t="shared" si="20"/>
        <v>-8.2752746939851782E-2</v>
      </c>
      <c r="AD56">
        <f t="shared" si="25"/>
        <v>0</v>
      </c>
      <c r="AE56">
        <f t="shared" si="26"/>
        <v>0</v>
      </c>
    </row>
    <row r="57" spans="1:31" x14ac:dyDescent="0.2">
      <c r="A57" s="347">
        <v>57.544000000000004</v>
      </c>
      <c r="B57" s="364">
        <f t="shared" si="22"/>
        <v>5.7544000000000005E-2</v>
      </c>
      <c r="C57" s="337">
        <f t="shared" si="0"/>
        <v>1.000001052338032</v>
      </c>
      <c r="D57" s="338">
        <f t="shared" si="1"/>
        <v>1.4507495367379372E-3</v>
      </c>
      <c r="E57" s="338">
        <f t="shared" si="2"/>
        <v>1.0000000000057754</v>
      </c>
      <c r="F57" s="339">
        <f t="shared" si="3"/>
        <v>3.3986603800769949E-6</v>
      </c>
      <c r="G57" s="338">
        <f t="shared" si="4"/>
        <v>1</v>
      </c>
      <c r="H57" s="339">
        <f t="shared" si="5"/>
        <v>0</v>
      </c>
      <c r="I57" s="337">
        <f t="shared" si="6"/>
        <v>416.52744363872284</v>
      </c>
      <c r="J57" s="340">
        <f t="shared" si="7"/>
        <v>1.5683955222958976</v>
      </c>
      <c r="K57" s="348">
        <f t="shared" si="8"/>
        <v>1.0000457614289693</v>
      </c>
      <c r="L57" s="349">
        <f t="shared" si="9"/>
        <v>9.5665755573386153E-3</v>
      </c>
      <c r="M57" s="337">
        <f t="shared" si="10"/>
        <v>1.0000000015979815</v>
      </c>
      <c r="N57" s="340">
        <f t="shared" si="11"/>
        <v>5.653285053054477E-5</v>
      </c>
      <c r="O57" s="341">
        <f t="shared" si="12"/>
        <v>1.0000000062845122</v>
      </c>
      <c r="P57" s="342">
        <f t="shared" si="13"/>
        <v>1.3629357906841884E-4</v>
      </c>
      <c r="Q57" s="343">
        <f t="shared" si="14"/>
        <v>43.941039685576371</v>
      </c>
      <c r="R57" s="344">
        <f t="shared" si="15"/>
        <v>-89.408294970391168</v>
      </c>
      <c r="S57" s="346">
        <f t="shared" si="16"/>
        <v>90.591705029608832</v>
      </c>
      <c r="U57" s="319">
        <f t="shared" si="23"/>
        <v>1000000000</v>
      </c>
      <c r="V57" s="319">
        <f t="shared" si="24"/>
        <v>3311.3119360000005</v>
      </c>
      <c r="X57" s="345">
        <f t="shared" si="17"/>
        <v>45.314749437645858</v>
      </c>
      <c r="Y57" s="346">
        <f t="shared" si="18"/>
        <v>-89.317558826742257</v>
      </c>
      <c r="AA57" s="345">
        <f t="shared" si="19"/>
        <v>35.459040406025522</v>
      </c>
      <c r="AB57" s="346">
        <f t="shared" si="20"/>
        <v>-9.0736143648900563E-2</v>
      </c>
      <c r="AD57">
        <f t="shared" si="25"/>
        <v>0</v>
      </c>
      <c r="AE57">
        <f t="shared" si="26"/>
        <v>0</v>
      </c>
    </row>
    <row r="58" spans="1:31" x14ac:dyDescent="0.2">
      <c r="A58" s="347">
        <v>63.095999999999997</v>
      </c>
      <c r="B58" s="364">
        <f t="shared" si="22"/>
        <v>6.3095999999999999E-2</v>
      </c>
      <c r="C58" s="337">
        <f t="shared" si="0"/>
        <v>1.0000012651988286</v>
      </c>
      <c r="D58" s="338">
        <f t="shared" si="1"/>
        <v>1.5907215310083007E-3</v>
      </c>
      <c r="E58" s="338">
        <f t="shared" si="2"/>
        <v>1.0000000000069438</v>
      </c>
      <c r="F58" s="339">
        <f t="shared" si="3"/>
        <v>3.7265722810574692E-6</v>
      </c>
      <c r="G58" s="338">
        <f t="shared" si="4"/>
        <v>1</v>
      </c>
      <c r="H58" s="339">
        <f t="shared" si="5"/>
        <v>0</v>
      </c>
      <c r="I58" s="337">
        <f t="shared" si="6"/>
        <v>456.71491104219098</v>
      </c>
      <c r="J58" s="340">
        <f t="shared" si="7"/>
        <v>1.5686067753376405</v>
      </c>
      <c r="K58" s="348">
        <f t="shared" si="8"/>
        <v>1.000055017535032</v>
      </c>
      <c r="L58" s="349">
        <f t="shared" si="9"/>
        <v>1.0489519789722864E-2</v>
      </c>
      <c r="M58" s="337">
        <f t="shared" si="10"/>
        <v>1.0000000019212121</v>
      </c>
      <c r="N58" s="340">
        <f t="shared" si="11"/>
        <v>6.1987292094859775E-5</v>
      </c>
      <c r="O58" s="341">
        <f t="shared" si="12"/>
        <v>1.0000000075557076</v>
      </c>
      <c r="P58" s="342">
        <f t="shared" si="13"/>
        <v>1.4944355031549079E-4</v>
      </c>
      <c r="Q58" s="343">
        <f t="shared" si="14"/>
        <v>43.141086817291026</v>
      </c>
      <c r="R58" s="344">
        <f t="shared" si="15"/>
        <v>-89.376585039702675</v>
      </c>
      <c r="S58" s="346">
        <f t="shared" si="16"/>
        <v>90.623414960297325</v>
      </c>
      <c r="U58" s="319">
        <f t="shared" si="23"/>
        <v>1000000000</v>
      </c>
      <c r="V58" s="319">
        <f t="shared" si="24"/>
        <v>3981.1052159999995</v>
      </c>
      <c r="X58" s="345">
        <f t="shared" si="17"/>
        <v>44.514798429275075</v>
      </c>
      <c r="Y58" s="346">
        <f t="shared" si="18"/>
        <v>-89.277094441636862</v>
      </c>
      <c r="AA58" s="345">
        <f t="shared" si="19"/>
        <v>35.459038546110968</v>
      </c>
      <c r="AB58" s="346">
        <f t="shared" si="20"/>
        <v>-9.9490598065822472E-2</v>
      </c>
      <c r="AD58">
        <f t="shared" si="25"/>
        <v>0</v>
      </c>
      <c r="AE58">
        <f t="shared" si="26"/>
        <v>0</v>
      </c>
    </row>
    <row r="59" spans="1:31" x14ac:dyDescent="0.2">
      <c r="A59" s="347">
        <v>69.183000000000007</v>
      </c>
      <c r="B59" s="364">
        <f t="shared" si="22"/>
        <v>6.9183000000000008E-2</v>
      </c>
      <c r="C59" s="337">
        <f t="shared" si="0"/>
        <v>1.0000015210862867</v>
      </c>
      <c r="D59" s="338">
        <f t="shared" si="1"/>
        <v>1.7441813887727716E-3</v>
      </c>
      <c r="E59" s="338">
        <f t="shared" si="2"/>
        <v>1.000000000008348</v>
      </c>
      <c r="F59" s="339">
        <f t="shared" si="3"/>
        <v>4.0860823209103207E-6</v>
      </c>
      <c r="G59" s="338">
        <f t="shared" si="4"/>
        <v>1</v>
      </c>
      <c r="H59" s="339">
        <f t="shared" si="5"/>
        <v>0</v>
      </c>
      <c r="I59" s="337">
        <f t="shared" si="6"/>
        <v>500.77492945918351</v>
      </c>
      <c r="J59" s="340">
        <f t="shared" si="7"/>
        <v>1.5687994203888869</v>
      </c>
      <c r="K59" s="348">
        <f t="shared" si="8"/>
        <v>1.0000661445152359</v>
      </c>
      <c r="L59" s="349">
        <f t="shared" si="9"/>
        <v>1.150137987613848E-2</v>
      </c>
      <c r="M59" s="337">
        <f t="shared" si="10"/>
        <v>1.000000002309779</v>
      </c>
      <c r="N59" s="340">
        <f t="shared" si="11"/>
        <v>6.7967332760995619E-5</v>
      </c>
      <c r="O59" s="341">
        <f t="shared" si="12"/>
        <v>1.0000000090838566</v>
      </c>
      <c r="P59" s="342">
        <f t="shared" si="13"/>
        <v>1.6386067474103834E-4</v>
      </c>
      <c r="Q59" s="343">
        <f t="shared" si="14"/>
        <v>42.341233468694448</v>
      </c>
      <c r="R59" s="344">
        <f t="shared" si="15"/>
        <v>-89.339588150871933</v>
      </c>
      <c r="S59" s="346">
        <f t="shared" si="16"/>
        <v>90.660411849128067</v>
      </c>
      <c r="U59" s="319">
        <f t="shared" si="23"/>
        <v>1000000000</v>
      </c>
      <c r="V59" s="319">
        <f t="shared" si="24"/>
        <v>4786.2874890000012</v>
      </c>
      <c r="X59" s="345">
        <f t="shared" si="17"/>
        <v>43.714947316546755</v>
      </c>
      <c r="Y59" s="346">
        <f t="shared" si="18"/>
        <v>-89.230499508646247</v>
      </c>
      <c r="AA59" s="345">
        <f t="shared" si="19"/>
        <v>35.459036310242702</v>
      </c>
      <c r="AB59" s="346">
        <f t="shared" si="20"/>
        <v>-0.10908864222569463</v>
      </c>
      <c r="AD59">
        <f t="shared" si="25"/>
        <v>0</v>
      </c>
      <c r="AE59">
        <f t="shared" si="26"/>
        <v>0</v>
      </c>
    </row>
    <row r="60" spans="1:31" x14ac:dyDescent="0.2">
      <c r="A60" s="347">
        <v>75.858000000000004</v>
      </c>
      <c r="B60" s="364">
        <f t="shared" si="22"/>
        <v>7.5858000000000009E-2</v>
      </c>
      <c r="C60" s="337">
        <f t="shared" si="0"/>
        <v>1.0000018287644881</v>
      </c>
      <c r="D60" s="338">
        <f t="shared" si="1"/>
        <v>1.9124652682056219E-3</v>
      </c>
      <c r="E60" s="338">
        <f t="shared" si="2"/>
        <v>1.0000000000100366</v>
      </c>
      <c r="F60" s="339">
        <f t="shared" si="3"/>
        <v>4.4803207825515823E-6</v>
      </c>
      <c r="G60" s="338">
        <f t="shared" si="4"/>
        <v>1</v>
      </c>
      <c r="H60" s="339">
        <f t="shared" si="5"/>
        <v>0</v>
      </c>
      <c r="I60" s="337">
        <f t="shared" si="6"/>
        <v>549.09113302426817</v>
      </c>
      <c r="J60" s="340">
        <f t="shared" si="7"/>
        <v>1.5689751344779079</v>
      </c>
      <c r="K60" s="348">
        <f t="shared" si="8"/>
        <v>1.0000795233979018</v>
      </c>
      <c r="L60" s="349">
        <f t="shared" si="9"/>
        <v>1.2610957797392188E-2</v>
      </c>
      <c r="M60" s="337">
        <f t="shared" si="10"/>
        <v>1.0000000027769909</v>
      </c>
      <c r="N60" s="340">
        <f t="shared" si="11"/>
        <v>7.4525041223677557E-5</v>
      </c>
      <c r="O60" s="341">
        <f t="shared" si="12"/>
        <v>1.0000000109212983</v>
      </c>
      <c r="P60" s="342">
        <f t="shared" si="13"/>
        <v>1.7967048339791151E-4</v>
      </c>
      <c r="Q60" s="343">
        <f t="shared" si="14"/>
        <v>41.541309932666309</v>
      </c>
      <c r="R60" s="344">
        <f t="shared" si="15"/>
        <v>-89.296982626777165</v>
      </c>
      <c r="S60" s="346">
        <f t="shared" si="16"/>
        <v>90.703017373222835</v>
      </c>
      <c r="U60" s="319">
        <f t="shared" si="23"/>
        <v>1000000000</v>
      </c>
      <c r="V60" s="319">
        <f t="shared" si="24"/>
        <v>5754.4361640000006</v>
      </c>
      <c r="X60" s="345">
        <f t="shared" si="17"/>
        <v>42.915026468918185</v>
      </c>
      <c r="Y60" s="346">
        <f t="shared" si="18"/>
        <v>-89.17736878137687</v>
      </c>
      <c r="AA60" s="345">
        <f t="shared" si="19"/>
        <v>35.459033621843126</v>
      </c>
      <c r="AB60" s="346">
        <f t="shared" si="20"/>
        <v>-0.11961384540028661</v>
      </c>
      <c r="AD60">
        <f t="shared" si="25"/>
        <v>0</v>
      </c>
      <c r="AE60">
        <f t="shared" si="26"/>
        <v>0</v>
      </c>
    </row>
    <row r="61" spans="1:31" x14ac:dyDescent="0.2">
      <c r="A61" s="347">
        <v>83.176000000000002</v>
      </c>
      <c r="B61" s="364">
        <f t="shared" si="22"/>
        <v>8.3176E-2</v>
      </c>
      <c r="C61" s="337">
        <f t="shared" si="0"/>
        <v>1.000002198624103</v>
      </c>
      <c r="D61" s="338">
        <f t="shared" si="1"/>
        <v>2.0969597395878565E-3</v>
      </c>
      <c r="E61" s="338">
        <f t="shared" si="2"/>
        <v>1.0000000000120663</v>
      </c>
      <c r="F61" s="339">
        <f t="shared" si="3"/>
        <v>4.9125360727808021E-6</v>
      </c>
      <c r="G61" s="338">
        <f t="shared" si="4"/>
        <v>1</v>
      </c>
      <c r="H61" s="339">
        <f t="shared" si="5"/>
        <v>0</v>
      </c>
      <c r="I61" s="337">
        <f t="shared" si="6"/>
        <v>602.06163277751273</v>
      </c>
      <c r="J61" s="340">
        <f t="shared" si="7"/>
        <v>1.5691353665121677</v>
      </c>
      <c r="K61" s="348">
        <f t="shared" si="8"/>
        <v>1.0000956059060508</v>
      </c>
      <c r="L61" s="349">
        <f t="shared" si="9"/>
        <v>1.3827385117788799E-2</v>
      </c>
      <c r="M61" s="337">
        <f t="shared" si="10"/>
        <v>1.0000000033386258</v>
      </c>
      <c r="N61" s="340">
        <f t="shared" si="11"/>
        <v>8.1714451033505612E-5</v>
      </c>
      <c r="O61" s="341">
        <f t="shared" si="12"/>
        <v>1.0000000131300855</v>
      </c>
      <c r="P61" s="342">
        <f t="shared" si="13"/>
        <v>1.9700324435599828E-4</v>
      </c>
      <c r="Q61" s="343">
        <f t="shared" si="14"/>
        <v>40.741515945040931</v>
      </c>
      <c r="R61" s="344">
        <f t="shared" si="15"/>
        <v>-89.248418101815631</v>
      </c>
      <c r="S61" s="346">
        <f t="shared" si="16"/>
        <v>90.751581898184369</v>
      </c>
      <c r="U61" s="319">
        <f t="shared" si="23"/>
        <v>1000000000</v>
      </c>
      <c r="V61" s="319">
        <f t="shared" si="24"/>
        <v>6918.2469760000004</v>
      </c>
      <c r="X61" s="345">
        <f t="shared" si="17"/>
        <v>42.115235713013789</v>
      </c>
      <c r="Y61" s="346">
        <f t="shared" si="18"/>
        <v>-89.117265171910233</v>
      </c>
      <c r="AA61" s="345">
        <f t="shared" si="19"/>
        <v>35.459030390122152</v>
      </c>
      <c r="AB61" s="346">
        <f t="shared" si="20"/>
        <v>-0.13115292990540744</v>
      </c>
      <c r="AD61">
        <f t="shared" si="25"/>
        <v>0</v>
      </c>
      <c r="AE61">
        <f t="shared" si="26"/>
        <v>0</v>
      </c>
    </row>
    <row r="62" spans="1:31" x14ac:dyDescent="0.2">
      <c r="A62" s="347">
        <v>91.201000000000008</v>
      </c>
      <c r="B62" s="364">
        <f t="shared" si="22"/>
        <v>9.1201000000000004E-2</v>
      </c>
      <c r="C62" s="337">
        <f t="shared" si="0"/>
        <v>1.00000264334608</v>
      </c>
      <c r="D62" s="338">
        <f t="shared" si="1"/>
        <v>2.2992782594708008E-3</v>
      </c>
      <c r="E62" s="338">
        <f t="shared" si="2"/>
        <v>1.0000000000145073</v>
      </c>
      <c r="F62" s="339">
        <f t="shared" si="3"/>
        <v>5.3865081558737247E-6</v>
      </c>
      <c r="G62" s="338">
        <f t="shared" si="4"/>
        <v>1</v>
      </c>
      <c r="H62" s="339">
        <f t="shared" si="5"/>
        <v>0</v>
      </c>
      <c r="I62" s="337">
        <f t="shared" si="6"/>
        <v>660.14968534402783</v>
      </c>
      <c r="J62" s="340">
        <f t="shared" si="7"/>
        <v>1.5692815182527706</v>
      </c>
      <c r="K62" s="348">
        <f t="shared" si="8"/>
        <v>1.0001149432999943</v>
      </c>
      <c r="L62" s="349">
        <f t="shared" si="9"/>
        <v>1.5161285638463967E-2</v>
      </c>
      <c r="M62" s="337">
        <f t="shared" si="10"/>
        <v>1.0000000040139401</v>
      </c>
      <c r="N62" s="340">
        <f t="shared" si="11"/>
        <v>8.9598437594397274E-5</v>
      </c>
      <c r="O62" s="341">
        <f t="shared" si="12"/>
        <v>1.0000000157859488</v>
      </c>
      <c r="P62" s="342">
        <f t="shared" si="13"/>
        <v>2.1601054227543163E-4</v>
      </c>
      <c r="Q62" s="343">
        <f t="shared" si="14"/>
        <v>39.941650627090922</v>
      </c>
      <c r="R62" s="344">
        <f t="shared" si="15"/>
        <v>-89.19347070734598</v>
      </c>
      <c r="S62" s="346">
        <f t="shared" si="16"/>
        <v>90.80652929265402</v>
      </c>
      <c r="U62" s="319">
        <f t="shared" si="23"/>
        <v>1000000000</v>
      </c>
      <c r="V62" s="319">
        <f t="shared" si="24"/>
        <v>8317.6224010000005</v>
      </c>
      <c r="X62" s="345">
        <f t="shared" si="17"/>
        <v>41.315374280907768</v>
      </c>
      <c r="Y62" s="346">
        <f t="shared" si="18"/>
        <v>-89.049663898768713</v>
      </c>
      <c r="AA62" s="345">
        <f t="shared" si="19"/>
        <v>35.459026504278157</v>
      </c>
      <c r="AB62" s="346">
        <f t="shared" si="20"/>
        <v>-0.14380680857725603</v>
      </c>
      <c r="AD62">
        <f t="shared" si="25"/>
        <v>0</v>
      </c>
      <c r="AE62">
        <f t="shared" si="26"/>
        <v>0</v>
      </c>
    </row>
    <row r="63" spans="1:31" x14ac:dyDescent="0.2">
      <c r="A63" s="347">
        <v>100</v>
      </c>
      <c r="B63" s="364">
        <f t="shared" si="22"/>
        <v>0.1</v>
      </c>
      <c r="C63" s="337">
        <f t="shared" si="0"/>
        <v>1.0000031780059804</v>
      </c>
      <c r="D63" s="338">
        <f t="shared" si="1"/>
        <v>2.5211099000209494E-3</v>
      </c>
      <c r="E63" s="338">
        <f t="shared" si="2"/>
        <v>1.0000000000174416</v>
      </c>
      <c r="F63" s="339">
        <f t="shared" si="3"/>
        <v>5.9061941819313249E-6</v>
      </c>
      <c r="G63" s="338">
        <f t="shared" si="4"/>
        <v>1</v>
      </c>
      <c r="H63" s="339">
        <f t="shared" si="5"/>
        <v>0</v>
      </c>
      <c r="I63" s="337">
        <f t="shared" si="6"/>
        <v>723.84026262877194</v>
      </c>
      <c r="J63" s="340">
        <f t="shared" si="7"/>
        <v>1.5694148060786155</v>
      </c>
      <c r="K63" s="348">
        <f t="shared" si="8"/>
        <v>1.0001381908897371</v>
      </c>
      <c r="L63" s="349">
        <f t="shared" si="9"/>
        <v>1.6623776807848673E-2</v>
      </c>
      <c r="M63" s="337">
        <f t="shared" si="10"/>
        <v>1.0000000048258262</v>
      </c>
      <c r="N63" s="340">
        <f t="shared" si="11"/>
        <v>9.824282359393147E-5</v>
      </c>
      <c r="O63" s="341">
        <f t="shared" si="12"/>
        <v>1.0000000189789198</v>
      </c>
      <c r="P63" s="342">
        <f t="shared" si="13"/>
        <v>2.3685106734081459E-4</v>
      </c>
      <c r="Q63" s="343">
        <f t="shared" si="14"/>
        <v>39.141841531431517</v>
      </c>
      <c r="R63" s="344">
        <f t="shared" si="15"/>
        <v>-89.131682567489207</v>
      </c>
      <c r="S63" s="346">
        <f t="shared" si="16"/>
        <v>90.868317432510793</v>
      </c>
      <c r="U63" s="319">
        <f t="shared" si="23"/>
        <v>1000000000</v>
      </c>
      <c r="V63" s="319">
        <f t="shared" si="24"/>
        <v>10000</v>
      </c>
      <c r="X63" s="345">
        <f t="shared" si="17"/>
        <v>40.515569856940047</v>
      </c>
      <c r="Y63" s="346">
        <f t="shared" si="18"/>
        <v>-88.974001443817002</v>
      </c>
      <c r="AA63" s="345">
        <f t="shared" si="19"/>
        <v>35.45902183258648</v>
      </c>
      <c r="AB63" s="346">
        <f t="shared" si="20"/>
        <v>-0.1576811236722144</v>
      </c>
      <c r="AD63">
        <f t="shared" si="25"/>
        <v>0</v>
      </c>
      <c r="AE63">
        <f t="shared" si="26"/>
        <v>0</v>
      </c>
    </row>
    <row r="64" spans="1:31" x14ac:dyDescent="0.2">
      <c r="A64" s="347">
        <v>109.65</v>
      </c>
      <c r="B64" s="364">
        <f t="shared" si="22"/>
        <v>0.10965000000000001</v>
      </c>
      <c r="C64" s="337">
        <f t="shared" si="0"/>
        <v>1.0000038209542925</v>
      </c>
      <c r="D64" s="338">
        <f t="shared" si="1"/>
        <v>2.7643958204666736E-3</v>
      </c>
      <c r="E64" s="338">
        <f t="shared" si="2"/>
        <v>1.0000000000209703</v>
      </c>
      <c r="F64" s="339">
        <f t="shared" si="3"/>
        <v>6.4761419204724633E-6</v>
      </c>
      <c r="G64" s="338">
        <f t="shared" si="4"/>
        <v>1</v>
      </c>
      <c r="H64" s="339">
        <f t="shared" si="5"/>
        <v>0</v>
      </c>
      <c r="I64" s="337">
        <f t="shared" si="6"/>
        <v>793.6907205221529</v>
      </c>
      <c r="J64" s="340">
        <f t="shared" si="7"/>
        <v>1.5695363898462629</v>
      </c>
      <c r="K64" s="348">
        <f t="shared" si="8"/>
        <v>1.0001661462773881</v>
      </c>
      <c r="L64" s="349">
        <f t="shared" si="9"/>
        <v>1.8227631597539741E-2</v>
      </c>
      <c r="M64" s="337">
        <f t="shared" si="10"/>
        <v>1.0000000058021499</v>
      </c>
      <c r="N64" s="340">
        <f t="shared" si="11"/>
        <v>1.0772325600063069E-4</v>
      </c>
      <c r="O64" s="341">
        <f t="shared" si="12"/>
        <v>1.0000000228185875</v>
      </c>
      <c r="P64" s="342">
        <f t="shared" si="13"/>
        <v>2.5970719483326728E-4</v>
      </c>
      <c r="Q64" s="343">
        <f t="shared" si="14"/>
        <v>38.341907360043919</v>
      </c>
      <c r="R64" s="344">
        <f t="shared" si="15"/>
        <v>-89.062514043015284</v>
      </c>
      <c r="S64" s="346">
        <f t="shared" si="16"/>
        <v>90.937485956984716</v>
      </c>
      <c r="U64" s="319">
        <f t="shared" si="23"/>
        <v>1000000000</v>
      </c>
      <c r="V64" s="319">
        <f t="shared" si="24"/>
        <v>12023.122500000001</v>
      </c>
      <c r="X64" s="345">
        <f t="shared" si="17"/>
        <v>39.715641303431269</v>
      </c>
      <c r="Y64" s="346">
        <f t="shared" si="18"/>
        <v>-88.889616758827799</v>
      </c>
      <c r="AA64" s="345">
        <f t="shared" si="19"/>
        <v>35.45901621470766</v>
      </c>
      <c r="AB64" s="346">
        <f t="shared" si="20"/>
        <v>-0.17289728418746594</v>
      </c>
      <c r="AD64">
        <f t="shared" si="25"/>
        <v>0</v>
      </c>
      <c r="AE64">
        <f t="shared" si="26"/>
        <v>0</v>
      </c>
    </row>
    <row r="65" spans="1:31" x14ac:dyDescent="0.2">
      <c r="A65" s="347">
        <v>120.23</v>
      </c>
      <c r="B65" s="364">
        <f t="shared" si="22"/>
        <v>0.12023</v>
      </c>
      <c r="C65" s="337">
        <f t="shared" si="0"/>
        <v>1.0000045938847644</v>
      </c>
      <c r="D65" s="338">
        <f t="shared" si="1"/>
        <v>3.0311275716625105E-3</v>
      </c>
      <c r="E65" s="338">
        <f t="shared" si="2"/>
        <v>1.0000000000252123</v>
      </c>
      <c r="F65" s="339">
        <f t="shared" si="3"/>
        <v>7.101017264899246E-6</v>
      </c>
      <c r="G65" s="338">
        <f t="shared" si="4"/>
        <v>1</v>
      </c>
      <c r="H65" s="339">
        <f t="shared" si="5"/>
        <v>0</v>
      </c>
      <c r="I65" s="337">
        <f t="shared" si="6"/>
        <v>870.27289178988224</v>
      </c>
      <c r="J65" s="340">
        <f t="shared" si="7"/>
        <v>1.5696472616803878</v>
      </c>
      <c r="K65" s="348">
        <f t="shared" si="8"/>
        <v>1.0001997522778738</v>
      </c>
      <c r="L65" s="349">
        <f t="shared" si="9"/>
        <v>1.9985946699124943E-2</v>
      </c>
      <c r="M65" s="337">
        <f t="shared" si="10"/>
        <v>1.0000000069758539</v>
      </c>
      <c r="N65" s="340">
        <f t="shared" si="11"/>
        <v>1.181173466376801E-4</v>
      </c>
      <c r="O65" s="341">
        <f t="shared" si="12"/>
        <v>1.0000000274345082</v>
      </c>
      <c r="P65" s="342">
        <f t="shared" si="13"/>
        <v>2.8476603704220263E-4</v>
      </c>
      <c r="Q65" s="343">
        <f t="shared" si="14"/>
        <v>37.542109378922902</v>
      </c>
      <c r="R65" s="344">
        <f t="shared" si="15"/>
        <v>-88.985400601023571</v>
      </c>
      <c r="S65" s="346">
        <f t="shared" si="16"/>
        <v>91.014599398976429</v>
      </c>
      <c r="U65" s="319">
        <f t="shared" si="23"/>
        <v>1000000000</v>
      </c>
      <c r="V65" s="319">
        <f t="shared" si="24"/>
        <v>14455.252900000001</v>
      </c>
      <c r="X65" s="345">
        <f t="shared" si="17"/>
        <v>38.91585007592731</v>
      </c>
      <c r="Y65" s="346">
        <f t="shared" si="18"/>
        <v>-88.795820750033272</v>
      </c>
      <c r="AA65" s="345">
        <f t="shared" si="19"/>
        <v>35.459009461090602</v>
      </c>
      <c r="AB65" s="346">
        <f t="shared" si="20"/>
        <v>-0.18957985099028241</v>
      </c>
      <c r="AD65">
        <f t="shared" si="25"/>
        <v>0</v>
      </c>
      <c r="AE65">
        <f t="shared" si="26"/>
        <v>0</v>
      </c>
    </row>
    <row r="66" spans="1:31" x14ac:dyDescent="0.2">
      <c r="A66" s="347">
        <v>131.83000000000001</v>
      </c>
      <c r="B66" s="364">
        <f t="shared" si="22"/>
        <v>0.13183</v>
      </c>
      <c r="C66" s="337">
        <f t="shared" si="0"/>
        <v>1.0000055230974378</v>
      </c>
      <c r="D66" s="338">
        <f t="shared" si="1"/>
        <v>3.3235739851534933E-3</v>
      </c>
      <c r="E66" s="338">
        <f t="shared" si="2"/>
        <v>1.000000000030312</v>
      </c>
      <c r="F66" s="339">
        <f t="shared" si="3"/>
        <v>7.7861357899732595E-6</v>
      </c>
      <c r="G66" s="338">
        <f t="shared" si="4"/>
        <v>1</v>
      </c>
      <c r="H66" s="339">
        <f t="shared" si="5"/>
        <v>0</v>
      </c>
      <c r="I66" s="337">
        <f t="shared" si="6"/>
        <v>954.23823157229651</v>
      </c>
      <c r="J66" s="340">
        <f t="shared" si="7"/>
        <v>1.5697483702679529</v>
      </c>
      <c r="K66" s="348">
        <f t="shared" si="8"/>
        <v>1.0002401517627408</v>
      </c>
      <c r="L66" s="349">
        <f t="shared" si="9"/>
        <v>2.1913635566173165E-2</v>
      </c>
      <c r="M66" s="337">
        <f t="shared" si="10"/>
        <v>1.0000000083868752</v>
      </c>
      <c r="N66" s="340">
        <f t="shared" si="11"/>
        <v>1.2951351403641057E-4</v>
      </c>
      <c r="O66" s="341">
        <f t="shared" si="12"/>
        <v>1.0000000329837468</v>
      </c>
      <c r="P66" s="342">
        <f t="shared" si="13"/>
        <v>3.1224075985676413E-4</v>
      </c>
      <c r="Q66" s="343">
        <f t="shared" si="14"/>
        <v>36.742424941144506</v>
      </c>
      <c r="R66" s="344">
        <f t="shared" si="15"/>
        <v>-88.899689088751387</v>
      </c>
      <c r="S66" s="346">
        <f t="shared" si="16"/>
        <v>91.100310911248613</v>
      </c>
      <c r="U66" s="319">
        <f t="shared" si="23"/>
        <v>1000000000</v>
      </c>
      <c r="V66" s="319">
        <f t="shared" si="24"/>
        <v>17379.148900000004</v>
      </c>
      <c r="X66" s="345">
        <f t="shared" si="17"/>
        <v>38.11617375730259</v>
      </c>
      <c r="Y66" s="346">
        <f t="shared" si="18"/>
        <v>-88.691818361252814</v>
      </c>
      <c r="AA66" s="345">
        <f t="shared" si="19"/>
        <v>35.459001341936919</v>
      </c>
      <c r="AB66" s="346">
        <f t="shared" si="20"/>
        <v>-0.20787072749856703</v>
      </c>
      <c r="AD66">
        <f t="shared" si="25"/>
        <v>0</v>
      </c>
      <c r="AE66">
        <f t="shared" si="26"/>
        <v>0</v>
      </c>
    </row>
    <row r="67" spans="1:31" x14ac:dyDescent="0.2">
      <c r="A67" s="347">
        <v>144.54</v>
      </c>
      <c r="B67" s="364">
        <f t="shared" si="22"/>
        <v>0.14454</v>
      </c>
      <c r="C67" s="337">
        <f t="shared" si="0"/>
        <v>1.0000066394187297</v>
      </c>
      <c r="D67" s="338">
        <f t="shared" si="1"/>
        <v>3.6440038405766125E-3</v>
      </c>
      <c r="E67" s="338">
        <f t="shared" si="2"/>
        <v>1.0000000000364386</v>
      </c>
      <c r="F67" s="339">
        <f t="shared" si="3"/>
        <v>8.5368130704554212E-6</v>
      </c>
      <c r="G67" s="338">
        <f t="shared" si="4"/>
        <v>1</v>
      </c>
      <c r="H67" s="339">
        <f t="shared" si="5"/>
        <v>0</v>
      </c>
      <c r="I67" s="337">
        <f t="shared" si="6"/>
        <v>1046.2381950812</v>
      </c>
      <c r="J67" s="340">
        <f t="shared" si="7"/>
        <v>1.5698405213607594</v>
      </c>
      <c r="K67" s="348">
        <f t="shared" si="8"/>
        <v>1.0002886840823288</v>
      </c>
      <c r="L67" s="349">
        <f t="shared" si="9"/>
        <v>2.4025596795221853E-2</v>
      </c>
      <c r="M67" s="337">
        <f t="shared" si="10"/>
        <v>1.0000000100820252</v>
      </c>
      <c r="N67" s="340">
        <f t="shared" si="11"/>
        <v>1.4200017672508108E-4</v>
      </c>
      <c r="O67" s="341">
        <f t="shared" si="12"/>
        <v>1.000000039650401</v>
      </c>
      <c r="P67" s="342">
        <f t="shared" si="13"/>
        <v>3.4234452914393046E-4</v>
      </c>
      <c r="Q67" s="343">
        <f t="shared" si="14"/>
        <v>35.94336144316204</v>
      </c>
      <c r="R67" s="344">
        <f t="shared" si="15"/>
        <v>-88.804719012124067</v>
      </c>
      <c r="S67" s="346">
        <f t="shared" si="16"/>
        <v>91.195280987875933</v>
      </c>
      <c r="U67" s="319">
        <f t="shared" si="23"/>
        <v>1000000000</v>
      </c>
      <c r="V67" s="319">
        <f t="shared" si="24"/>
        <v>20891.811599999997</v>
      </c>
      <c r="X67" s="345">
        <f t="shared" si="17"/>
        <v>37.317120013357311</v>
      </c>
      <c r="Y67" s="346">
        <f t="shared" si="18"/>
        <v>-88.576807197969231</v>
      </c>
      <c r="AA67" s="345">
        <f t="shared" si="19"/>
        <v>35.458991587899732</v>
      </c>
      <c r="AB67" s="346">
        <f t="shared" si="20"/>
        <v>-0.22791181415484138</v>
      </c>
      <c r="AD67">
        <f t="shared" si="25"/>
        <v>0</v>
      </c>
      <c r="AE67">
        <f t="shared" si="26"/>
        <v>0</v>
      </c>
    </row>
    <row r="68" spans="1:31" x14ac:dyDescent="0.2">
      <c r="A68" s="347">
        <v>158.49</v>
      </c>
      <c r="B68" s="364">
        <f t="shared" si="22"/>
        <v>0.15849000000000002</v>
      </c>
      <c r="C68" s="337">
        <f t="shared" si="0"/>
        <v>1.0000079828394999</v>
      </c>
      <c r="D68" s="338">
        <f t="shared" si="1"/>
        <v>3.9956942814778707E-3</v>
      </c>
      <c r="E68" s="338">
        <f t="shared" si="2"/>
        <v>1.0000000000438116</v>
      </c>
      <c r="F68" s="339">
        <f t="shared" si="3"/>
        <v>9.3607271587783967E-6</v>
      </c>
      <c r="G68" s="338">
        <f t="shared" si="4"/>
        <v>1</v>
      </c>
      <c r="H68" s="339">
        <f t="shared" si="5"/>
        <v>0</v>
      </c>
      <c r="I68" s="337">
        <f t="shared" si="6"/>
        <v>1147.2137732927185</v>
      </c>
      <c r="J68" s="340">
        <f t="shared" si="7"/>
        <v>1.5699246495627042</v>
      </c>
      <c r="K68" s="348">
        <f t="shared" si="8"/>
        <v>1.0003470865529067</v>
      </c>
      <c r="L68" s="349">
        <f t="shared" si="9"/>
        <v>2.634335558487623E-2</v>
      </c>
      <c r="M68" s="337">
        <f t="shared" si="10"/>
        <v>1.0000000121220316</v>
      </c>
      <c r="N68" s="340">
        <f t="shared" si="11"/>
        <v>1.5570505035665134E-4</v>
      </c>
      <c r="O68" s="341">
        <f t="shared" si="12"/>
        <v>1.0000000476732998</v>
      </c>
      <c r="P68" s="342">
        <f t="shared" si="13"/>
        <v>3.7538525116343488E-4</v>
      </c>
      <c r="Q68" s="343">
        <f t="shared" si="14"/>
        <v>35.143581170515461</v>
      </c>
      <c r="R68" s="344">
        <f t="shared" si="15"/>
        <v>-88.699522902837217</v>
      </c>
      <c r="S68" s="346">
        <f t="shared" si="16"/>
        <v>91.300477097162783</v>
      </c>
      <c r="U68" s="319">
        <f t="shared" si="23"/>
        <v>1000000000</v>
      </c>
      <c r="V68" s="319">
        <f t="shared" si="24"/>
        <v>25119.080100000003</v>
      </c>
      <c r="X68" s="345">
        <f t="shared" si="17"/>
        <v>36.517351479051939</v>
      </c>
      <c r="Y68" s="346">
        <f t="shared" si="18"/>
        <v>-88.449614823574663</v>
      </c>
      <c r="AA68" s="345">
        <f t="shared" si="19"/>
        <v>35.458979849558531</v>
      </c>
      <c r="AB68" s="346">
        <f t="shared" si="20"/>
        <v>-0.24990807926255329</v>
      </c>
      <c r="AD68">
        <f t="shared" si="25"/>
        <v>0</v>
      </c>
      <c r="AE68">
        <f t="shared" si="26"/>
        <v>0</v>
      </c>
    </row>
    <row r="69" spans="1:31" x14ac:dyDescent="0.2">
      <c r="A69" s="347">
        <v>173.78</v>
      </c>
      <c r="B69" s="364">
        <f t="shared" si="22"/>
        <v>0.17377999999999999</v>
      </c>
      <c r="C69" s="337">
        <f t="shared" si="0"/>
        <v>1.0000095973846694</v>
      </c>
      <c r="D69" s="338">
        <f t="shared" si="1"/>
        <v>4.3811660347281966E-3</v>
      </c>
      <c r="E69" s="338">
        <f t="shared" si="2"/>
        <v>1.0000000000526725</v>
      </c>
      <c r="F69" s="339">
        <f t="shared" si="3"/>
        <v>1.0263784249119188E-5</v>
      </c>
      <c r="G69" s="338">
        <f t="shared" si="4"/>
        <v>1</v>
      </c>
      <c r="H69" s="339">
        <f t="shared" si="5"/>
        <v>0</v>
      </c>
      <c r="I69" s="337">
        <f t="shared" si="6"/>
        <v>1257.8888054842153</v>
      </c>
      <c r="J69" s="340">
        <f t="shared" si="7"/>
        <v>1.570001343883074</v>
      </c>
      <c r="K69" s="348">
        <f t="shared" si="8"/>
        <v>1.0004172711950969</v>
      </c>
      <c r="L69" s="349">
        <f t="shared" si="9"/>
        <v>2.8883426067588872E-2</v>
      </c>
      <c r="M69" s="337">
        <f t="shared" si="10"/>
        <v>1.0000000145737482</v>
      </c>
      <c r="N69" s="340">
        <f t="shared" si="11"/>
        <v>1.7072637773204918E-4</v>
      </c>
      <c r="O69" s="341">
        <f t="shared" si="12"/>
        <v>1.0000000573153656</v>
      </c>
      <c r="P69" s="342">
        <f t="shared" si="13"/>
        <v>4.1159977681906547E-4</v>
      </c>
      <c r="Q69" s="343">
        <f t="shared" si="14"/>
        <v>34.344218430597081</v>
      </c>
      <c r="R69" s="344">
        <f t="shared" si="15"/>
        <v>-88.583351606610336</v>
      </c>
      <c r="S69" s="346">
        <f t="shared" si="16"/>
        <v>91.416648393389664</v>
      </c>
      <c r="U69" s="319">
        <f t="shared" si="23"/>
        <v>1000000000</v>
      </c>
      <c r="V69" s="319">
        <f t="shared" si="24"/>
        <v>30199.488400000002</v>
      </c>
      <c r="X69" s="345">
        <f t="shared" si="17"/>
        <v>35.718002846444399</v>
      </c>
      <c r="Y69" s="346">
        <f t="shared" si="18"/>
        <v>-88.309334424620275</v>
      </c>
      <c r="AA69" s="345">
        <f t="shared" si="19"/>
        <v>35.458965742247692</v>
      </c>
      <c r="AB69" s="346">
        <f t="shared" si="20"/>
        <v>-0.27401718199005382</v>
      </c>
      <c r="AD69">
        <f t="shared" si="25"/>
        <v>0</v>
      </c>
      <c r="AE69">
        <f t="shared" si="26"/>
        <v>0</v>
      </c>
    </row>
    <row r="70" spans="1:31" x14ac:dyDescent="0.2">
      <c r="A70" s="347">
        <v>190.55</v>
      </c>
      <c r="B70" s="364">
        <f t="shared" si="22"/>
        <v>0.19055000000000002</v>
      </c>
      <c r="C70" s="337">
        <f t="shared" si="0"/>
        <v>1.0000115390698097</v>
      </c>
      <c r="D70" s="338">
        <f t="shared" si="1"/>
        <v>4.8039481371484494E-3</v>
      </c>
      <c r="E70" s="338">
        <f t="shared" si="2"/>
        <v>1.0000000000633291</v>
      </c>
      <c r="F70" s="339">
        <f t="shared" si="3"/>
        <v>1.1254253013325854E-5</v>
      </c>
      <c r="G70" s="338">
        <f t="shared" si="4"/>
        <v>1</v>
      </c>
      <c r="H70" s="339">
        <f t="shared" si="5"/>
        <v>0</v>
      </c>
      <c r="I70" s="337">
        <f t="shared" si="6"/>
        <v>1379.2766667039521</v>
      </c>
      <c r="J70" s="340">
        <f t="shared" si="7"/>
        <v>1.5700713090288829</v>
      </c>
      <c r="K70" s="348">
        <f t="shared" si="8"/>
        <v>1.0005016703147016</v>
      </c>
      <c r="L70" s="349">
        <f t="shared" si="9"/>
        <v>3.1668933574024311E-2</v>
      </c>
      <c r="M70" s="337">
        <f t="shared" si="10"/>
        <v>1.0000000175222383</v>
      </c>
      <c r="N70" s="340">
        <f t="shared" si="11"/>
        <v>1.8720169877370983E-4</v>
      </c>
      <c r="O70" s="341">
        <f t="shared" si="12"/>
        <v>1.0000000689111321</v>
      </c>
      <c r="P70" s="342">
        <f t="shared" si="13"/>
        <v>4.5131969738432275E-4</v>
      </c>
      <c r="Q70" s="343">
        <f t="shared" si="14"/>
        <v>33.54475144147257</v>
      </c>
      <c r="R70" s="344">
        <f t="shared" si="15"/>
        <v>-88.455149120726162</v>
      </c>
      <c r="S70" s="346">
        <f t="shared" si="16"/>
        <v>91.544850879273838</v>
      </c>
      <c r="U70" s="319">
        <f t="shared" si="23"/>
        <v>1000000000</v>
      </c>
      <c r="V70" s="319">
        <f t="shared" si="24"/>
        <v>36309.302500000005</v>
      </c>
      <c r="X70" s="345">
        <f t="shared" si="17"/>
        <v>34.918552823031476</v>
      </c>
      <c r="Y70" s="346">
        <f t="shared" si="18"/>
        <v>-88.15468927445248</v>
      </c>
      <c r="AA70" s="345">
        <f t="shared" si="19"/>
        <v>35.458948776536104</v>
      </c>
      <c r="AB70" s="346">
        <f t="shared" si="20"/>
        <v>-0.30045984627367273</v>
      </c>
      <c r="AD70">
        <f t="shared" si="25"/>
        <v>0</v>
      </c>
      <c r="AE70">
        <f t="shared" si="26"/>
        <v>0</v>
      </c>
    </row>
    <row r="71" spans="1:31" x14ac:dyDescent="0.2">
      <c r="A71" s="347">
        <v>208.93</v>
      </c>
      <c r="B71" s="364">
        <f t="shared" si="22"/>
        <v>0.20893</v>
      </c>
      <c r="C71" s="337">
        <f t="shared" si="0"/>
        <v>1.0000138724764556</v>
      </c>
      <c r="D71" s="338">
        <f t="shared" si="1"/>
        <v>5.2673173601013512E-3</v>
      </c>
      <c r="E71" s="338">
        <f t="shared" si="2"/>
        <v>1.0000000000761355</v>
      </c>
      <c r="F71" s="339">
        <f t="shared" si="3"/>
        <v>1.233981150382627E-5</v>
      </c>
      <c r="G71" s="338">
        <f t="shared" si="4"/>
        <v>1</v>
      </c>
      <c r="H71" s="339">
        <f t="shared" si="5"/>
        <v>0</v>
      </c>
      <c r="I71" s="337">
        <f t="shared" si="6"/>
        <v>1512.3183481227034</v>
      </c>
      <c r="J71" s="340">
        <f t="shared" si="7"/>
        <v>1.5701350903071467</v>
      </c>
      <c r="K71" s="348">
        <f t="shared" si="8"/>
        <v>1.0006030871698259</v>
      </c>
      <c r="L71" s="349">
        <f t="shared" si="9"/>
        <v>3.4721296940500246E-2</v>
      </c>
      <c r="M71" s="337">
        <f t="shared" si="10"/>
        <v>1.0000000210655733</v>
      </c>
      <c r="N71" s="340">
        <f t="shared" si="11"/>
        <v>2.0525872911256781E-4</v>
      </c>
      <c r="O71" s="341">
        <f t="shared" si="12"/>
        <v>1.000000082846294</v>
      </c>
      <c r="P71" s="342">
        <f t="shared" si="13"/>
        <v>4.9485291896001241E-4</v>
      </c>
      <c r="Q71" s="343">
        <f t="shared" si="14"/>
        <v>32.745774792464523</v>
      </c>
      <c r="R71" s="344">
        <f t="shared" si="15"/>
        <v>-88.313931744587251</v>
      </c>
      <c r="S71" s="346">
        <f t="shared" si="16"/>
        <v>91.686068255412749</v>
      </c>
      <c r="U71" s="319">
        <f t="shared" si="23"/>
        <v>1000000000</v>
      </c>
      <c r="V71" s="319">
        <f t="shared" si="24"/>
        <v>43651.744900000005</v>
      </c>
      <c r="X71" s="345">
        <f t="shared" si="17"/>
        <v>34.119596562406549</v>
      </c>
      <c r="Y71" s="346">
        <f t="shared" si="18"/>
        <v>-87.984490725504017</v>
      </c>
      <c r="AA71" s="345">
        <f t="shared" si="19"/>
        <v>35.458928388152977</v>
      </c>
      <c r="AB71" s="346">
        <f t="shared" si="20"/>
        <v>-0.32944101908322093</v>
      </c>
      <c r="AD71">
        <f t="shared" si="25"/>
        <v>0</v>
      </c>
      <c r="AE71">
        <f t="shared" si="26"/>
        <v>0</v>
      </c>
    </row>
    <row r="72" spans="1:31" x14ac:dyDescent="0.2">
      <c r="A72" s="347">
        <v>229.09</v>
      </c>
      <c r="B72" s="364">
        <f t="shared" si="22"/>
        <v>0.22909000000000002</v>
      </c>
      <c r="C72" s="337">
        <f t="shared" si="0"/>
        <v>1.0000166787708888</v>
      </c>
      <c r="D72" s="338">
        <f t="shared" si="1"/>
        <v>5.7755586871291679E-3</v>
      </c>
      <c r="E72" s="338">
        <f t="shared" si="2"/>
        <v>1.0000000000915372</v>
      </c>
      <c r="F72" s="339">
        <f t="shared" si="3"/>
        <v>1.3530500250718105E-5</v>
      </c>
      <c r="G72" s="338">
        <f t="shared" si="4"/>
        <v>1</v>
      </c>
      <c r="H72" s="339">
        <f t="shared" si="5"/>
        <v>0</v>
      </c>
      <c r="I72" s="337">
        <f t="shared" si="6"/>
        <v>1658.244376716837</v>
      </c>
      <c r="J72" s="340">
        <f t="shared" si="7"/>
        <v>1.5701932793341895</v>
      </c>
      <c r="K72" s="348">
        <f t="shared" si="8"/>
        <v>1.0007250438472888</v>
      </c>
      <c r="L72" s="349">
        <f t="shared" si="9"/>
        <v>3.8068518340979442E-2</v>
      </c>
      <c r="M72" s="337">
        <f t="shared" si="10"/>
        <v>1.0000000253270109</v>
      </c>
      <c r="N72" s="340">
        <f t="shared" si="11"/>
        <v>2.2506448149527862E-4</v>
      </c>
      <c r="O72" s="341">
        <f t="shared" si="12"/>
        <v>1.000000099605596</v>
      </c>
      <c r="P72" s="342">
        <f t="shared" si="13"/>
        <v>5.4260208797489971E-4</v>
      </c>
      <c r="Q72" s="343">
        <f t="shared" si="14"/>
        <v>31.946702594698234</v>
      </c>
      <c r="R72" s="344">
        <f t="shared" si="15"/>
        <v>-88.158406544184047</v>
      </c>
      <c r="S72" s="346">
        <f t="shared" si="16"/>
        <v>91.841593455815953</v>
      </c>
      <c r="U72" s="319">
        <f t="shared" si="23"/>
        <v>1000000000</v>
      </c>
      <c r="V72" s="319">
        <f t="shared" si="24"/>
        <v>52482.2281</v>
      </c>
      <c r="X72" s="345">
        <f t="shared" si="17"/>
        <v>33.320548884867321</v>
      </c>
      <c r="Y72" s="346">
        <f t="shared" si="18"/>
        <v>-87.797177837631779</v>
      </c>
      <c r="AA72" s="345">
        <f t="shared" si="19"/>
        <v>35.458903867925919</v>
      </c>
      <c r="AB72" s="346">
        <f t="shared" si="20"/>
        <v>-0.36122870655226508</v>
      </c>
      <c r="AD72">
        <f t="shared" si="25"/>
        <v>0</v>
      </c>
      <c r="AE72">
        <f t="shared" si="26"/>
        <v>0</v>
      </c>
    </row>
    <row r="73" spans="1:31" x14ac:dyDescent="0.2">
      <c r="A73" s="347">
        <v>251.19</v>
      </c>
      <c r="B73" s="364">
        <f t="shared" si="22"/>
        <v>0.25119000000000002</v>
      </c>
      <c r="C73" s="337">
        <f t="shared" si="0"/>
        <v>1.0000200519095941</v>
      </c>
      <c r="D73" s="338">
        <f t="shared" si="1"/>
        <v>6.3327047197693437E-3</v>
      </c>
      <c r="E73" s="338">
        <f t="shared" si="2"/>
        <v>1.00000000011005</v>
      </c>
      <c r="F73" s="339">
        <f t="shared" si="3"/>
        <v>1.483576916467735E-5</v>
      </c>
      <c r="G73" s="338">
        <f t="shared" si="4"/>
        <v>1</v>
      </c>
      <c r="H73" s="339">
        <f t="shared" si="5"/>
        <v>0</v>
      </c>
      <c r="I73" s="337">
        <f t="shared" si="6"/>
        <v>1818.2128955713131</v>
      </c>
      <c r="J73" s="340">
        <f t="shared" si="7"/>
        <v>1.5702463361679184</v>
      </c>
      <c r="K73" s="348">
        <f t="shared" si="8"/>
        <v>1.000871615378061</v>
      </c>
      <c r="L73" s="349">
        <f t="shared" si="9"/>
        <v>4.1736860306287669E-2</v>
      </c>
      <c r="M73" s="337">
        <f t="shared" si="10"/>
        <v>1.0000000304492334</v>
      </c>
      <c r="N73" s="340">
        <f t="shared" si="11"/>
        <v>2.4677614437009941E-4</v>
      </c>
      <c r="O73" s="341">
        <f t="shared" si="12"/>
        <v>1.0000001197501767</v>
      </c>
      <c r="P73" s="342">
        <f t="shared" si="13"/>
        <v>5.9494616563528289E-4</v>
      </c>
      <c r="Q73" s="343">
        <f t="shared" si="14"/>
        <v>31.14802115752784</v>
      </c>
      <c r="R73" s="344">
        <f t="shared" si="15"/>
        <v>-87.987356375436946</v>
      </c>
      <c r="S73" s="346">
        <f t="shared" si="16"/>
        <v>92.012643624563054</v>
      </c>
      <c r="U73" s="319">
        <f t="shared" si="23"/>
        <v>1000000000</v>
      </c>
      <c r="V73" s="319">
        <f t="shared" si="24"/>
        <v>63096.416100000002</v>
      </c>
      <c r="X73" s="345">
        <f t="shared" si="17"/>
        <v>32.521896920682167</v>
      </c>
      <c r="Y73" s="346">
        <f t="shared" si="18"/>
        <v>-87.591281244269553</v>
      </c>
      <c r="AA73" s="345">
        <f t="shared" si="19"/>
        <v>35.458874394940679</v>
      </c>
      <c r="AB73" s="346">
        <f t="shared" si="20"/>
        <v>-0.39607513116736848</v>
      </c>
      <c r="AD73">
        <f t="shared" si="25"/>
        <v>0</v>
      </c>
      <c r="AE73">
        <f t="shared" si="26"/>
        <v>0</v>
      </c>
    </row>
    <row r="74" spans="1:31" x14ac:dyDescent="0.2">
      <c r="A74" s="347">
        <v>275.42</v>
      </c>
      <c r="B74" s="364">
        <f t="shared" si="22"/>
        <v>0.27542</v>
      </c>
      <c r="C74" s="337">
        <f t="shared" si="0"/>
        <v>1.0000241068859603</v>
      </c>
      <c r="D74" s="338">
        <f t="shared" si="1"/>
        <v>6.9435440065316349E-3</v>
      </c>
      <c r="E74" s="338">
        <f t="shared" si="2"/>
        <v>1.0000000001323051</v>
      </c>
      <c r="F74" s="339">
        <f t="shared" si="3"/>
        <v>1.6266840014629612E-5</v>
      </c>
      <c r="G74" s="338">
        <f t="shared" si="4"/>
        <v>1</v>
      </c>
      <c r="H74" s="339">
        <f t="shared" si="5"/>
        <v>0</v>
      </c>
      <c r="I74" s="337">
        <f t="shared" si="6"/>
        <v>1993.5991996423672</v>
      </c>
      <c r="J74" s="340">
        <f t="shared" si="7"/>
        <v>1.5702947214360492</v>
      </c>
      <c r="K74" s="348">
        <f t="shared" si="8"/>
        <v>1.001047786752554</v>
      </c>
      <c r="L74" s="349">
        <f t="shared" si="9"/>
        <v>4.57574625370544E-2</v>
      </c>
      <c r="M74" s="337">
        <f t="shared" si="10"/>
        <v>1.0000000366068718</v>
      </c>
      <c r="N74" s="340">
        <f t="shared" si="11"/>
        <v>2.7058037900952117E-4</v>
      </c>
      <c r="O74" s="341">
        <f t="shared" si="12"/>
        <v>1.0000001439668209</v>
      </c>
      <c r="P74" s="342">
        <f t="shared" si="13"/>
        <v>6.5233516830282305E-4</v>
      </c>
      <c r="Q74" s="343">
        <f t="shared" si="14"/>
        <v>30.349652072042286</v>
      </c>
      <c r="R74" s="344">
        <f t="shared" si="15"/>
        <v>-87.799333656547844</v>
      </c>
      <c r="S74" s="346">
        <f t="shared" si="16"/>
        <v>92.200666343452156</v>
      </c>
      <c r="U74" s="319">
        <f t="shared" si="23"/>
        <v>1000000000</v>
      </c>
      <c r="V74" s="319">
        <f t="shared" si="24"/>
        <v>75856.176400000011</v>
      </c>
      <c r="X74" s="345">
        <f t="shared" si="17"/>
        <v>31.723563265645936</v>
      </c>
      <c r="Y74" s="346">
        <f t="shared" si="18"/>
        <v>-87.365053858921115</v>
      </c>
      <c r="AA74" s="345">
        <f t="shared" si="19"/>
        <v>35.458838964491349</v>
      </c>
      <c r="AB74" s="346">
        <f t="shared" si="20"/>
        <v>-0.43427979762671293</v>
      </c>
      <c r="AD74">
        <f t="shared" si="25"/>
        <v>0</v>
      </c>
      <c r="AE74">
        <f t="shared" si="26"/>
        <v>0</v>
      </c>
    </row>
    <row r="75" spans="1:31" x14ac:dyDescent="0.2">
      <c r="A75" s="347">
        <v>302</v>
      </c>
      <c r="B75" s="364">
        <f t="shared" si="22"/>
        <v>0.30199999999999999</v>
      </c>
      <c r="C75" s="337">
        <f t="shared" si="0"/>
        <v>1.0000289843117554</v>
      </c>
      <c r="D75" s="338">
        <f t="shared" si="1"/>
        <v>7.6136209121949981E-3</v>
      </c>
      <c r="E75" s="338">
        <f t="shared" si="2"/>
        <v>1.0000000001590741</v>
      </c>
      <c r="F75" s="339">
        <f t="shared" si="3"/>
        <v>1.7836706427748431E-5</v>
      </c>
      <c r="G75" s="338">
        <f t="shared" si="4"/>
        <v>1</v>
      </c>
      <c r="H75" s="339">
        <f t="shared" si="5"/>
        <v>0</v>
      </c>
      <c r="I75" s="337">
        <f t="shared" si="6"/>
        <v>2185.9957357710064</v>
      </c>
      <c r="J75" s="340">
        <f t="shared" si="7"/>
        <v>1.5703388693449509</v>
      </c>
      <c r="K75" s="348">
        <f t="shared" si="8"/>
        <v>1.0012596499166746</v>
      </c>
      <c r="L75" s="349">
        <f t="shared" si="9"/>
        <v>5.0166304856842044E-2</v>
      </c>
      <c r="M75" s="337">
        <f t="shared" si="10"/>
        <v>1.0000000440134647</v>
      </c>
      <c r="N75" s="340">
        <f t="shared" si="11"/>
        <v>2.9669331950253272E-4</v>
      </c>
      <c r="O75" s="341">
        <f t="shared" si="12"/>
        <v>1.0000001730953287</v>
      </c>
      <c r="P75" s="342">
        <f t="shared" si="13"/>
        <v>7.1529016743872157E-4</v>
      </c>
      <c r="Q75" s="343">
        <f t="shared" si="14"/>
        <v>29.551218294513298</v>
      </c>
      <c r="R75" s="344">
        <f t="shared" si="15"/>
        <v>-87.592660936658078</v>
      </c>
      <c r="S75" s="346">
        <f t="shared" si="16"/>
        <v>92.407339063341922</v>
      </c>
      <c r="U75" s="319">
        <f t="shared" si="23"/>
        <v>1000000000</v>
      </c>
      <c r="V75" s="319">
        <f t="shared" si="24"/>
        <v>91204</v>
      </c>
      <c r="X75" s="345">
        <f t="shared" si="17"/>
        <v>30.925172104549009</v>
      </c>
      <c r="Y75" s="346">
        <f t="shared" si="18"/>
        <v>-87.116471451309891</v>
      </c>
      <c r="AA75" s="345">
        <f t="shared" si="19"/>
        <v>35.458796348059295</v>
      </c>
      <c r="AB75" s="346">
        <f t="shared" si="20"/>
        <v>-0.47618948534816397</v>
      </c>
      <c r="AD75">
        <f t="shared" si="25"/>
        <v>0</v>
      </c>
      <c r="AE75">
        <f t="shared" si="26"/>
        <v>0</v>
      </c>
    </row>
    <row r="76" spans="1:31" x14ac:dyDescent="0.2">
      <c r="A76" s="347">
        <v>331.13</v>
      </c>
      <c r="B76" s="364">
        <f t="shared" si="22"/>
        <v>0.33112999999999998</v>
      </c>
      <c r="C76" s="337">
        <f t="shared" si="0"/>
        <v>1.0000348453548831</v>
      </c>
      <c r="D76" s="338">
        <f t="shared" si="1"/>
        <v>8.3479749737120461E-3</v>
      </c>
      <c r="E76" s="338">
        <f t="shared" si="2"/>
        <v>1.0000000001912417</v>
      </c>
      <c r="F76" s="339">
        <f t="shared" si="3"/>
        <v>1.9557180792363169E-5</v>
      </c>
      <c r="G76" s="338">
        <f t="shared" si="4"/>
        <v>1</v>
      </c>
      <c r="H76" s="339">
        <f t="shared" si="5"/>
        <v>0</v>
      </c>
      <c r="I76" s="337">
        <f t="shared" si="6"/>
        <v>2396.8501829346378</v>
      </c>
      <c r="J76" s="340">
        <f t="shared" si="7"/>
        <v>1.5703791125542523</v>
      </c>
      <c r="K76" s="348">
        <f t="shared" si="8"/>
        <v>1.0015141810342745</v>
      </c>
      <c r="L76" s="349">
        <f t="shared" si="9"/>
        <v>5.4995870382578887E-2</v>
      </c>
      <c r="M76" s="337">
        <f t="shared" si="10"/>
        <v>1.0000000529137725</v>
      </c>
      <c r="N76" s="340">
        <f t="shared" si="11"/>
        <v>3.2531145133754563E-4</v>
      </c>
      <c r="O76" s="341">
        <f t="shared" si="12"/>
        <v>1.0000002080982913</v>
      </c>
      <c r="P76" s="342">
        <f t="shared" si="13"/>
        <v>7.8428486403196468E-4</v>
      </c>
      <c r="Q76" s="343">
        <f t="shared" si="14"/>
        <v>28.753543203562995</v>
      </c>
      <c r="R76" s="344">
        <f t="shared" si="15"/>
        <v>-87.36582259650794</v>
      </c>
      <c r="S76" s="346">
        <f t="shared" si="16"/>
        <v>92.63417740349206</v>
      </c>
      <c r="U76" s="319">
        <f t="shared" si="23"/>
        <v>1000000000</v>
      </c>
      <c r="V76" s="319">
        <f t="shared" si="24"/>
        <v>109647.0769</v>
      </c>
      <c r="X76" s="345">
        <f t="shared" si="17"/>
        <v>30.127548224100202</v>
      </c>
      <c r="Y76" s="346">
        <f t="shared" si="18"/>
        <v>-86.843703193710354</v>
      </c>
      <c r="AA76" s="345">
        <f t="shared" si="19"/>
        <v>35.458745137557798</v>
      </c>
      <c r="AB76" s="346">
        <f t="shared" si="20"/>
        <v>-0.52211940279758939</v>
      </c>
      <c r="AD76">
        <f t="shared" si="25"/>
        <v>0</v>
      </c>
      <c r="AE76">
        <f t="shared" si="26"/>
        <v>0</v>
      </c>
    </row>
    <row r="77" spans="1:31" x14ac:dyDescent="0.2">
      <c r="A77" s="347">
        <v>363.08</v>
      </c>
      <c r="B77" s="364">
        <f t="shared" si="22"/>
        <v>0.36307999999999996</v>
      </c>
      <c r="C77" s="337">
        <f t="shared" ref="C77:C140" si="27">SQRT(1+(A77/pole1)^2)</f>
        <v>1.0000418939159166</v>
      </c>
      <c r="D77" s="338">
        <f t="shared" ref="D77:D140" si="28">ATAN(A77/pole1)</f>
        <v>9.1534095707978425E-3</v>
      </c>
      <c r="E77" s="338">
        <f t="shared" ref="E77:E140" si="29">SQRT(1+(A77/Zero1)^2)</f>
        <v>1.0000000002299272</v>
      </c>
      <c r="F77" s="339">
        <f t="shared" ref="F77:F140" si="30">ATAN(A77/Zero1)</f>
        <v>2.1444209832718529E-5</v>
      </c>
      <c r="G77" s="338">
        <f t="shared" ref="G77:G140" si="31">IF(VIN_nom&gt;Vout, 1, SQRT(1+(A77/z_RHP)^2))</f>
        <v>1</v>
      </c>
      <c r="H77" s="339">
        <f t="shared" ref="H77:H140" si="32">IF(VIN_nom&gt;Vout, 0, -ATAN(A77/z_RHP))</f>
        <v>0</v>
      </c>
      <c r="I77" s="337">
        <f t="shared" ref="I77:I140" si="33">SQRT(1+(A77/Pole2)^2)</f>
        <v>2628.116907789733</v>
      </c>
      <c r="J77" s="340">
        <f t="shared" ref="J77:J140" si="34">ATAN(A77/Pole2)</f>
        <v>1.5704158262086532</v>
      </c>
      <c r="K77" s="348">
        <f t="shared" ref="K77:K140" si="35">SQRT(1+(A77/Zero2)^2)</f>
        <v>1.0018201995461751</v>
      </c>
      <c r="L77" s="349">
        <f t="shared" ref="L77:L140" si="36">ATAN(A77/Zero2)</f>
        <v>6.0290013918162244E-2</v>
      </c>
      <c r="M77" s="337">
        <f t="shared" ref="M77:M140" si="37">SQRT(1+(A77/pole4)^2)</f>
        <v>1.0000000636174591</v>
      </c>
      <c r="N77" s="340">
        <f t="shared" ref="N77:N140" si="38">ATAN(A77/pole4)</f>
        <v>3.5670002992419501E-4</v>
      </c>
      <c r="O77" s="341">
        <f t="shared" ref="O77:O140" si="39">SQRT((1-(V77/pterm2))^2+(A77/pterm1)^2)</f>
        <v>1.0000002501935461</v>
      </c>
      <c r="P77" s="342">
        <f t="shared" ref="P77:P140" si="40">IF((ATAN((A77/pterm1)/(1-A77^2/pterm2))&gt;0),ATAN((A77/pterm1)/(1-A77^2/pterm2)),PI()+ATAN((A77/pterm1)/(1-A77^2/pterm2)))</f>
        <v>8.5995875441970333E-4</v>
      </c>
      <c r="Q77" s="343">
        <f t="shared" ref="Q77:Q140" si="41">20*LOG10(((E77*K77*G77)/(C77*I77*O77*M77))*Adc)</f>
        <v>27.956059317675141</v>
      </c>
      <c r="R77" s="344">
        <f t="shared" ref="R77:R140" si="42">((F77+L77+H77)-(D77+J77+P77+N77))*radconv</f>
        <v>-87.116768164849134</v>
      </c>
      <c r="S77" s="346">
        <f t="shared" ref="S77:S140" si="43">IF(R77&gt;0,R77,R77+180)</f>
        <v>92.883231835150866</v>
      </c>
      <c r="U77" s="319">
        <f t="shared" si="23"/>
        <v>1000000000</v>
      </c>
      <c r="V77" s="319">
        <f t="shared" si="24"/>
        <v>131827.0864</v>
      </c>
      <c r="X77" s="345">
        <f t="shared" ref="X77:X140" si="44">20*LOG10((K77/(I77*M77))*AEA)</f>
        <v>29.330125924185214</v>
      </c>
      <c r="Y77" s="346">
        <f t="shared" ref="Y77:Y140" si="45">(L77-(J77+N77))*radconv</f>
        <v>-86.544273083168406</v>
      </c>
      <c r="AA77" s="345">
        <f t="shared" ref="AA77:AA140" si="46">20*LOG10((E77*G77/(C77*O77))*Acs*Am)</f>
        <v>35.458683551584933</v>
      </c>
      <c r="AB77" s="346">
        <f t="shared" ref="AB77:AB140" si="47">(F77+H77-(D77+P77))*radconv</f>
        <v>-0.57249508168071017</v>
      </c>
      <c r="AD77">
        <f t="shared" si="25"/>
        <v>0</v>
      </c>
      <c r="AE77">
        <f t="shared" ref="AE77:AE89" si="48">IF(AD77&gt;0,S75,0)</f>
        <v>0</v>
      </c>
    </row>
    <row r="78" spans="1:31" x14ac:dyDescent="0.2">
      <c r="A78" s="347">
        <v>398.11</v>
      </c>
      <c r="B78" s="364">
        <f t="shared" ref="B78:B141" si="49">A78/1000</f>
        <v>0.39811000000000002</v>
      </c>
      <c r="C78" s="337">
        <f t="shared" si="27"/>
        <v>1.0000503675279899</v>
      </c>
      <c r="D78" s="338">
        <f t="shared" si="28"/>
        <v>1.0036474879904398E-2</v>
      </c>
      <c r="E78" s="338">
        <f t="shared" si="29"/>
        <v>1.000000000276434</v>
      </c>
      <c r="F78" s="339">
        <f t="shared" si="30"/>
        <v>2.3513149653626978E-5</v>
      </c>
      <c r="G78" s="338">
        <f t="shared" si="31"/>
        <v>1</v>
      </c>
      <c r="H78" s="339">
        <f t="shared" si="32"/>
        <v>0</v>
      </c>
      <c r="I78" s="337">
        <f t="shared" si="33"/>
        <v>2881.6778930749338</v>
      </c>
      <c r="J78" s="340">
        <f t="shared" si="34"/>
        <v>1.5704493067402008</v>
      </c>
      <c r="K78" s="348">
        <f t="shared" si="35"/>
        <v>1.0021879668703964</v>
      </c>
      <c r="L78" s="349">
        <f t="shared" si="36"/>
        <v>6.6090619183944183E-2</v>
      </c>
      <c r="M78" s="337">
        <f t="shared" si="37"/>
        <v>1.0000000764852757</v>
      </c>
      <c r="N78" s="340">
        <f t="shared" si="38"/>
        <v>3.9111448632510158E-4</v>
      </c>
      <c r="O78" s="341">
        <f t="shared" si="39"/>
        <v>1.0000003007998488</v>
      </c>
      <c r="P78" s="342">
        <f t="shared" si="40"/>
        <v>9.4292764936581598E-4</v>
      </c>
      <c r="Q78" s="343">
        <f t="shared" si="41"/>
        <v>27.159158075397293</v>
      </c>
      <c r="R78" s="344">
        <f t="shared" si="42"/>
        <v>-86.84353920168347</v>
      </c>
      <c r="S78" s="346">
        <f t="shared" si="43"/>
        <v>93.15646079831653</v>
      </c>
      <c r="U78" s="319">
        <f t="shared" ref="U78:U141" si="50">IF(Q78&lt;0,A78,1000000000)</f>
        <v>1000000000</v>
      </c>
      <c r="V78" s="319">
        <f t="shared" ref="V78:V141" si="51">A78^2</f>
        <v>158491.57210000002</v>
      </c>
      <c r="X78" s="345">
        <f t="shared" si="44"/>
        <v>28.533298718528254</v>
      </c>
      <c r="Y78" s="346">
        <f t="shared" si="45"/>
        <v>-86.215812978701962</v>
      </c>
      <c r="AA78" s="345">
        <f t="shared" si="46"/>
        <v>35.458609514964046</v>
      </c>
      <c r="AB78" s="346">
        <f t="shared" si="47"/>
        <v>-0.62772622298151393</v>
      </c>
      <c r="AD78">
        <f t="shared" ref="AD78:AD141" si="52">SUM((Q79&lt;0)*(Q78&gt;0))*A78</f>
        <v>0</v>
      </c>
      <c r="AE78">
        <f t="shared" si="48"/>
        <v>0</v>
      </c>
    </row>
    <row r="79" spans="1:31" x14ac:dyDescent="0.2">
      <c r="A79" s="347">
        <v>436.52</v>
      </c>
      <c r="B79" s="364">
        <f t="shared" si="49"/>
        <v>0.43651999999999996</v>
      </c>
      <c r="C79" s="337">
        <f t="shared" si="27"/>
        <v>1.0000605550746879</v>
      </c>
      <c r="D79" s="338">
        <f t="shared" si="28"/>
        <v>1.1004727991334812E-2</v>
      </c>
      <c r="E79" s="338">
        <f t="shared" si="29"/>
        <v>1.0000000003323484</v>
      </c>
      <c r="F79" s="339">
        <f t="shared" si="30"/>
        <v>2.5781718837554059E-5</v>
      </c>
      <c r="G79" s="338">
        <f t="shared" si="31"/>
        <v>1</v>
      </c>
      <c r="H79" s="339">
        <f t="shared" si="32"/>
        <v>0</v>
      </c>
      <c r="I79" s="337">
        <f t="shared" si="33"/>
        <v>3159.7046573621615</v>
      </c>
      <c r="J79" s="340">
        <f t="shared" si="34"/>
        <v>1.5704798415137917</v>
      </c>
      <c r="K79" s="348">
        <f t="shared" si="35"/>
        <v>1.0026299470349731</v>
      </c>
      <c r="L79" s="349">
        <f t="shared" si="36"/>
        <v>7.2445787863935115E-2</v>
      </c>
      <c r="M79" s="337">
        <f t="shared" si="37"/>
        <v>1.0000000919559746</v>
      </c>
      <c r="N79" s="340">
        <f t="shared" si="38"/>
        <v>4.2884954864174654E-4</v>
      </c>
      <c r="O79" s="341">
        <f t="shared" si="39"/>
        <v>1.0000003616427169</v>
      </c>
      <c r="P79" s="342">
        <f t="shared" si="40"/>
        <v>1.0339020994075358E-3</v>
      </c>
      <c r="Q79" s="343">
        <f t="shared" si="41"/>
        <v>26.362877585208881</v>
      </c>
      <c r="R79" s="344">
        <f t="shared" si="42"/>
        <v>-86.543885720725925</v>
      </c>
      <c r="S79" s="346">
        <f t="shared" si="43"/>
        <v>93.456114279274075</v>
      </c>
      <c r="U79" s="319">
        <f t="shared" si="50"/>
        <v>1000000000</v>
      </c>
      <c r="V79" s="319">
        <f t="shared" si="51"/>
        <v>190549.71039999998</v>
      </c>
      <c r="X79" s="345">
        <f t="shared" si="44"/>
        <v>27.737107239327358</v>
      </c>
      <c r="Y79" s="346">
        <f t="shared" si="45"/>
        <v>-85.855600208298711</v>
      </c>
      <c r="AA79" s="345">
        <f t="shared" si="46"/>
        <v>35.45852050397653</v>
      </c>
      <c r="AB79" s="346">
        <f t="shared" si="47"/>
        <v>-0.6882855124272278</v>
      </c>
      <c r="AD79">
        <f t="shared" si="52"/>
        <v>0</v>
      </c>
      <c r="AE79">
        <f t="shared" si="48"/>
        <v>0</v>
      </c>
    </row>
    <row r="80" spans="1:31" x14ac:dyDescent="0.2">
      <c r="A80" s="347">
        <v>478.63</v>
      </c>
      <c r="B80" s="364">
        <f t="shared" si="49"/>
        <v>0.47863</v>
      </c>
      <c r="C80" s="337">
        <f t="shared" si="27"/>
        <v>1.0000728013485893</v>
      </c>
      <c r="D80" s="338">
        <f t="shared" si="28"/>
        <v>1.2066228256312614E-2</v>
      </c>
      <c r="E80" s="338">
        <f t="shared" si="29"/>
        <v>1.000000000399563</v>
      </c>
      <c r="F80" s="339">
        <f t="shared" si="30"/>
        <v>2.8268817205776486E-5</v>
      </c>
      <c r="G80" s="338">
        <f t="shared" si="31"/>
        <v>1</v>
      </c>
      <c r="H80" s="339">
        <f t="shared" si="32"/>
        <v>0</v>
      </c>
      <c r="I80" s="337">
        <f t="shared" si="33"/>
        <v>3464.5134871536739</v>
      </c>
      <c r="J80" s="340">
        <f t="shared" si="34"/>
        <v>1.5705076859748814</v>
      </c>
      <c r="K80" s="348">
        <f t="shared" si="35"/>
        <v>1.0031609919758684</v>
      </c>
      <c r="L80" s="349">
        <f t="shared" si="36"/>
        <v>7.9406395404502061E-2</v>
      </c>
      <c r="M80" s="337">
        <f t="shared" si="37"/>
        <v>1.0000001105532432</v>
      </c>
      <c r="N80" s="340">
        <f t="shared" si="38"/>
        <v>4.7021959342423241E-4</v>
      </c>
      <c r="O80" s="341">
        <f t="shared" si="39"/>
        <v>1.000000434781694</v>
      </c>
      <c r="P80" s="342">
        <f t="shared" si="40"/>
        <v>1.1336400244578296E-3</v>
      </c>
      <c r="Q80" s="343">
        <f t="shared" si="41"/>
        <v>25.567454386283433</v>
      </c>
      <c r="R80" s="344">
        <f t="shared" si="42"/>
        <v>-86.215429531555046</v>
      </c>
      <c r="S80" s="346">
        <f t="shared" si="43"/>
        <v>93.784570468444954</v>
      </c>
      <c r="U80" s="319">
        <f t="shared" si="50"/>
        <v>1000000000</v>
      </c>
      <c r="V80" s="319">
        <f t="shared" si="51"/>
        <v>229086.67689999999</v>
      </c>
      <c r="X80" s="345">
        <f t="shared" si="44"/>
        <v>26.94179103778643</v>
      </c>
      <c r="Y80" s="346">
        <f t="shared" si="45"/>
        <v>-85.460752471993658</v>
      </c>
      <c r="AA80" s="345">
        <f t="shared" si="46"/>
        <v>35.458413506592009</v>
      </c>
      <c r="AB80" s="346">
        <f t="shared" si="47"/>
        <v>-0.75467705956137876</v>
      </c>
      <c r="AD80">
        <f t="shared" si="52"/>
        <v>0</v>
      </c>
      <c r="AE80">
        <f t="shared" si="48"/>
        <v>0</v>
      </c>
    </row>
    <row r="81" spans="1:31" x14ac:dyDescent="0.2">
      <c r="A81" s="347">
        <v>524.80999999999995</v>
      </c>
      <c r="B81" s="364">
        <f t="shared" si="49"/>
        <v>0.52481</v>
      </c>
      <c r="C81" s="337">
        <f t="shared" si="27"/>
        <v>1.0000875267087119</v>
      </c>
      <c r="D81" s="338">
        <f t="shared" si="28"/>
        <v>1.3230292898096935E-2</v>
      </c>
      <c r="E81" s="338">
        <f t="shared" si="29"/>
        <v>1.0000000004803853</v>
      </c>
      <c r="F81" s="339">
        <f t="shared" si="30"/>
        <v>3.099629767662742E-5</v>
      </c>
      <c r="G81" s="338">
        <f t="shared" si="31"/>
        <v>1</v>
      </c>
      <c r="H81" s="339">
        <f t="shared" si="32"/>
        <v>0</v>
      </c>
      <c r="I81" s="337">
        <f t="shared" si="33"/>
        <v>3798.7825887431627</v>
      </c>
      <c r="J81" s="340">
        <f t="shared" si="34"/>
        <v>1.5705330845618422</v>
      </c>
      <c r="K81" s="348">
        <f t="shared" si="35"/>
        <v>1.0037991761057041</v>
      </c>
      <c r="L81" s="349">
        <f t="shared" si="36"/>
        <v>8.7030877922500999E-2</v>
      </c>
      <c r="M81" s="337">
        <f t="shared" si="37"/>
        <v>1.0000001329155688</v>
      </c>
      <c r="N81" s="340">
        <f t="shared" si="38"/>
        <v>5.1558811847561255E-4</v>
      </c>
      <c r="O81" s="341">
        <f t="shared" si="39"/>
        <v>1.0000005227278108</v>
      </c>
      <c r="P81" s="342">
        <f t="shared" si="40"/>
        <v>1.2430177688171392E-3</v>
      </c>
      <c r="Q81" s="343">
        <f t="shared" si="41"/>
        <v>24.772805860591323</v>
      </c>
      <c r="R81" s="344">
        <f t="shared" si="42"/>
        <v>-85.855440119797109</v>
      </c>
      <c r="S81" s="346">
        <f t="shared" si="43"/>
        <v>94.144559880202891</v>
      </c>
      <c r="U81" s="319">
        <f t="shared" si="50"/>
        <v>1000000000</v>
      </c>
      <c r="V81" s="319">
        <f t="shared" si="51"/>
        <v>275425.53609999997</v>
      </c>
      <c r="X81" s="345">
        <f t="shared" si="44"/>
        <v>26.147271167882732</v>
      </c>
      <c r="Y81" s="346">
        <f t="shared" si="45"/>
        <v>-85.027956459093119</v>
      </c>
      <c r="AA81" s="345">
        <f t="shared" si="46"/>
        <v>35.458284850803594</v>
      </c>
      <c r="AB81" s="346">
        <f t="shared" si="47"/>
        <v>-0.82748366070398727</v>
      </c>
      <c r="AD81">
        <f t="shared" si="52"/>
        <v>0</v>
      </c>
      <c r="AE81">
        <f t="shared" si="48"/>
        <v>0</v>
      </c>
    </row>
    <row r="82" spans="1:31" x14ac:dyDescent="0.2">
      <c r="A82" s="347">
        <v>575.44000000000005</v>
      </c>
      <c r="B82" s="364">
        <f t="shared" si="49"/>
        <v>0.57544000000000006</v>
      </c>
      <c r="C82" s="337">
        <f t="shared" si="27"/>
        <v>1.0001052283220726</v>
      </c>
      <c r="D82" s="338">
        <f t="shared" si="28"/>
        <v>1.4506487886554727E-2</v>
      </c>
      <c r="E82" s="338">
        <f t="shared" si="29"/>
        <v>1.0000000005775445</v>
      </c>
      <c r="F82" s="339">
        <f t="shared" si="30"/>
        <v>3.3986603787814955E-5</v>
      </c>
      <c r="G82" s="338">
        <f t="shared" si="31"/>
        <v>1</v>
      </c>
      <c r="H82" s="339">
        <f t="shared" si="32"/>
        <v>0</v>
      </c>
      <c r="I82" s="337">
        <f t="shared" si="33"/>
        <v>4165.262552399422</v>
      </c>
      <c r="J82" s="340">
        <f t="shared" si="34"/>
        <v>1.5705562458883449</v>
      </c>
      <c r="K82" s="348">
        <f t="shared" si="35"/>
        <v>1.0045658242269144</v>
      </c>
      <c r="L82" s="349">
        <f t="shared" si="36"/>
        <v>9.537839747006889E-2</v>
      </c>
      <c r="M82" s="337">
        <f t="shared" si="37"/>
        <v>1.0000001597981469</v>
      </c>
      <c r="N82" s="340">
        <f t="shared" si="38"/>
        <v>5.6532844568207895E-4</v>
      </c>
      <c r="O82" s="341">
        <f t="shared" si="39"/>
        <v>1.0000006284510845</v>
      </c>
      <c r="P82" s="342">
        <f t="shared" si="40"/>
        <v>1.3629353604551115E-3</v>
      </c>
      <c r="Q82" s="343">
        <f t="shared" si="41"/>
        <v>23.979323395250791</v>
      </c>
      <c r="R82" s="344">
        <f t="shared" si="42"/>
        <v>-85.461159463590022</v>
      </c>
      <c r="S82" s="346">
        <f t="shared" si="43"/>
        <v>94.538840536409978</v>
      </c>
      <c r="U82" s="319">
        <f t="shared" si="50"/>
        <v>1000000000</v>
      </c>
      <c r="V82" s="319">
        <f t="shared" si="51"/>
        <v>331131.19360000006</v>
      </c>
      <c r="X82" s="345">
        <f t="shared" si="44"/>
        <v>25.353943359441491</v>
      </c>
      <c r="Y82" s="346">
        <f t="shared" si="45"/>
        <v>-84.553855776149859</v>
      </c>
      <c r="AA82" s="345">
        <f t="shared" si="46"/>
        <v>35.45813019390431</v>
      </c>
      <c r="AB82" s="346">
        <f t="shared" si="47"/>
        <v>-0.9073036874401792</v>
      </c>
      <c r="AD82">
        <f t="shared" si="52"/>
        <v>0</v>
      </c>
      <c r="AE82">
        <f t="shared" si="48"/>
        <v>0</v>
      </c>
    </row>
    <row r="83" spans="1:31" x14ac:dyDescent="0.2">
      <c r="A83" s="347">
        <v>630.96</v>
      </c>
      <c r="B83" s="364">
        <f t="shared" si="49"/>
        <v>0.63096000000000008</v>
      </c>
      <c r="C83" s="337">
        <f t="shared" si="27"/>
        <v>1.0001265119602529</v>
      </c>
      <c r="D83" s="338">
        <f t="shared" si="28"/>
        <v>1.5905887209619007E-2</v>
      </c>
      <c r="E83" s="338">
        <f t="shared" si="29"/>
        <v>1.000000000694367</v>
      </c>
      <c r="F83" s="339">
        <f t="shared" si="30"/>
        <v>3.7265722793496479E-5</v>
      </c>
      <c r="G83" s="338">
        <f t="shared" si="31"/>
        <v>1</v>
      </c>
      <c r="H83" s="339">
        <f t="shared" si="32"/>
        <v>0</v>
      </c>
      <c r="I83" s="337">
        <f t="shared" si="33"/>
        <v>4567.1382721379969</v>
      </c>
      <c r="J83" s="340">
        <f t="shared" si="34"/>
        <v>1.5705773713027691</v>
      </c>
      <c r="K83" s="348">
        <f t="shared" si="35"/>
        <v>1.0054868520768059</v>
      </c>
      <c r="L83" s="349">
        <f t="shared" si="36"/>
        <v>0.10451680274812583</v>
      </c>
      <c r="M83" s="337">
        <f t="shared" si="37"/>
        <v>1.0000001921212012</v>
      </c>
      <c r="N83" s="340">
        <f t="shared" si="38"/>
        <v>6.1987284234872662E-4</v>
      </c>
      <c r="O83" s="341">
        <f t="shared" si="39"/>
        <v>1.0000007555705461</v>
      </c>
      <c r="P83" s="342">
        <f t="shared" si="40"/>
        <v>1.4944349359956336E-3</v>
      </c>
      <c r="Q83" s="343">
        <f t="shared" si="41"/>
        <v>23.187061534542387</v>
      </c>
      <c r="R83" s="344">
        <f t="shared" si="42"/>
        <v>-85.029429136067748</v>
      </c>
      <c r="S83" s="346">
        <f t="shared" si="43"/>
        <v>94.970570863932252</v>
      </c>
      <c r="U83" s="319">
        <f t="shared" si="50"/>
        <v>1000000000</v>
      </c>
      <c r="V83" s="319">
        <f t="shared" si="51"/>
        <v>398110.52160000004</v>
      </c>
      <c r="X83" s="345">
        <f t="shared" si="44"/>
        <v>24.561867447777445</v>
      </c>
      <c r="Y83" s="346">
        <f t="shared" si="45"/>
        <v>-84.034599282455844</v>
      </c>
      <c r="AA83" s="345">
        <f t="shared" si="46"/>
        <v>35.457944244859952</v>
      </c>
      <c r="AB83" s="346">
        <f t="shared" si="47"/>
        <v>-0.99482985361192688</v>
      </c>
      <c r="AD83">
        <f t="shared" si="52"/>
        <v>0</v>
      </c>
      <c r="AE83">
        <f t="shared" si="48"/>
        <v>0</v>
      </c>
    </row>
    <row r="84" spans="1:31" x14ac:dyDescent="0.2">
      <c r="A84" s="347">
        <v>691.83</v>
      </c>
      <c r="B84" s="364">
        <f t="shared" si="49"/>
        <v>0.69183000000000006</v>
      </c>
      <c r="C84" s="337">
        <f t="shared" si="27"/>
        <v>1.0001520971775648</v>
      </c>
      <c r="D84" s="338">
        <f t="shared" si="28"/>
        <v>1.7440063194101713E-2</v>
      </c>
      <c r="E84" s="338">
        <f t="shared" si="29"/>
        <v>1.0000000008348033</v>
      </c>
      <c r="F84" s="339">
        <f t="shared" si="30"/>
        <v>4.0860823186590099E-5</v>
      </c>
      <c r="G84" s="338">
        <f t="shared" si="31"/>
        <v>1</v>
      </c>
      <c r="H84" s="339">
        <f t="shared" si="32"/>
        <v>0</v>
      </c>
      <c r="I84" s="337">
        <f t="shared" si="33"/>
        <v>5007.7394099019393</v>
      </c>
      <c r="J84" s="340">
        <f t="shared" si="34"/>
        <v>1.5705966358915184</v>
      </c>
      <c r="K84" s="348">
        <f t="shared" si="35"/>
        <v>1.0065929368701505</v>
      </c>
      <c r="L84" s="349">
        <f t="shared" si="36"/>
        <v>0.11451565086156669</v>
      </c>
      <c r="M84" s="337">
        <f t="shared" si="37"/>
        <v>1.0000002309778901</v>
      </c>
      <c r="N84" s="340">
        <f t="shared" si="38"/>
        <v>6.7967322399689568E-4</v>
      </c>
      <c r="O84" s="341">
        <f t="shared" si="39"/>
        <v>1.0000009083853458</v>
      </c>
      <c r="P84" s="342">
        <f t="shared" si="40"/>
        <v>1.6386059997615641E-3</v>
      </c>
      <c r="Q84" s="343">
        <f t="shared" si="41"/>
        <v>22.396436105238642</v>
      </c>
      <c r="R84" s="344">
        <f t="shared" si="42"/>
        <v>-84.557023646089988</v>
      </c>
      <c r="S84" s="346">
        <f t="shared" si="43"/>
        <v>95.442976353910012</v>
      </c>
      <c r="U84" s="319">
        <f t="shared" si="50"/>
        <v>1000000000</v>
      </c>
      <c r="V84" s="319">
        <f t="shared" si="51"/>
        <v>478628.74890000006</v>
      </c>
      <c r="X84" s="345">
        <f t="shared" si="44"/>
        <v>23.771465544005821</v>
      </c>
      <c r="Y84" s="346">
        <f t="shared" si="45"/>
        <v>-83.466237574024973</v>
      </c>
      <c r="AA84" s="345">
        <f t="shared" si="46"/>
        <v>35.457720719327831</v>
      </c>
      <c r="AB84" s="346">
        <f t="shared" si="47"/>
        <v>-1.0907860720650091</v>
      </c>
      <c r="AD84">
        <f t="shared" si="52"/>
        <v>0</v>
      </c>
      <c r="AE84">
        <f t="shared" si="48"/>
        <v>0</v>
      </c>
    </row>
    <row r="85" spans="1:31" x14ac:dyDescent="0.2">
      <c r="A85" s="347">
        <v>758.58</v>
      </c>
      <c r="B85" s="364">
        <f t="shared" si="49"/>
        <v>0.75858000000000003</v>
      </c>
      <c r="C85" s="337">
        <f t="shared" si="27"/>
        <v>1.0001828598971505</v>
      </c>
      <c r="D85" s="338">
        <f t="shared" si="28"/>
        <v>1.912234487257455E-2</v>
      </c>
      <c r="E85" s="338">
        <f t="shared" si="29"/>
        <v>1.0000000010036636</v>
      </c>
      <c r="F85" s="339">
        <f t="shared" si="30"/>
        <v>4.4803207795837365E-5</v>
      </c>
      <c r="G85" s="338">
        <f t="shared" si="31"/>
        <v>1</v>
      </c>
      <c r="H85" s="339">
        <f t="shared" si="32"/>
        <v>0</v>
      </c>
      <c r="I85" s="337">
        <f t="shared" si="33"/>
        <v>5490.902315338295</v>
      </c>
      <c r="J85" s="340">
        <f t="shared" si="34"/>
        <v>1.5706142073638636</v>
      </c>
      <c r="K85" s="348">
        <f t="shared" si="35"/>
        <v>1.0079212826294812</v>
      </c>
      <c r="L85" s="349">
        <f t="shared" si="36"/>
        <v>0.12545393356794177</v>
      </c>
      <c r="M85" s="337">
        <f t="shared" si="37"/>
        <v>1.0000002776990509</v>
      </c>
      <c r="N85" s="340">
        <f t="shared" si="38"/>
        <v>7.4525027564628307E-4</v>
      </c>
      <c r="O85" s="341">
        <f t="shared" si="39"/>
        <v>1.0000010921293647</v>
      </c>
      <c r="P85" s="342">
        <f t="shared" si="40"/>
        <v>1.7967038483726223E-3</v>
      </c>
      <c r="Q85" s="343">
        <f t="shared" si="41"/>
        <v>21.607581758988573</v>
      </c>
      <c r="R85" s="344">
        <f t="shared" si="42"/>
        <v>-84.040290368405792</v>
      </c>
      <c r="S85" s="346">
        <f t="shared" si="43"/>
        <v>95.959709631594208</v>
      </c>
      <c r="U85" s="319">
        <f t="shared" si="50"/>
        <v>1000000000</v>
      </c>
      <c r="V85" s="319">
        <f t="shared" si="51"/>
        <v>575443.61640000006</v>
      </c>
      <c r="X85" s="345">
        <f t="shared" si="44"/>
        <v>22.982879949111993</v>
      </c>
      <c r="Y85" s="346">
        <f t="shared" si="45"/>
        <v>-82.844284198615696</v>
      </c>
      <c r="AA85" s="345">
        <f t="shared" si="46"/>
        <v>35.457451967971586</v>
      </c>
      <c r="AB85" s="346">
        <f t="shared" si="47"/>
        <v>-1.196006169790103</v>
      </c>
      <c r="AD85">
        <f t="shared" si="52"/>
        <v>0</v>
      </c>
      <c r="AE85">
        <f t="shared" si="48"/>
        <v>0</v>
      </c>
    </row>
    <row r="86" spans="1:31" x14ac:dyDescent="0.2">
      <c r="A86" s="347">
        <v>831.76</v>
      </c>
      <c r="B86" s="364">
        <f t="shared" si="49"/>
        <v>0.83175999999999994</v>
      </c>
      <c r="C86" s="337">
        <f t="shared" si="27"/>
        <v>1.0002198384875181</v>
      </c>
      <c r="D86" s="338">
        <f t="shared" si="28"/>
        <v>2.0966555317358693E-2</v>
      </c>
      <c r="E86" s="338">
        <f t="shared" si="29"/>
        <v>1.0000000012066506</v>
      </c>
      <c r="F86" s="339">
        <f t="shared" si="30"/>
        <v>4.9125360688685111E-5</v>
      </c>
      <c r="G86" s="338">
        <f t="shared" si="31"/>
        <v>1</v>
      </c>
      <c r="H86" s="339">
        <f t="shared" si="32"/>
        <v>0</v>
      </c>
      <c r="I86" s="337">
        <f t="shared" si="33"/>
        <v>6020.608106019894</v>
      </c>
      <c r="J86" s="340">
        <f t="shared" si="34"/>
        <v>1.5706302306154096</v>
      </c>
      <c r="K86" s="348">
        <f t="shared" si="35"/>
        <v>1.0095157726648432</v>
      </c>
      <c r="L86" s="349">
        <f t="shared" si="36"/>
        <v>0.13741122288715388</v>
      </c>
      <c r="M86" s="337">
        <f t="shared" si="37"/>
        <v>1.0000003338625212</v>
      </c>
      <c r="N86" s="340">
        <f t="shared" si="38"/>
        <v>8.1714433027790725E-4</v>
      </c>
      <c r="O86" s="341">
        <f t="shared" si="39"/>
        <v>1.0000013130078804</v>
      </c>
      <c r="P86" s="342">
        <f t="shared" si="40"/>
        <v>1.9700311443080361E-3</v>
      </c>
      <c r="Q86" s="343">
        <f t="shared" si="41"/>
        <v>20.82105526165677</v>
      </c>
      <c r="R86" s="344">
        <f t="shared" si="42"/>
        <v>-83.475574202375356</v>
      </c>
      <c r="S86" s="346">
        <f t="shared" si="43"/>
        <v>96.524425797624644</v>
      </c>
      <c r="U86" s="319">
        <f t="shared" si="50"/>
        <v>1000000000</v>
      </c>
      <c r="V86" s="319">
        <f t="shared" si="51"/>
        <v>691824.69759999996</v>
      </c>
      <c r="X86" s="345">
        <f t="shared" si="44"/>
        <v>22.196676495837391</v>
      </c>
      <c r="Y86" s="346">
        <f t="shared" si="45"/>
        <v>-82.164219276021043</v>
      </c>
      <c r="AA86" s="345">
        <f t="shared" si="46"/>
        <v>35.457128923914382</v>
      </c>
      <c r="AB86" s="346">
        <f t="shared" si="47"/>
        <v>-1.3113549263543278</v>
      </c>
      <c r="AD86">
        <f t="shared" si="52"/>
        <v>0</v>
      </c>
      <c r="AE86">
        <f t="shared" si="48"/>
        <v>0</v>
      </c>
    </row>
    <row r="87" spans="1:31" x14ac:dyDescent="0.2">
      <c r="A87" s="347">
        <v>912.01</v>
      </c>
      <c r="B87" s="364">
        <f t="shared" si="49"/>
        <v>0.91200999999999999</v>
      </c>
      <c r="C87" s="337">
        <f t="shared" si="27"/>
        <v>1.0002643000301066</v>
      </c>
      <c r="D87" s="338">
        <f t="shared" si="28"/>
        <v>2.2988772526790435E-2</v>
      </c>
      <c r="E87" s="338">
        <f t="shared" si="29"/>
        <v>1.0000000014507235</v>
      </c>
      <c r="F87" s="339">
        <f t="shared" si="30"/>
        <v>5.3865081507162639E-5</v>
      </c>
      <c r="G87" s="338">
        <f t="shared" si="31"/>
        <v>1</v>
      </c>
      <c r="H87" s="339">
        <f t="shared" si="32"/>
        <v>0</v>
      </c>
      <c r="I87" s="337">
        <f t="shared" si="33"/>
        <v>6601.4893551366031</v>
      </c>
      <c r="J87" s="340">
        <f t="shared" si="34"/>
        <v>1.5706448458259776</v>
      </c>
      <c r="K87" s="348">
        <f t="shared" si="35"/>
        <v>1.0114296718976916</v>
      </c>
      <c r="L87" s="349">
        <f t="shared" si="36"/>
        <v>0.15047829563963011</v>
      </c>
      <c r="M87" s="337">
        <f t="shared" si="37"/>
        <v>1.0000004013939225</v>
      </c>
      <c r="N87" s="340">
        <f t="shared" si="38"/>
        <v>8.9598413857986889E-4</v>
      </c>
      <c r="O87" s="341">
        <f t="shared" si="39"/>
        <v>1.0000015785939238</v>
      </c>
      <c r="P87" s="342">
        <f t="shared" si="40"/>
        <v>2.1601037099886248E-3</v>
      </c>
      <c r="Q87" s="343">
        <f t="shared" si="41"/>
        <v>20.03708653828393</v>
      </c>
      <c r="R87" s="344">
        <f t="shared" si="42"/>
        <v>-82.858723961693698</v>
      </c>
      <c r="S87" s="346">
        <f t="shared" si="43"/>
        <v>97.141276038306302</v>
      </c>
      <c r="U87" s="319">
        <f t="shared" si="50"/>
        <v>1000000000</v>
      </c>
      <c r="V87" s="319">
        <f t="shared" si="51"/>
        <v>831762.24009999994</v>
      </c>
      <c r="X87" s="345">
        <f t="shared" si="44"/>
        <v>21.413096171782779</v>
      </c>
      <c r="Y87" s="346">
        <f t="shared" si="45"/>
        <v>-81.420885734019947</v>
      </c>
      <c r="AA87" s="345">
        <f t="shared" si="46"/>
        <v>35.456740524596157</v>
      </c>
      <c r="AB87" s="346">
        <f t="shared" si="47"/>
        <v>-1.4378382276737696</v>
      </c>
      <c r="AD87">
        <f t="shared" si="52"/>
        <v>0</v>
      </c>
      <c r="AE87">
        <f t="shared" si="48"/>
        <v>0</v>
      </c>
    </row>
    <row r="88" spans="1:31" x14ac:dyDescent="0.2">
      <c r="A88" s="347">
        <v>1000</v>
      </c>
      <c r="B88" s="364">
        <f t="shared" si="49"/>
        <v>1</v>
      </c>
      <c r="C88" s="337">
        <f t="shared" si="27"/>
        <v>1.000317750620298</v>
      </c>
      <c r="D88" s="338">
        <f t="shared" si="28"/>
        <v>2.5205813028942734E-2</v>
      </c>
      <c r="E88" s="338">
        <f t="shared" si="29"/>
        <v>1.0000000017441564</v>
      </c>
      <c r="F88" s="339">
        <f t="shared" si="30"/>
        <v>5.9061941751324489E-5</v>
      </c>
      <c r="G88" s="338">
        <f t="shared" si="31"/>
        <v>1</v>
      </c>
      <c r="H88" s="339">
        <f t="shared" si="32"/>
        <v>0</v>
      </c>
      <c r="I88" s="337">
        <f t="shared" si="33"/>
        <v>7238.3957877591183</v>
      </c>
      <c r="J88" s="340">
        <f t="shared" si="34"/>
        <v>1.5706581746362551</v>
      </c>
      <c r="K88" s="348">
        <f t="shared" si="35"/>
        <v>1.013725844407471</v>
      </c>
      <c r="L88" s="349">
        <f t="shared" si="36"/>
        <v>0.16474624475339464</v>
      </c>
      <c r="M88" s="337">
        <f t="shared" si="37"/>
        <v>1.0000004825825062</v>
      </c>
      <c r="N88" s="340">
        <f t="shared" si="38"/>
        <v>9.8242792303165232E-4</v>
      </c>
      <c r="O88" s="341">
        <f t="shared" si="39"/>
        <v>1.0000018978905909</v>
      </c>
      <c r="P88" s="342">
        <f t="shared" si="40"/>
        <v>2.3685084155378056E-3</v>
      </c>
      <c r="Q88" s="343">
        <f t="shared" si="41"/>
        <v>19.256307525095082</v>
      </c>
      <c r="R88" s="344">
        <f t="shared" si="42"/>
        <v>-82.18561725867032</v>
      </c>
      <c r="S88" s="346">
        <f t="shared" si="43"/>
        <v>97.81438274132968</v>
      </c>
      <c r="U88" s="319">
        <f t="shared" si="50"/>
        <v>1000000000</v>
      </c>
      <c r="V88" s="319">
        <f t="shared" si="51"/>
        <v>1000000</v>
      </c>
      <c r="X88" s="345">
        <f t="shared" si="44"/>
        <v>20.632784060269771</v>
      </c>
      <c r="Y88" s="346">
        <f t="shared" si="45"/>
        <v>-80.609109015155269</v>
      </c>
      <c r="AA88" s="345">
        <f t="shared" si="46"/>
        <v>35.456273622920321</v>
      </c>
      <c r="AB88" s="346">
        <f t="shared" si="47"/>
        <v>-1.5765082435150395</v>
      </c>
      <c r="AD88">
        <f t="shared" si="52"/>
        <v>0</v>
      </c>
      <c r="AE88">
        <f t="shared" si="48"/>
        <v>0</v>
      </c>
    </row>
    <row r="89" spans="1:31" x14ac:dyDescent="0.2">
      <c r="A89" s="347">
        <v>1096.5</v>
      </c>
      <c r="B89" s="364">
        <f t="shared" si="49"/>
        <v>1.0965</v>
      </c>
      <c r="C89" s="337">
        <f t="shared" si="27"/>
        <v>1.000382023188374</v>
      </c>
      <c r="D89" s="338">
        <f t="shared" si="28"/>
        <v>2.7636990064422096E-2</v>
      </c>
      <c r="E89" s="338">
        <f t="shared" si="29"/>
        <v>1.0000000020970206</v>
      </c>
      <c r="F89" s="339">
        <f t="shared" si="30"/>
        <v>6.4761419115092646E-5</v>
      </c>
      <c r="G89" s="338">
        <f t="shared" si="31"/>
        <v>1</v>
      </c>
      <c r="H89" s="339">
        <f t="shared" si="32"/>
        <v>0</v>
      </c>
      <c r="I89" s="337">
        <f t="shared" si="33"/>
        <v>7936.9009685328328</v>
      </c>
      <c r="J89" s="340">
        <f t="shared" si="34"/>
        <v>1.5706703330340308</v>
      </c>
      <c r="K89" s="348">
        <f t="shared" si="35"/>
        <v>1.0164802093184928</v>
      </c>
      <c r="L89" s="349">
        <f t="shared" si="36"/>
        <v>0.18031647815710253</v>
      </c>
      <c r="M89" s="337">
        <f t="shared" si="37"/>
        <v>1.0000005802148302</v>
      </c>
      <c r="N89" s="340">
        <f t="shared" si="38"/>
        <v>1.077232147489113E-3</v>
      </c>
      <c r="O89" s="341">
        <f t="shared" si="39"/>
        <v>1.0000022818567686</v>
      </c>
      <c r="P89" s="342">
        <f t="shared" si="40"/>
        <v>2.5970689717035966E-3</v>
      </c>
      <c r="Q89" s="343">
        <f t="shared" si="41"/>
        <v>18.479140743120844</v>
      </c>
      <c r="R89" s="344">
        <f t="shared" si="42"/>
        <v>-81.451702287200405</v>
      </c>
      <c r="S89" s="346">
        <f t="shared" si="43"/>
        <v>98.548297712799595</v>
      </c>
      <c r="U89" s="319">
        <f t="shared" si="50"/>
        <v>1000000000</v>
      </c>
      <c r="V89" s="319">
        <f t="shared" si="51"/>
        <v>1202312.25</v>
      </c>
      <c r="X89" s="345">
        <f t="shared" si="44"/>
        <v>19.85617867948363</v>
      </c>
      <c r="Y89" s="346">
        <f t="shared" si="45"/>
        <v>-79.723128860896423</v>
      </c>
      <c r="AA89" s="345">
        <f t="shared" si="46"/>
        <v>35.45571222173222</v>
      </c>
      <c r="AB89" s="346">
        <f t="shared" si="47"/>
        <v>-1.7285734263039823</v>
      </c>
      <c r="AD89">
        <f t="shared" si="52"/>
        <v>0</v>
      </c>
      <c r="AE89">
        <f t="shared" si="48"/>
        <v>0</v>
      </c>
    </row>
    <row r="90" spans="1:31" x14ac:dyDescent="0.2">
      <c r="A90" s="347">
        <v>1202.3</v>
      </c>
      <c r="B90" s="364">
        <f t="shared" si="49"/>
        <v>1.2022999999999999</v>
      </c>
      <c r="C90" s="337">
        <f t="shared" si="27"/>
        <v>1.0004592840606905</v>
      </c>
      <c r="D90" s="338">
        <f t="shared" si="28"/>
        <v>3.030209051149196E-2</v>
      </c>
      <c r="E90" s="338">
        <f t="shared" si="29"/>
        <v>1.0000000025212223</v>
      </c>
      <c r="F90" s="339">
        <f t="shared" si="30"/>
        <v>7.1010172530831052E-5</v>
      </c>
      <c r="G90" s="338">
        <f t="shared" si="31"/>
        <v>1</v>
      </c>
      <c r="H90" s="339">
        <f t="shared" si="32"/>
        <v>0</v>
      </c>
      <c r="I90" s="337">
        <f t="shared" si="33"/>
        <v>8702.7232300258984</v>
      </c>
      <c r="J90" s="340">
        <f t="shared" si="34"/>
        <v>1.5706814202333792</v>
      </c>
      <c r="K90" s="348">
        <f t="shared" si="35"/>
        <v>1.01978156762711</v>
      </c>
      <c r="L90" s="349">
        <f t="shared" si="36"/>
        <v>0.19728602065886169</v>
      </c>
      <c r="M90" s="337">
        <f t="shared" si="37"/>
        <v>1.0000006975851421</v>
      </c>
      <c r="N90" s="340">
        <f t="shared" si="38"/>
        <v>1.1811729225574886E-3</v>
      </c>
      <c r="O90" s="341">
        <f t="shared" si="39"/>
        <v>1.0000027434479519</v>
      </c>
      <c r="P90" s="342">
        <f t="shared" si="40"/>
        <v>2.8476564463485719E-3</v>
      </c>
      <c r="Q90" s="343">
        <f t="shared" si="41"/>
        <v>17.706545320147828</v>
      </c>
      <c r="R90" s="344">
        <f t="shared" si="42"/>
        <v>-80.65270832322237</v>
      </c>
      <c r="S90" s="346">
        <f t="shared" si="43"/>
        <v>99.34729167677763</v>
      </c>
      <c r="U90" s="319">
        <f t="shared" si="50"/>
        <v>1000000000</v>
      </c>
      <c r="V90" s="319">
        <f t="shared" si="51"/>
        <v>1445525.2899999998</v>
      </c>
      <c r="X90" s="345">
        <f t="shared" si="44"/>
        <v>19.084258059383373</v>
      </c>
      <c r="Y90" s="346">
        <f t="shared" si="45"/>
        <v>-78.757436311634308</v>
      </c>
      <c r="AA90" s="345">
        <f t="shared" si="46"/>
        <v>35.455037418859462</v>
      </c>
      <c r="AB90" s="346">
        <f t="shared" si="47"/>
        <v>-1.8952720115880539</v>
      </c>
      <c r="AD90">
        <f t="shared" si="52"/>
        <v>0</v>
      </c>
      <c r="AE90">
        <f t="shared" ref="AE90:AE153" si="53">IF(AD90&gt;0,S90,0)</f>
        <v>0</v>
      </c>
    </row>
    <row r="91" spans="1:31" x14ac:dyDescent="0.2">
      <c r="A91" s="347">
        <v>1318.3</v>
      </c>
      <c r="B91" s="364">
        <f t="shared" si="49"/>
        <v>1.3183</v>
      </c>
      <c r="C91" s="337">
        <f t="shared" si="27"/>
        <v>1.0005521588293218</v>
      </c>
      <c r="D91" s="338">
        <f t="shared" si="28"/>
        <v>3.3223632637928713E-2</v>
      </c>
      <c r="E91" s="338">
        <f t="shared" si="29"/>
        <v>1.0000000030311955</v>
      </c>
      <c r="F91" s="339">
        <f t="shared" si="30"/>
        <v>7.7861357743964015E-5</v>
      </c>
      <c r="G91" s="338">
        <f t="shared" si="31"/>
        <v>1</v>
      </c>
      <c r="H91" s="339">
        <f t="shared" si="32"/>
        <v>0</v>
      </c>
      <c r="I91" s="337">
        <f t="shared" si="33"/>
        <v>9542.3771283376955</v>
      </c>
      <c r="J91" s="340">
        <f t="shared" si="34"/>
        <v>1.5706915311042231</v>
      </c>
      <c r="K91" s="348">
        <f t="shared" si="35"/>
        <v>1.0237363526978405</v>
      </c>
      <c r="L91" s="349">
        <f t="shared" si="36"/>
        <v>0.21575985806294187</v>
      </c>
      <c r="M91" s="337">
        <f t="shared" si="37"/>
        <v>1.0000008386871737</v>
      </c>
      <c r="N91" s="340">
        <f t="shared" si="38"/>
        <v>1.2951344234637975E-3</v>
      </c>
      <c r="O91" s="341">
        <f t="shared" si="39"/>
        <v>1.0000032983705356</v>
      </c>
      <c r="P91" s="342">
        <f t="shared" si="40"/>
        <v>3.1224024255843814E-3</v>
      </c>
      <c r="Q91" s="343">
        <f t="shared" si="41"/>
        <v>16.939324244521199</v>
      </c>
      <c r="R91" s="344">
        <f t="shared" si="42"/>
        <v>-79.784085505386116</v>
      </c>
      <c r="S91" s="346">
        <f t="shared" si="43"/>
        <v>100.21591449461388</v>
      </c>
      <c r="U91" s="319">
        <f t="shared" si="50"/>
        <v>1000000000</v>
      </c>
      <c r="V91" s="319">
        <f t="shared" si="51"/>
        <v>1737914.89</v>
      </c>
      <c r="X91" s="345">
        <f t="shared" si="44"/>
        <v>18.317848091540728</v>
      </c>
      <c r="Y91" s="346">
        <f t="shared" si="45"/>
        <v>-77.70607221902371</v>
      </c>
      <c r="AA91" s="345">
        <f t="shared" si="46"/>
        <v>35.45422631107548</v>
      </c>
      <c r="AB91" s="346">
        <f t="shared" si="47"/>
        <v>-2.0780132863623941</v>
      </c>
      <c r="AD91">
        <f t="shared" si="52"/>
        <v>0</v>
      </c>
      <c r="AE91">
        <f t="shared" si="53"/>
        <v>0</v>
      </c>
    </row>
    <row r="92" spans="1:31" x14ac:dyDescent="0.2">
      <c r="A92" s="347">
        <v>1445.4</v>
      </c>
      <c r="B92" s="364">
        <f t="shared" si="49"/>
        <v>1.4454</v>
      </c>
      <c r="C92" s="337">
        <f t="shared" si="27"/>
        <v>1.0006637238124205</v>
      </c>
      <c r="D92" s="338">
        <f t="shared" si="28"/>
        <v>3.6424083035070255E-2</v>
      </c>
      <c r="E92" s="338">
        <f t="shared" si="29"/>
        <v>1.0000000036438588</v>
      </c>
      <c r="F92" s="339">
        <f t="shared" si="30"/>
        <v>8.5368130499248397E-5</v>
      </c>
      <c r="G92" s="338">
        <f t="shared" si="31"/>
        <v>1</v>
      </c>
      <c r="H92" s="339">
        <f t="shared" si="32"/>
        <v>0</v>
      </c>
      <c r="I92" s="337">
        <f t="shared" si="33"/>
        <v>10462.377219574752</v>
      </c>
      <c r="J92" s="340">
        <f t="shared" si="34"/>
        <v>1.5707007462226676</v>
      </c>
      <c r="K92" s="348">
        <f t="shared" si="35"/>
        <v>1.0284673793153098</v>
      </c>
      <c r="L92" s="349">
        <f t="shared" si="36"/>
        <v>0.23583070830333719</v>
      </c>
      <c r="M92" s="337">
        <f t="shared" si="37"/>
        <v>1.0000010082020148</v>
      </c>
      <c r="N92" s="340">
        <f t="shared" si="38"/>
        <v>1.4200008223633788E-3</v>
      </c>
      <c r="O92" s="341">
        <f t="shared" si="39"/>
        <v>1.0000039650341042</v>
      </c>
      <c r="P92" s="342">
        <f t="shared" si="40"/>
        <v>3.4234384733585104E-3</v>
      </c>
      <c r="Q92" s="343">
        <f t="shared" si="41"/>
        <v>16.178920498851699</v>
      </c>
      <c r="R92" s="344">
        <f t="shared" si="42"/>
        <v>-78.841983088269629</v>
      </c>
      <c r="S92" s="346">
        <f t="shared" si="43"/>
        <v>101.15801691173037</v>
      </c>
      <c r="U92" s="319">
        <f t="shared" si="50"/>
        <v>1000000000</v>
      </c>
      <c r="V92" s="319">
        <f t="shared" si="51"/>
        <v>2089181.1600000001</v>
      </c>
      <c r="X92" s="345">
        <f t="shared" si="44"/>
        <v>17.558418583464316</v>
      </c>
      <c r="Y92" s="346">
        <f t="shared" si="45"/>
        <v>-76.563779512759197</v>
      </c>
      <c r="AA92" s="345">
        <f t="shared" si="46"/>
        <v>35.453252073482389</v>
      </c>
      <c r="AB92" s="346">
        <f t="shared" si="47"/>
        <v>-2.2782035755104384</v>
      </c>
      <c r="AD92">
        <f t="shared" si="52"/>
        <v>0</v>
      </c>
      <c r="AE92">
        <f t="shared" si="53"/>
        <v>0</v>
      </c>
    </row>
    <row r="93" spans="1:31" x14ac:dyDescent="0.2">
      <c r="A93" s="347">
        <v>1584.9</v>
      </c>
      <c r="B93" s="364">
        <f t="shared" si="49"/>
        <v>1.5849000000000002</v>
      </c>
      <c r="C93" s="337">
        <f t="shared" si="27"/>
        <v>1.0007979687592088</v>
      </c>
      <c r="D93" s="338">
        <f t="shared" si="28"/>
        <v>3.9935910953175724E-2</v>
      </c>
      <c r="E93" s="338">
        <f t="shared" si="29"/>
        <v>1.0000000043811605</v>
      </c>
      <c r="F93" s="339">
        <f t="shared" si="30"/>
        <v>9.3607271317112359E-5</v>
      </c>
      <c r="G93" s="338">
        <f t="shared" si="31"/>
        <v>1</v>
      </c>
      <c r="H93" s="339">
        <f t="shared" si="32"/>
        <v>0</v>
      </c>
      <c r="I93" s="337">
        <f t="shared" si="33"/>
        <v>11472.13341812462</v>
      </c>
      <c r="J93" s="340">
        <f t="shared" si="34"/>
        <v>1.5707091590498208</v>
      </c>
      <c r="K93" s="348">
        <f t="shared" si="35"/>
        <v>1.0341321760243589</v>
      </c>
      <c r="L93" s="349">
        <f t="shared" si="36"/>
        <v>0.25763850386043241</v>
      </c>
      <c r="M93" s="337">
        <f t="shared" si="37"/>
        <v>1.0000012122024202</v>
      </c>
      <c r="N93" s="340">
        <f t="shared" si="38"/>
        <v>1.5570492578437217E-3</v>
      </c>
      <c r="O93" s="341">
        <f t="shared" si="39"/>
        <v>1.0000047673212999</v>
      </c>
      <c r="P93" s="342">
        <f t="shared" si="40"/>
        <v>3.7538435228037111E-3</v>
      </c>
      <c r="Q93" s="343">
        <f t="shared" si="41"/>
        <v>15.425180877580901</v>
      </c>
      <c r="R93" s="344">
        <f t="shared" si="42"/>
        <v>-77.820494422579259</v>
      </c>
      <c r="S93" s="346">
        <f t="shared" si="43"/>
        <v>102.17950557742074</v>
      </c>
      <c r="U93" s="319">
        <f t="shared" si="50"/>
        <v>1000000000</v>
      </c>
      <c r="V93" s="319">
        <f t="shared" si="51"/>
        <v>2511908.0100000002</v>
      </c>
      <c r="X93" s="345">
        <f t="shared" si="44"/>
        <v>16.80585110955974</v>
      </c>
      <c r="Y93" s="346">
        <f t="shared" si="45"/>
        <v>-75.322619181866784</v>
      </c>
      <c r="AA93" s="345">
        <f t="shared" si="46"/>
        <v>35.45207992611617</v>
      </c>
      <c r="AB93" s="346">
        <f t="shared" si="47"/>
        <v>-2.4978752407124509</v>
      </c>
      <c r="AD93">
        <f t="shared" si="52"/>
        <v>0</v>
      </c>
      <c r="AE93">
        <f t="shared" si="53"/>
        <v>0</v>
      </c>
    </row>
    <row r="94" spans="1:31" x14ac:dyDescent="0.2">
      <c r="A94" s="347">
        <v>1737.8</v>
      </c>
      <c r="B94" s="364">
        <f t="shared" si="49"/>
        <v>1.7378</v>
      </c>
      <c r="C94" s="337">
        <f t="shared" si="27"/>
        <v>1.0009592829605365</v>
      </c>
      <c r="D94" s="338">
        <f t="shared" si="28"/>
        <v>4.3783940767916849E-2</v>
      </c>
      <c r="E94" s="338">
        <f t="shared" si="29"/>
        <v>1.0000000052672633</v>
      </c>
      <c r="F94" s="339">
        <f t="shared" si="30"/>
        <v>1.026378421343823E-4</v>
      </c>
      <c r="G94" s="338">
        <f t="shared" si="31"/>
        <v>1</v>
      </c>
      <c r="H94" s="339">
        <f t="shared" si="32"/>
        <v>0</v>
      </c>
      <c r="I94" s="337">
        <f t="shared" si="33"/>
        <v>12578.884119676537</v>
      </c>
      <c r="J94" s="340">
        <f t="shared" si="34"/>
        <v>1.5707168284871342</v>
      </c>
      <c r="K94" s="348">
        <f t="shared" si="35"/>
        <v>1.0408994430512635</v>
      </c>
      <c r="L94" s="349">
        <f t="shared" si="36"/>
        <v>0.28125593949455102</v>
      </c>
      <c r="M94" s="337">
        <f t="shared" si="37"/>
        <v>1.000001457373769</v>
      </c>
      <c r="N94" s="340">
        <f t="shared" si="38"/>
        <v>1.7072621351620254E-3</v>
      </c>
      <c r="O94" s="341">
        <f t="shared" si="39"/>
        <v>1.0000057315240116</v>
      </c>
      <c r="P94" s="342">
        <f t="shared" si="40"/>
        <v>4.1159859187865459E-3</v>
      </c>
      <c r="Q94" s="343">
        <f t="shared" si="41"/>
        <v>14.680466412823298</v>
      </c>
      <c r="R94" s="344">
        <f t="shared" si="42"/>
        <v>-76.717068711953004</v>
      </c>
      <c r="S94" s="346">
        <f t="shared" si="43"/>
        <v>103.282931288047</v>
      </c>
      <c r="U94" s="319">
        <f t="shared" si="50"/>
        <v>1000000000</v>
      </c>
      <c r="V94" s="319">
        <f t="shared" si="51"/>
        <v>3019948.84</v>
      </c>
      <c r="X94" s="345">
        <f t="shared" si="44"/>
        <v>16.062544939360379</v>
      </c>
      <c r="Y94" s="346">
        <f t="shared" si="45"/>
        <v>-73.978485785862176</v>
      </c>
      <c r="AA94" s="345">
        <f t="shared" si="46"/>
        <v>35.450671631557931</v>
      </c>
      <c r="AB94" s="346">
        <f t="shared" si="47"/>
        <v>-2.7385829260908223</v>
      </c>
      <c r="AD94">
        <f t="shared" si="52"/>
        <v>0</v>
      </c>
      <c r="AE94">
        <f t="shared" si="53"/>
        <v>0</v>
      </c>
    </row>
    <row r="95" spans="1:31" x14ac:dyDescent="0.2">
      <c r="A95" s="347">
        <v>1905.5</v>
      </c>
      <c r="B95" s="364">
        <f t="shared" si="49"/>
        <v>1.9055</v>
      </c>
      <c r="C95" s="337">
        <f t="shared" si="27"/>
        <v>1.0011532486472412</v>
      </c>
      <c r="D95" s="338">
        <f t="shared" si="28"/>
        <v>4.8002946120999583E-2</v>
      </c>
      <c r="E95" s="338">
        <f t="shared" si="29"/>
        <v>1.0000000063329104</v>
      </c>
      <c r="F95" s="339">
        <f t="shared" si="30"/>
        <v>1.1254252966286216E-4</v>
      </c>
      <c r="G95" s="338">
        <f t="shared" si="31"/>
        <v>1</v>
      </c>
      <c r="H95" s="339">
        <f t="shared" si="32"/>
        <v>0</v>
      </c>
      <c r="I95" s="337">
        <f t="shared" si="33"/>
        <v>13792.763078201424</v>
      </c>
      <c r="J95" s="340">
        <f t="shared" si="34"/>
        <v>1.5707238250057187</v>
      </c>
      <c r="K95" s="348">
        <f t="shared" si="35"/>
        <v>1.0489800904930473</v>
      </c>
      <c r="L95" s="349">
        <f t="shared" si="36"/>
        <v>0.30679317925830968</v>
      </c>
      <c r="M95" s="337">
        <f t="shared" si="37"/>
        <v>1.000001752222307</v>
      </c>
      <c r="N95" s="340">
        <f t="shared" si="38"/>
        <v>1.8720148228144233E-3</v>
      </c>
      <c r="O95" s="341">
        <f t="shared" si="39"/>
        <v>1.000006891095083</v>
      </c>
      <c r="P95" s="342">
        <f t="shared" si="40"/>
        <v>4.5131813523182742E-3</v>
      </c>
      <c r="Q95" s="343">
        <f t="shared" si="41"/>
        <v>13.945756987697619</v>
      </c>
      <c r="R95" s="344">
        <f t="shared" si="42"/>
        <v>-75.527654482034166</v>
      </c>
      <c r="S95" s="346">
        <f t="shared" si="43"/>
        <v>104.47234551796583</v>
      </c>
      <c r="U95" s="319">
        <f t="shared" si="50"/>
        <v>1000000000</v>
      </c>
      <c r="V95" s="319">
        <f t="shared" si="51"/>
        <v>3630930.25</v>
      </c>
      <c r="X95" s="345">
        <f t="shared" si="44"/>
        <v>15.32952856369347</v>
      </c>
      <c r="Y95" s="346">
        <f t="shared" si="45"/>
        <v>-72.525150229976575</v>
      </c>
      <c r="AA95" s="345">
        <f t="shared" si="46"/>
        <v>35.448978582099159</v>
      </c>
      <c r="AB95" s="346">
        <f t="shared" si="47"/>
        <v>-3.0025042520575984</v>
      </c>
      <c r="AD95">
        <f t="shared" si="52"/>
        <v>0</v>
      </c>
      <c r="AE95">
        <f t="shared" si="53"/>
        <v>0</v>
      </c>
    </row>
    <row r="96" spans="1:31" x14ac:dyDescent="0.2">
      <c r="A96" s="347">
        <v>2089.3000000000002</v>
      </c>
      <c r="B96" s="364">
        <f t="shared" si="49"/>
        <v>2.0893000000000002</v>
      </c>
      <c r="C96" s="337">
        <f t="shared" si="27"/>
        <v>1.0013862963590277</v>
      </c>
      <c r="D96" s="338">
        <f t="shared" si="28"/>
        <v>5.2625027061844437E-2</v>
      </c>
      <c r="E96" s="338">
        <f t="shared" si="29"/>
        <v>1.0000000076135473</v>
      </c>
      <c r="F96" s="339">
        <f t="shared" si="30"/>
        <v>1.2339811441819444E-4</v>
      </c>
      <c r="G96" s="338">
        <f t="shared" si="31"/>
        <v>1</v>
      </c>
      <c r="H96" s="339">
        <f t="shared" si="32"/>
        <v>0</v>
      </c>
      <c r="I96" s="337">
        <f t="shared" si="33"/>
        <v>15123.180208106303</v>
      </c>
      <c r="J96" s="340">
        <f t="shared" si="34"/>
        <v>1.5707302031365808</v>
      </c>
      <c r="K96" s="348">
        <f t="shared" si="35"/>
        <v>1.0586093733661242</v>
      </c>
      <c r="L96" s="349">
        <f t="shared" si="36"/>
        <v>0.33431435978960855</v>
      </c>
      <c r="M96" s="337">
        <f t="shared" si="37"/>
        <v>1.0000021065551341</v>
      </c>
      <c r="N96" s="340">
        <f t="shared" si="38"/>
        <v>2.0525844373636424E-3</v>
      </c>
      <c r="O96" s="341">
        <f t="shared" si="39"/>
        <v>1.0000082846031793</v>
      </c>
      <c r="P96" s="342">
        <f t="shared" si="40"/>
        <v>4.9485085976109181E-3</v>
      </c>
      <c r="Q96" s="343">
        <f t="shared" si="41"/>
        <v>13.223252931950938</v>
      </c>
      <c r="R96" s="344">
        <f t="shared" si="42"/>
        <v>-74.250664470865473</v>
      </c>
      <c r="S96" s="346">
        <f t="shared" si="43"/>
        <v>105.74933552913453</v>
      </c>
      <c r="U96" s="319">
        <f t="shared" si="50"/>
        <v>1000000000</v>
      </c>
      <c r="V96" s="319">
        <f t="shared" si="51"/>
        <v>4365174.4900000012</v>
      </c>
      <c r="X96" s="345">
        <f t="shared" si="44"/>
        <v>14.609058260255273</v>
      </c>
      <c r="Y96" s="346">
        <f t="shared" si="45"/>
        <v>-70.959014053327508</v>
      </c>
      <c r="AA96" s="345">
        <f t="shared" si="46"/>
        <v>35.446944829790674</v>
      </c>
      <c r="AB96" s="346">
        <f t="shared" si="47"/>
        <v>-3.2916504175379604</v>
      </c>
      <c r="AD96">
        <f t="shared" si="52"/>
        <v>0</v>
      </c>
      <c r="AE96">
        <f t="shared" si="53"/>
        <v>0</v>
      </c>
    </row>
    <row r="97" spans="1:31" x14ac:dyDescent="0.2">
      <c r="A97" s="347">
        <v>2290.9</v>
      </c>
      <c r="B97" s="364">
        <f t="shared" si="49"/>
        <v>2.2909000000000002</v>
      </c>
      <c r="C97" s="337">
        <f t="shared" si="27"/>
        <v>1.0016665023828508</v>
      </c>
      <c r="D97" s="338">
        <f t="shared" si="28"/>
        <v>5.7692136566388191E-2</v>
      </c>
      <c r="E97" s="338">
        <f t="shared" si="29"/>
        <v>1.0000000091537218</v>
      </c>
      <c r="F97" s="339">
        <f t="shared" si="30"/>
        <v>1.3530500168974178E-4</v>
      </c>
      <c r="G97" s="338">
        <f t="shared" si="31"/>
        <v>1</v>
      </c>
      <c r="H97" s="339">
        <f t="shared" si="32"/>
        <v>0</v>
      </c>
      <c r="I97" s="337">
        <f t="shared" si="33"/>
        <v>16582.440782083351</v>
      </c>
      <c r="J97" s="340">
        <f t="shared" si="34"/>
        <v>1.5707360220415887</v>
      </c>
      <c r="K97" s="348">
        <f t="shared" si="35"/>
        <v>1.0700753890805048</v>
      </c>
      <c r="L97" s="349">
        <f t="shared" si="36"/>
        <v>0.3639063047523296</v>
      </c>
      <c r="M97" s="337">
        <f t="shared" si="37"/>
        <v>1.0000025326979198</v>
      </c>
      <c r="N97" s="340">
        <f t="shared" si="38"/>
        <v>2.2506410528252358E-3</v>
      </c>
      <c r="O97" s="341">
        <f t="shared" si="39"/>
        <v>1.0000099605217077</v>
      </c>
      <c r="P97" s="342">
        <f t="shared" si="40"/>
        <v>5.4259937332723799E-3</v>
      </c>
      <c r="Q97" s="343">
        <f t="shared" si="41"/>
        <v>12.514270814532907</v>
      </c>
      <c r="R97" s="344">
        <f t="shared" si="42"/>
        <v>-72.883851779832085</v>
      </c>
      <c r="S97" s="346">
        <f t="shared" si="43"/>
        <v>107.11614822016791</v>
      </c>
      <c r="U97" s="319">
        <f t="shared" si="50"/>
        <v>1000000000</v>
      </c>
      <c r="V97" s="319">
        <f t="shared" si="51"/>
        <v>5248222.8100000005</v>
      </c>
      <c r="X97" s="345">
        <f t="shared" si="44"/>
        <v>13.902520815436983</v>
      </c>
      <c r="Y97" s="346">
        <f t="shared" si="45"/>
        <v>-69.27520170432507</v>
      </c>
      <c r="AA97" s="345">
        <f t="shared" si="46"/>
        <v>35.44450015719093</v>
      </c>
      <c r="AB97" s="346">
        <f t="shared" si="47"/>
        <v>-3.6086500755070032</v>
      </c>
      <c r="AD97">
        <f t="shared" si="52"/>
        <v>0</v>
      </c>
      <c r="AE97">
        <f t="shared" si="53"/>
        <v>0</v>
      </c>
    </row>
    <row r="98" spans="1:31" x14ac:dyDescent="0.2">
      <c r="A98" s="347">
        <v>2511.9</v>
      </c>
      <c r="B98" s="364">
        <f t="shared" si="49"/>
        <v>2.5119000000000002</v>
      </c>
      <c r="C98" s="337">
        <f t="shared" si="27"/>
        <v>1.0020032046489271</v>
      </c>
      <c r="D98" s="338">
        <f t="shared" si="28"/>
        <v>6.3243439678766847E-2</v>
      </c>
      <c r="E98" s="338">
        <f t="shared" si="29"/>
        <v>1.0000000110050022</v>
      </c>
      <c r="F98" s="339">
        <f t="shared" si="30"/>
        <v>1.4835769056920686E-4</v>
      </c>
      <c r="G98" s="338">
        <f t="shared" si="31"/>
        <v>1</v>
      </c>
      <c r="H98" s="339">
        <f t="shared" si="32"/>
        <v>0</v>
      </c>
      <c r="I98" s="337">
        <f t="shared" si="33"/>
        <v>18182.126233259463</v>
      </c>
      <c r="J98" s="340">
        <f t="shared" si="34"/>
        <v>1.5707413277267086</v>
      </c>
      <c r="K98" s="348">
        <f t="shared" si="35"/>
        <v>1.0836969350094736</v>
      </c>
      <c r="L98" s="349">
        <f t="shared" si="36"/>
        <v>0.39559559047114412</v>
      </c>
      <c r="M98" s="337">
        <f t="shared" si="37"/>
        <v>1.0000030449187594</v>
      </c>
      <c r="N98" s="340">
        <f t="shared" si="38"/>
        <v>2.4677564843837898E-3</v>
      </c>
      <c r="O98" s="341">
        <f t="shared" si="39"/>
        <v>1.0000119749628886</v>
      </c>
      <c r="P98" s="342">
        <f t="shared" si="40"/>
        <v>5.9494258713438794E-3</v>
      </c>
      <c r="Q98" s="343">
        <f t="shared" si="41"/>
        <v>11.821274797464529</v>
      </c>
      <c r="R98" s="344">
        <f t="shared" si="42"/>
        <v>-71.428242069482863</v>
      </c>
      <c r="S98" s="346">
        <f t="shared" si="43"/>
        <v>108.57175793051714</v>
      </c>
      <c r="U98" s="319">
        <f t="shared" si="50"/>
        <v>1000000000</v>
      </c>
      <c r="V98" s="319">
        <f t="shared" si="51"/>
        <v>6309641.6100000003</v>
      </c>
      <c r="X98" s="345">
        <f t="shared" si="44"/>
        <v>13.212461481753156</v>
      </c>
      <c r="Y98" s="346">
        <f t="shared" si="45"/>
        <v>-67.472283166052947</v>
      </c>
      <c r="AA98" s="345">
        <f t="shared" si="46"/>
        <v>35.441563473806383</v>
      </c>
      <c r="AB98" s="346">
        <f t="shared" si="47"/>
        <v>-3.9559589034299125</v>
      </c>
      <c r="AD98">
        <f t="shared" si="52"/>
        <v>0</v>
      </c>
      <c r="AE98">
        <f t="shared" si="53"/>
        <v>0</v>
      </c>
    </row>
    <row r="99" spans="1:31" x14ac:dyDescent="0.2">
      <c r="A99" s="347">
        <v>2754.2</v>
      </c>
      <c r="B99" s="364">
        <f t="shared" si="49"/>
        <v>2.7542</v>
      </c>
      <c r="C99" s="337">
        <f t="shared" si="27"/>
        <v>1.0024078188573045</v>
      </c>
      <c r="D99" s="338">
        <f t="shared" si="28"/>
        <v>6.9325283078514363E-2</v>
      </c>
      <c r="E99" s="338">
        <f t="shared" si="29"/>
        <v>1.0000000132305042</v>
      </c>
      <c r="F99" s="339">
        <f t="shared" si="30"/>
        <v>1.6266839872585405E-4</v>
      </c>
      <c r="G99" s="338">
        <f t="shared" si="31"/>
        <v>1</v>
      </c>
      <c r="H99" s="339">
        <f t="shared" si="32"/>
        <v>0</v>
      </c>
      <c r="I99" s="337">
        <f t="shared" si="33"/>
        <v>19935.989513477092</v>
      </c>
      <c r="J99" s="340">
        <f t="shared" si="34"/>
        <v>1.570746166254847</v>
      </c>
      <c r="K99" s="348">
        <f t="shared" si="35"/>
        <v>1.0998486878742402</v>
      </c>
      <c r="L99" s="349">
        <f t="shared" si="36"/>
        <v>0.42939935360364884</v>
      </c>
      <c r="M99" s="337">
        <f t="shared" si="37"/>
        <v>1.0000036606805536</v>
      </c>
      <c r="N99" s="340">
        <f t="shared" si="38"/>
        <v>2.7057972527571019E-3</v>
      </c>
      <c r="O99" s="341">
        <f t="shared" si="39"/>
        <v>1.0000143966029256</v>
      </c>
      <c r="P99" s="342">
        <f t="shared" si="40"/>
        <v>6.5233045115663871E-3</v>
      </c>
      <c r="Q99" s="343">
        <f t="shared" si="41"/>
        <v>11.146381095176528</v>
      </c>
      <c r="R99" s="344">
        <f t="shared" si="42"/>
        <v>-69.885869906512482</v>
      </c>
      <c r="S99" s="346">
        <f t="shared" si="43"/>
        <v>110.11413009348752</v>
      </c>
      <c r="U99" s="319">
        <f t="shared" si="50"/>
        <v>1000000000</v>
      </c>
      <c r="V99" s="319">
        <f t="shared" si="51"/>
        <v>7585617.6399999987</v>
      </c>
      <c r="X99" s="345">
        <f t="shared" si="44"/>
        <v>12.541095494294328</v>
      </c>
      <c r="Y99" s="346">
        <f t="shared" si="45"/>
        <v>-65.549386163324485</v>
      </c>
      <c r="AA99" s="345">
        <f t="shared" si="46"/>
        <v>35.438035758977207</v>
      </c>
      <c r="AB99" s="346">
        <f t="shared" si="47"/>
        <v>-4.3364837431879915</v>
      </c>
      <c r="AD99">
        <f t="shared" si="52"/>
        <v>0</v>
      </c>
      <c r="AE99">
        <f t="shared" si="53"/>
        <v>0</v>
      </c>
    </row>
    <row r="100" spans="1:31" x14ac:dyDescent="0.2">
      <c r="A100" s="347">
        <v>3020</v>
      </c>
      <c r="B100" s="364">
        <f t="shared" si="49"/>
        <v>3.02</v>
      </c>
      <c r="C100" s="337">
        <f t="shared" si="27"/>
        <v>1.0028942847379707</v>
      </c>
      <c r="D100" s="338">
        <f t="shared" si="28"/>
        <v>7.5991067880457147E-2</v>
      </c>
      <c r="E100" s="338">
        <f t="shared" si="29"/>
        <v>1.0000000159074047</v>
      </c>
      <c r="F100" s="339">
        <f t="shared" si="30"/>
        <v>1.7836706240482864E-4</v>
      </c>
      <c r="G100" s="338">
        <f t="shared" si="31"/>
        <v>1</v>
      </c>
      <c r="H100" s="339">
        <f t="shared" si="32"/>
        <v>0</v>
      </c>
      <c r="I100" s="337">
        <f t="shared" si="33"/>
        <v>21859.955093295652</v>
      </c>
      <c r="J100" s="340">
        <f t="shared" si="34"/>
        <v>1.570750581046743</v>
      </c>
      <c r="K100" s="348">
        <f t="shared" si="35"/>
        <v>1.1189676738521832</v>
      </c>
      <c r="L100" s="349">
        <f t="shared" si="36"/>
        <v>0.4653136670447145</v>
      </c>
      <c r="M100" s="337">
        <f t="shared" si="37"/>
        <v>1.0000044013368643</v>
      </c>
      <c r="N100" s="340">
        <f t="shared" si="38"/>
        <v>2.966924576460269E-3</v>
      </c>
      <c r="O100" s="341">
        <f t="shared" si="39"/>
        <v>1.0000173094184286</v>
      </c>
      <c r="P100" s="342">
        <f t="shared" si="40"/>
        <v>7.152839485566111E-3</v>
      </c>
      <c r="Q100" s="343">
        <f t="shared" si="41"/>
        <v>10.491597774721349</v>
      </c>
      <c r="R100" s="344">
        <f t="shared" si="42"/>
        <v>-68.260437329065979</v>
      </c>
      <c r="S100" s="346">
        <f t="shared" si="43"/>
        <v>111.73956267093402</v>
      </c>
      <c r="U100" s="319">
        <f t="shared" si="50"/>
        <v>1000000000</v>
      </c>
      <c r="V100" s="319">
        <f t="shared" si="51"/>
        <v>9120400</v>
      </c>
      <c r="X100" s="345">
        <f t="shared" si="44"/>
        <v>11.890551667508479</v>
      </c>
      <c r="Y100" s="346">
        <f t="shared" si="45"/>
        <v>-63.506862019214353</v>
      </c>
      <c r="AA100" s="345">
        <f t="shared" si="46"/>
        <v>35.433796265307876</v>
      </c>
      <c r="AB100" s="346">
        <f t="shared" si="47"/>
        <v>-4.7535753098516178</v>
      </c>
      <c r="AD100">
        <f t="shared" si="52"/>
        <v>0</v>
      </c>
      <c r="AE100">
        <f t="shared" si="53"/>
        <v>0</v>
      </c>
    </row>
    <row r="101" spans="1:31" x14ac:dyDescent="0.2">
      <c r="A101" s="347">
        <v>3311.3</v>
      </c>
      <c r="B101" s="364">
        <f t="shared" si="49"/>
        <v>3.3113000000000001</v>
      </c>
      <c r="C101" s="337">
        <f t="shared" si="27"/>
        <v>1.0034785460569102</v>
      </c>
      <c r="D101" s="338">
        <f t="shared" si="28"/>
        <v>8.3288562591908838E-2</v>
      </c>
      <c r="E101" s="338">
        <f t="shared" si="29"/>
        <v>1.0000000191241658</v>
      </c>
      <c r="F101" s="339">
        <f t="shared" si="30"/>
        <v>1.9557180545513427E-4</v>
      </c>
      <c r="G101" s="338">
        <f t="shared" si="31"/>
        <v>1</v>
      </c>
      <c r="H101" s="339">
        <f t="shared" si="32"/>
        <v>0</v>
      </c>
      <c r="I101" s="337">
        <f t="shared" si="33"/>
        <v>23968.49976413586</v>
      </c>
      <c r="J101" s="340">
        <f t="shared" si="34"/>
        <v>1.5707546053684356</v>
      </c>
      <c r="K101" s="348">
        <f t="shared" si="35"/>
        <v>1.1415189360126015</v>
      </c>
      <c r="L101" s="349">
        <f t="shared" si="36"/>
        <v>0.50323762349806522</v>
      </c>
      <c r="M101" s="337">
        <f t="shared" si="37"/>
        <v>1.0000052913633926</v>
      </c>
      <c r="N101" s="340">
        <f t="shared" si="38"/>
        <v>3.2531031525665647E-3</v>
      </c>
      <c r="O101" s="341">
        <f t="shared" si="39"/>
        <v>1.0000208096637277</v>
      </c>
      <c r="P101" s="342">
        <f t="shared" si="40"/>
        <v>7.8427666645734806E-3</v>
      </c>
      <c r="Q101" s="343">
        <f t="shared" si="41"/>
        <v>9.8599808355958132</v>
      </c>
      <c r="R101" s="344">
        <f t="shared" si="42"/>
        <v>-66.560841885504658</v>
      </c>
      <c r="S101" s="346">
        <f t="shared" si="43"/>
        <v>113.43915811449534</v>
      </c>
      <c r="U101" s="319">
        <f t="shared" si="50"/>
        <v>1000000000</v>
      </c>
      <c r="V101" s="319">
        <f t="shared" si="51"/>
        <v>10964707.690000001</v>
      </c>
      <c r="X101" s="345">
        <f t="shared" si="44"/>
        <v>11.264023812934505</v>
      </c>
      <c r="Y101" s="346">
        <f t="shared" si="45"/>
        <v>-61.350606770781901</v>
      </c>
      <c r="AA101" s="345">
        <f t="shared" si="46"/>
        <v>35.428707180756319</v>
      </c>
      <c r="AB101" s="346">
        <f t="shared" si="47"/>
        <v>-5.2102351147227477</v>
      </c>
      <c r="AD101">
        <f t="shared" si="52"/>
        <v>0</v>
      </c>
      <c r="AE101">
        <f t="shared" si="53"/>
        <v>0</v>
      </c>
    </row>
    <row r="102" spans="1:31" x14ac:dyDescent="0.2">
      <c r="A102" s="347">
        <v>3630.8</v>
      </c>
      <c r="B102" s="364">
        <f t="shared" si="49"/>
        <v>3.6308000000000002</v>
      </c>
      <c r="C102" s="337">
        <f t="shared" si="27"/>
        <v>1.0041807400529739</v>
      </c>
      <c r="D102" s="338">
        <f t="shared" si="28"/>
        <v>9.1282269235458985E-2</v>
      </c>
      <c r="E102" s="338">
        <f t="shared" si="29"/>
        <v>1.0000000229927064</v>
      </c>
      <c r="F102" s="339">
        <f t="shared" si="30"/>
        <v>2.1444209507298661E-4</v>
      </c>
      <c r="G102" s="338">
        <f t="shared" si="31"/>
        <v>1</v>
      </c>
      <c r="H102" s="339">
        <f t="shared" si="32"/>
        <v>0</v>
      </c>
      <c r="I102" s="337">
        <f t="shared" si="33"/>
        <v>26281.167194419409</v>
      </c>
      <c r="J102" s="340">
        <f t="shared" si="34"/>
        <v>1.5707582767344543</v>
      </c>
      <c r="K102" s="348">
        <f t="shared" si="35"/>
        <v>1.1680630213621983</v>
      </c>
      <c r="L102" s="349">
        <f t="shared" si="36"/>
        <v>0.54308558545183117</v>
      </c>
      <c r="M102" s="337">
        <f t="shared" si="37"/>
        <v>1.0000063617258712</v>
      </c>
      <c r="N102" s="340">
        <f t="shared" si="38"/>
        <v>3.566985322405616E-3</v>
      </c>
      <c r="O102" s="341">
        <f t="shared" si="39"/>
        <v>1.0000250191155184</v>
      </c>
      <c r="P102" s="342">
        <f t="shared" si="40"/>
        <v>8.5994794767922846E-3</v>
      </c>
      <c r="Q102" s="343">
        <f t="shared" si="41"/>
        <v>9.2534462484741926</v>
      </c>
      <c r="R102" s="344">
        <f t="shared" si="42"/>
        <v>-64.796197234545104</v>
      </c>
      <c r="S102" s="346">
        <f t="shared" si="43"/>
        <v>115.2038027654549</v>
      </c>
      <c r="U102" s="319">
        <f t="shared" si="50"/>
        <v>1000000000</v>
      </c>
      <c r="V102" s="319">
        <f t="shared" si="51"/>
        <v>13182708.640000001</v>
      </c>
      <c r="X102" s="345">
        <f t="shared" si="44"/>
        <v>10.663601665438836</v>
      </c>
      <c r="Y102" s="346">
        <f t="shared" si="45"/>
        <v>-59.08568120341927</v>
      </c>
      <c r="AA102" s="345">
        <f t="shared" si="46"/>
        <v>35.422594741130368</v>
      </c>
      <c r="AB102" s="346">
        <f t="shared" si="47"/>
        <v>-5.7105160311258327</v>
      </c>
      <c r="AD102">
        <f t="shared" si="52"/>
        <v>0</v>
      </c>
      <c r="AE102">
        <f t="shared" si="53"/>
        <v>0</v>
      </c>
    </row>
    <row r="103" spans="1:31" x14ac:dyDescent="0.2">
      <c r="A103" s="347">
        <v>3981.1</v>
      </c>
      <c r="B103" s="364">
        <f t="shared" si="49"/>
        <v>3.9811000000000001</v>
      </c>
      <c r="C103" s="337">
        <f t="shared" si="27"/>
        <v>1.0050242580588573</v>
      </c>
      <c r="D103" s="338">
        <f t="shared" si="28"/>
        <v>0.10003311332626935</v>
      </c>
      <c r="E103" s="338">
        <f t="shared" si="29"/>
        <v>1.00000002764341</v>
      </c>
      <c r="F103" s="339">
        <f t="shared" si="30"/>
        <v>2.3513149224637785E-4</v>
      </c>
      <c r="G103" s="338">
        <f t="shared" si="31"/>
        <v>1</v>
      </c>
      <c r="H103" s="339">
        <f t="shared" si="32"/>
        <v>0</v>
      </c>
      <c r="I103" s="337">
        <f t="shared" si="33"/>
        <v>28816.777213000045</v>
      </c>
      <c r="J103" s="340">
        <f t="shared" si="34"/>
        <v>1.570761624788048</v>
      </c>
      <c r="K103" s="348">
        <f t="shared" si="35"/>
        <v>1.1991964367783334</v>
      </c>
      <c r="L103" s="349">
        <f t="shared" si="36"/>
        <v>0.58467458215027546</v>
      </c>
      <c r="M103" s="337">
        <f t="shared" si="37"/>
        <v>1.0000076484986009</v>
      </c>
      <c r="N103" s="340">
        <f t="shared" si="38"/>
        <v>3.9111251198627565E-3</v>
      </c>
      <c r="O103" s="341">
        <f t="shared" si="39"/>
        <v>1.0000300796393051</v>
      </c>
      <c r="P103" s="342">
        <f t="shared" si="40"/>
        <v>9.429134033134055E-3</v>
      </c>
      <c r="Q103" s="343">
        <f t="shared" si="41"/>
        <v>8.674563907883627</v>
      </c>
      <c r="R103" s="344">
        <f t="shared" si="42"/>
        <v>-62.980969557737723</v>
      </c>
      <c r="S103" s="346">
        <f t="shared" si="43"/>
        <v>117.01903044226228</v>
      </c>
      <c r="U103" s="319">
        <f t="shared" si="50"/>
        <v>1000000000</v>
      </c>
      <c r="V103" s="319">
        <f t="shared" si="51"/>
        <v>15849157.209999999</v>
      </c>
      <c r="X103" s="345">
        <f t="shared" si="44"/>
        <v>10.092056376469159</v>
      </c>
      <c r="Y103" s="346">
        <f t="shared" si="45"/>
        <v>-56.722716803012105</v>
      </c>
      <c r="AA103" s="345">
        <f t="shared" si="46"/>
        <v>35.415257689509474</v>
      </c>
      <c r="AB103" s="346">
        <f t="shared" si="47"/>
        <v>-6.2582527547256204</v>
      </c>
      <c r="AD103">
        <f t="shared" si="52"/>
        <v>0</v>
      </c>
      <c r="AE103">
        <f t="shared" si="53"/>
        <v>0</v>
      </c>
    </row>
    <row r="104" spans="1:31" x14ac:dyDescent="0.2">
      <c r="A104" s="347">
        <v>4365.2</v>
      </c>
      <c r="B104" s="364">
        <f t="shared" si="49"/>
        <v>4.3651999999999997</v>
      </c>
      <c r="C104" s="337">
        <f t="shared" si="27"/>
        <v>1.0060374653208994</v>
      </c>
      <c r="D104" s="338">
        <f t="shared" si="28"/>
        <v>0.10961063064485763</v>
      </c>
      <c r="E104" s="338">
        <f t="shared" si="29"/>
        <v>1.0000000332348509</v>
      </c>
      <c r="F104" s="339">
        <f t="shared" si="30"/>
        <v>2.5781718272032029E-4</v>
      </c>
      <c r="G104" s="338">
        <f t="shared" si="31"/>
        <v>1</v>
      </c>
      <c r="H104" s="339">
        <f t="shared" si="32"/>
        <v>0</v>
      </c>
      <c r="I104" s="337">
        <f t="shared" si="33"/>
        <v>31597.045007019464</v>
      </c>
      <c r="J104" s="340">
        <f t="shared" si="34"/>
        <v>1.5707646782657401</v>
      </c>
      <c r="K104" s="348">
        <f t="shared" si="35"/>
        <v>1.2355893610481214</v>
      </c>
      <c r="L104" s="349">
        <f t="shared" si="36"/>
        <v>0.62778518123569327</v>
      </c>
      <c r="M104" s="337">
        <f t="shared" si="37"/>
        <v>1.0000091955556167</v>
      </c>
      <c r="N104" s="340">
        <f t="shared" si="38"/>
        <v>4.2884694594210945E-3</v>
      </c>
      <c r="O104" s="341">
        <f t="shared" si="39"/>
        <v>1.0000361637721762</v>
      </c>
      <c r="P104" s="342">
        <f t="shared" si="40"/>
        <v>1.0338833194435387E-2</v>
      </c>
      <c r="Q104" s="343">
        <f t="shared" si="41"/>
        <v>8.1254008930490027</v>
      </c>
      <c r="R104" s="344">
        <f t="shared" si="42"/>
        <v>-61.132282814032976</v>
      </c>
      <c r="S104" s="346">
        <f t="shared" si="43"/>
        <v>118.86771718596702</v>
      </c>
      <c r="U104" s="319">
        <f t="shared" si="50"/>
        <v>1000000000</v>
      </c>
      <c r="V104" s="319">
        <f t="shared" si="51"/>
        <v>19054971.039999999</v>
      </c>
      <c r="X104" s="345">
        <f t="shared" si="44"/>
        <v>9.5516983574198164</v>
      </c>
      <c r="Y104" s="346">
        <f t="shared" si="45"/>
        <v>-54.27445660980402</v>
      </c>
      <c r="AA104" s="345">
        <f t="shared" si="46"/>
        <v>35.406452693724198</v>
      </c>
      <c r="AB104" s="346">
        <f t="shared" si="47"/>
        <v>-6.8578262042289548</v>
      </c>
      <c r="AD104">
        <f t="shared" si="52"/>
        <v>0</v>
      </c>
      <c r="AE104">
        <f t="shared" si="53"/>
        <v>0</v>
      </c>
    </row>
    <row r="105" spans="1:31" x14ac:dyDescent="0.2">
      <c r="A105" s="347">
        <v>4786.3</v>
      </c>
      <c r="B105" s="364">
        <f t="shared" si="49"/>
        <v>4.7862999999999998</v>
      </c>
      <c r="C105" s="337">
        <f t="shared" si="27"/>
        <v>1.0072540889574484</v>
      </c>
      <c r="D105" s="338">
        <f t="shared" si="28"/>
        <v>0.12008752804817566</v>
      </c>
      <c r="E105" s="338">
        <f t="shared" si="29"/>
        <v>1.0000000399563005</v>
      </c>
      <c r="F105" s="339">
        <f t="shared" si="30"/>
        <v>2.8268816460295053E-4</v>
      </c>
      <c r="G105" s="338">
        <f t="shared" si="31"/>
        <v>1</v>
      </c>
      <c r="H105" s="339">
        <f t="shared" si="32"/>
        <v>0</v>
      </c>
      <c r="I105" s="337">
        <f t="shared" si="33"/>
        <v>34645.133442764665</v>
      </c>
      <c r="J105" s="340">
        <f t="shared" si="34"/>
        <v>1.5707674627121015</v>
      </c>
      <c r="K105" s="348">
        <f t="shared" si="35"/>
        <v>1.2779661897721784</v>
      </c>
      <c r="L105" s="349">
        <f t="shared" si="36"/>
        <v>0.67213622156484487</v>
      </c>
      <c r="M105" s="337">
        <f t="shared" si="37"/>
        <v>1.0000110552638222</v>
      </c>
      <c r="N105" s="340">
        <f t="shared" si="38"/>
        <v>4.7021616250589012E-3</v>
      </c>
      <c r="O105" s="341">
        <f t="shared" si="39"/>
        <v>1.0000434774474305</v>
      </c>
      <c r="P105" s="342">
        <f t="shared" si="40"/>
        <v>1.1336152685701413E-2</v>
      </c>
      <c r="Q105" s="343">
        <f t="shared" si="41"/>
        <v>7.6078122668009476</v>
      </c>
      <c r="R105" s="344">
        <f t="shared" si="42"/>
        <v>-59.271016935147877</v>
      </c>
      <c r="S105" s="346">
        <f t="shared" si="43"/>
        <v>120.72898306485212</v>
      </c>
      <c r="U105" s="319">
        <f t="shared" si="50"/>
        <v>1000000000</v>
      </c>
      <c r="V105" s="319">
        <f t="shared" si="51"/>
        <v>22908667.690000001</v>
      </c>
      <c r="X105" s="345">
        <f t="shared" si="44"/>
        <v>9.044670890622319</v>
      </c>
      <c r="Y105" s="346">
        <f t="shared" si="45"/>
        <v>-51.757191531186187</v>
      </c>
      <c r="AA105" s="345">
        <f t="shared" si="46"/>
        <v>35.395891534273638</v>
      </c>
      <c r="AB105" s="346">
        <f t="shared" si="47"/>
        <v>-7.5138254039616932</v>
      </c>
      <c r="AD105">
        <f t="shared" si="52"/>
        <v>0</v>
      </c>
      <c r="AE105">
        <f t="shared" si="53"/>
        <v>0</v>
      </c>
    </row>
    <row r="106" spans="1:31" x14ac:dyDescent="0.2">
      <c r="A106" s="347">
        <v>5248.1</v>
      </c>
      <c r="B106" s="364">
        <f t="shared" si="49"/>
        <v>5.2481</v>
      </c>
      <c r="C106" s="337">
        <f t="shared" si="27"/>
        <v>1.0087150776283902</v>
      </c>
      <c r="D106" s="338">
        <f t="shared" si="28"/>
        <v>0.13154657712874979</v>
      </c>
      <c r="E106" s="338">
        <f t="shared" si="29"/>
        <v>1.0000000480385223</v>
      </c>
      <c r="F106" s="339">
        <f t="shared" si="30"/>
        <v>3.0996296693876679E-4</v>
      </c>
      <c r="G106" s="338">
        <f t="shared" si="31"/>
        <v>1</v>
      </c>
      <c r="H106" s="339">
        <f t="shared" si="32"/>
        <v>0</v>
      </c>
      <c r="I106" s="337">
        <f t="shared" si="33"/>
        <v>37987.824584382572</v>
      </c>
      <c r="J106" s="340">
        <f t="shared" si="34"/>
        <v>1.5707700025709892</v>
      </c>
      <c r="K106" s="348">
        <f t="shared" si="35"/>
        <v>1.3271317172944952</v>
      </c>
      <c r="L106" s="349">
        <f t="shared" si="36"/>
        <v>0.71741958532788563</v>
      </c>
      <c r="M106" s="337">
        <f t="shared" si="37"/>
        <v>1.0000132914694195</v>
      </c>
      <c r="N106" s="340">
        <f t="shared" si="38"/>
        <v>5.1558359558836571E-3</v>
      </c>
      <c r="O106" s="341">
        <f t="shared" si="39"/>
        <v>1.000052271737502</v>
      </c>
      <c r="P106" s="342">
        <f t="shared" si="40"/>
        <v>1.2429851340304277E-2</v>
      </c>
      <c r="Q106" s="343">
        <f t="shared" si="41"/>
        <v>7.1229766431216435</v>
      </c>
      <c r="R106" s="344">
        <f t="shared" si="42"/>
        <v>-57.420267190336858</v>
      </c>
      <c r="S106" s="346">
        <f t="shared" si="43"/>
        <v>122.57973280966314</v>
      </c>
      <c r="U106" s="319">
        <f t="shared" si="50"/>
        <v>1000000000</v>
      </c>
      <c r="V106" s="319">
        <f t="shared" si="51"/>
        <v>27542553.610000003</v>
      </c>
      <c r="X106" s="345">
        <f t="shared" si="44"/>
        <v>8.5725010462504834</v>
      </c>
      <c r="Y106" s="346">
        <f t="shared" si="45"/>
        <v>-49.188785050097977</v>
      </c>
      <c r="AA106" s="345">
        <f t="shared" si="46"/>
        <v>35.383225754966169</v>
      </c>
      <c r="AB106" s="346">
        <f t="shared" si="47"/>
        <v>-8.2314821402388851</v>
      </c>
      <c r="AD106">
        <f t="shared" si="52"/>
        <v>0</v>
      </c>
      <c r="AE106">
        <f t="shared" si="53"/>
        <v>0</v>
      </c>
    </row>
    <row r="107" spans="1:31" x14ac:dyDescent="0.2">
      <c r="A107" s="347">
        <v>5370.3</v>
      </c>
      <c r="B107" s="364">
        <f t="shared" si="49"/>
        <v>5.3703000000000003</v>
      </c>
      <c r="C107" s="337">
        <f t="shared" si="27"/>
        <v>1.0091238007416345</v>
      </c>
      <c r="D107" s="338">
        <f t="shared" si="28"/>
        <v>0.13457315327635269</v>
      </c>
      <c r="E107" s="338">
        <f t="shared" si="29"/>
        <v>1.0000000503016848</v>
      </c>
      <c r="F107" s="339">
        <f t="shared" si="30"/>
        <v>3.1718033551947589E-4</v>
      </c>
      <c r="G107" s="338">
        <f t="shared" si="31"/>
        <v>1</v>
      </c>
      <c r="H107" s="339">
        <f t="shared" si="32"/>
        <v>0</v>
      </c>
      <c r="I107" s="337">
        <f t="shared" si="33"/>
        <v>38872.356540906134</v>
      </c>
      <c r="J107" s="340">
        <f t="shared" si="34"/>
        <v>1.570770601572937</v>
      </c>
      <c r="K107" s="348">
        <f t="shared" si="35"/>
        <v>1.3405758096910145</v>
      </c>
      <c r="L107" s="349">
        <f t="shared" si="36"/>
        <v>0.72883902897340191</v>
      </c>
      <c r="M107" s="337">
        <f t="shared" si="37"/>
        <v>1.0000139176449008</v>
      </c>
      <c r="N107" s="340">
        <f t="shared" si="38"/>
        <v>5.2758854205282269E-3</v>
      </c>
      <c r="O107" s="341">
        <f t="shared" si="39"/>
        <v>1.0000547342806554</v>
      </c>
      <c r="P107" s="342">
        <f t="shared" si="40"/>
        <v>1.2719259781073999E-2</v>
      </c>
      <c r="Q107" s="343">
        <f t="shared" si="41"/>
        <v>7.0070491828136312</v>
      </c>
      <c r="R107" s="344">
        <f t="shared" si="42"/>
        <v>-56.962472309563957</v>
      </c>
      <c r="S107" s="346">
        <f t="shared" si="43"/>
        <v>123.03752769043604</v>
      </c>
      <c r="U107" s="319">
        <f t="shared" si="50"/>
        <v>1000000000</v>
      </c>
      <c r="V107" s="319">
        <f t="shared" si="51"/>
        <v>28840122.090000004</v>
      </c>
      <c r="X107" s="345">
        <f t="shared" si="44"/>
        <v>8.460113693245253</v>
      </c>
      <c r="Y107" s="346">
        <f t="shared" si="45"/>
        <v>-48.541411772023139</v>
      </c>
      <c r="AA107" s="345">
        <f t="shared" si="46"/>
        <v>35.379685647663386</v>
      </c>
      <c r="AB107" s="346">
        <f t="shared" si="47"/>
        <v>-8.4210605375408214</v>
      </c>
      <c r="AD107">
        <f t="shared" si="52"/>
        <v>0</v>
      </c>
      <c r="AE107">
        <f t="shared" si="53"/>
        <v>0</v>
      </c>
    </row>
    <row r="108" spans="1:31" x14ac:dyDescent="0.2">
      <c r="A108" s="347">
        <v>5432.85</v>
      </c>
      <c r="B108" s="364">
        <f t="shared" si="49"/>
        <v>5.4328500000000002</v>
      </c>
      <c r="C108" s="337">
        <f t="shared" si="27"/>
        <v>1.0093365866606692</v>
      </c>
      <c r="D108" s="338">
        <f t="shared" si="28"/>
        <v>0.13612139839763812</v>
      </c>
      <c r="E108" s="338">
        <f t="shared" si="29"/>
        <v>1.0000000514802758</v>
      </c>
      <c r="F108" s="339">
        <f t="shared" si="30"/>
        <v>3.2087465960430977E-4</v>
      </c>
      <c r="G108" s="338">
        <f t="shared" si="31"/>
        <v>1</v>
      </c>
      <c r="H108" s="339">
        <f t="shared" si="32"/>
        <v>0</v>
      </c>
      <c r="I108" s="337">
        <f t="shared" si="33"/>
        <v>39325.118192961665</v>
      </c>
      <c r="J108" s="340">
        <f t="shared" si="34"/>
        <v>1.5707708977549837</v>
      </c>
      <c r="K108" s="348">
        <f t="shared" si="35"/>
        <v>1.3475240006452036</v>
      </c>
      <c r="L108" s="349">
        <f t="shared" si="36"/>
        <v>0.73459570160594834</v>
      </c>
      <c r="M108" s="337">
        <f t="shared" si="37"/>
        <v>1.0000142437392583</v>
      </c>
      <c r="N108" s="340">
        <f t="shared" si="38"/>
        <v>5.337334576417138E-3</v>
      </c>
      <c r="O108" s="341">
        <f t="shared" si="39"/>
        <v>1.0000560167017565</v>
      </c>
      <c r="P108" s="342">
        <f t="shared" si="40"/>
        <v>1.2867397639376651E-2</v>
      </c>
      <c r="Q108" s="343">
        <f t="shared" si="41"/>
        <v>6.9495231625262495</v>
      </c>
      <c r="R108" s="344">
        <f t="shared" si="42"/>
        <v>-56.733160926676902</v>
      </c>
      <c r="S108" s="346">
        <f t="shared" si="43"/>
        <v>123.2668390733231</v>
      </c>
      <c r="U108" s="319">
        <f t="shared" si="50"/>
        <v>1000000000</v>
      </c>
      <c r="V108" s="319">
        <f t="shared" si="51"/>
        <v>29515859.122500002</v>
      </c>
      <c r="X108" s="345">
        <f t="shared" si="44"/>
        <v>8.4044301325440234</v>
      </c>
      <c r="Y108" s="346">
        <f t="shared" si="45"/>
        <v>-48.215116473035238</v>
      </c>
      <c r="AA108" s="345">
        <f t="shared" si="46"/>
        <v>35.377843188077236</v>
      </c>
      <c r="AB108" s="346">
        <f t="shared" si="47"/>
        <v>-8.5180444536416502</v>
      </c>
      <c r="AD108">
        <f t="shared" si="52"/>
        <v>0</v>
      </c>
      <c r="AE108">
        <f t="shared" si="53"/>
        <v>0</v>
      </c>
    </row>
    <row r="109" spans="1:31" x14ac:dyDescent="0.2">
      <c r="A109" s="347">
        <v>5495.4</v>
      </c>
      <c r="B109" s="364">
        <f t="shared" si="49"/>
        <v>5.4954000000000001</v>
      </c>
      <c r="C109" s="337">
        <f t="shared" si="27"/>
        <v>1.0095517909997584</v>
      </c>
      <c r="D109" s="338">
        <f t="shared" si="28"/>
        <v>0.13766898715402559</v>
      </c>
      <c r="E109" s="338">
        <f t="shared" si="29"/>
        <v>1.0000000526725148</v>
      </c>
      <c r="F109" s="339">
        <f t="shared" si="30"/>
        <v>3.2456898368038494E-4</v>
      </c>
      <c r="G109" s="338">
        <f t="shared" si="31"/>
        <v>1</v>
      </c>
      <c r="H109" s="339">
        <f t="shared" si="32"/>
        <v>0</v>
      </c>
      <c r="I109" s="337">
        <f t="shared" si="33"/>
        <v>39777.879845020565</v>
      </c>
      <c r="J109" s="340">
        <f t="shared" si="34"/>
        <v>1.5707711871945962</v>
      </c>
      <c r="K109" s="348">
        <f t="shared" si="35"/>
        <v>1.3545163885774192</v>
      </c>
      <c r="L109" s="349">
        <f t="shared" si="36"/>
        <v>0.74029312636043476</v>
      </c>
      <c r="M109" s="337">
        <f t="shared" si="37"/>
        <v>1.0000145736096662</v>
      </c>
      <c r="N109" s="340">
        <f t="shared" si="38"/>
        <v>5.3987836919981548E-3</v>
      </c>
      <c r="O109" s="341">
        <f t="shared" si="39"/>
        <v>1.0000573139719466</v>
      </c>
      <c r="P109" s="342">
        <f t="shared" si="40"/>
        <v>1.301553520686999E-2</v>
      </c>
      <c r="Q109" s="343">
        <f t="shared" si="41"/>
        <v>6.8931804858909471</v>
      </c>
      <c r="R109" s="344">
        <f t="shared" si="42"/>
        <v>-56.507206184928982</v>
      </c>
      <c r="S109" s="346">
        <f t="shared" si="43"/>
        <v>123.49279381507102</v>
      </c>
      <c r="U109" s="319">
        <f t="shared" si="50"/>
        <v>1000000000</v>
      </c>
      <c r="V109" s="319">
        <f t="shared" si="51"/>
        <v>30199421.159999996</v>
      </c>
      <c r="X109" s="345">
        <f t="shared" si="44"/>
        <v>8.3499504657028325</v>
      </c>
      <c r="Y109" s="346">
        <f t="shared" si="45"/>
        <v>-47.892215438786664</v>
      </c>
      <c r="AA109" s="345">
        <f t="shared" si="46"/>
        <v>35.375980178283129</v>
      </c>
      <c r="AB109" s="346">
        <f t="shared" si="47"/>
        <v>-8.6149907461423219</v>
      </c>
      <c r="AD109">
        <f t="shared" si="52"/>
        <v>0</v>
      </c>
      <c r="AE109">
        <f t="shared" si="53"/>
        <v>0</v>
      </c>
    </row>
    <row r="110" spans="1:31" x14ac:dyDescent="0.2">
      <c r="A110" s="347">
        <v>5559.4</v>
      </c>
      <c r="B110" s="364">
        <f t="shared" si="49"/>
        <v>5.5593999999999992</v>
      </c>
      <c r="C110" s="337">
        <f t="shared" si="27"/>
        <v>1.0097744856392135</v>
      </c>
      <c r="D110" s="338">
        <f t="shared" si="28"/>
        <v>0.1392517646130095</v>
      </c>
      <c r="E110" s="338">
        <f t="shared" si="29"/>
        <v>1.0000000539065181</v>
      </c>
      <c r="F110" s="339">
        <f t="shared" si="30"/>
        <v>3.2834894755400901E-4</v>
      </c>
      <c r="G110" s="338">
        <f t="shared" si="31"/>
        <v>1</v>
      </c>
      <c r="H110" s="339">
        <f t="shared" si="32"/>
        <v>0</v>
      </c>
      <c r="I110" s="337">
        <f t="shared" si="33"/>
        <v>40241.137170871574</v>
      </c>
      <c r="J110" s="340">
        <f t="shared" si="34"/>
        <v>1.5707714766025211</v>
      </c>
      <c r="K110" s="348">
        <f t="shared" si="35"/>
        <v>1.3617159057323009</v>
      </c>
      <c r="L110" s="349">
        <f t="shared" si="36"/>
        <v>0.7460618710172735</v>
      </c>
      <c r="M110" s="337">
        <f t="shared" si="37"/>
        <v>1.0000149150353119</v>
      </c>
      <c r="N110" s="340">
        <f t="shared" si="38"/>
        <v>5.4616572452724221E-3</v>
      </c>
      <c r="O110" s="341">
        <f t="shared" si="39"/>
        <v>1.0000586566841141</v>
      </c>
      <c r="P110" s="342">
        <f t="shared" si="40"/>
        <v>1.3167106514203386E-2</v>
      </c>
      <c r="Q110" s="343">
        <f t="shared" si="41"/>
        <v>6.8367227401114192</v>
      </c>
      <c r="R110" s="344">
        <f t="shared" si="42"/>
        <v>-56.279454722378539</v>
      </c>
      <c r="S110" s="346">
        <f t="shared" si="43"/>
        <v>123.72054527762145</v>
      </c>
      <c r="U110" s="319">
        <f t="shared" si="50"/>
        <v>1000000000</v>
      </c>
      <c r="V110" s="319">
        <f t="shared" si="51"/>
        <v>30906928.359999996</v>
      </c>
      <c r="X110" s="345">
        <f t="shared" si="44"/>
        <v>8.295420159717855</v>
      </c>
      <c r="Y110" s="346">
        <f t="shared" si="45"/>
        <v>-47.565309687585874</v>
      </c>
      <c r="AA110" s="345">
        <f t="shared" si="46"/>
        <v>35.374052738488572</v>
      </c>
      <c r="AB110" s="346">
        <f t="shared" si="47"/>
        <v>-8.7141450347926543</v>
      </c>
      <c r="AD110">
        <f t="shared" si="52"/>
        <v>0</v>
      </c>
      <c r="AE110">
        <f t="shared" si="53"/>
        <v>0</v>
      </c>
    </row>
    <row r="111" spans="1:31" x14ac:dyDescent="0.2">
      <c r="A111" s="347">
        <v>5623.4</v>
      </c>
      <c r="B111" s="364">
        <f t="shared" si="49"/>
        <v>5.6233999999999993</v>
      </c>
      <c r="C111" s="337">
        <f t="shared" si="27"/>
        <v>1.0099997088308137</v>
      </c>
      <c r="D111" s="338">
        <f t="shared" si="28"/>
        <v>0.14083384013630779</v>
      </c>
      <c r="E111" s="338">
        <f t="shared" si="29"/>
        <v>1.0000000551548094</v>
      </c>
      <c r="F111" s="339">
        <f t="shared" si="30"/>
        <v>3.3212891141825017E-4</v>
      </c>
      <c r="G111" s="338">
        <f t="shared" si="31"/>
        <v>1</v>
      </c>
      <c r="H111" s="339">
        <f t="shared" si="32"/>
        <v>0</v>
      </c>
      <c r="I111" s="337">
        <f t="shared" si="33"/>
        <v>40704.394496725887</v>
      </c>
      <c r="J111" s="340">
        <f t="shared" si="34"/>
        <v>1.5707717594229342</v>
      </c>
      <c r="K111" s="348">
        <f t="shared" si="35"/>
        <v>1.3689602611185054</v>
      </c>
      <c r="L111" s="349">
        <f t="shared" si="36"/>
        <v>0.7517697490992139</v>
      </c>
      <c r="M111" s="337">
        <f t="shared" si="37"/>
        <v>1.0000152604140977</v>
      </c>
      <c r="N111" s="340">
        <f t="shared" si="38"/>
        <v>5.5245307553655138E-3</v>
      </c>
      <c r="O111" s="341">
        <f t="shared" si="39"/>
        <v>1.0000600149417018</v>
      </c>
      <c r="P111" s="342">
        <f t="shared" si="40"/>
        <v>1.3318677509999809E-2</v>
      </c>
      <c r="Q111" s="343">
        <f t="shared" si="41"/>
        <v>6.7814363876123176</v>
      </c>
      <c r="R111" s="344">
        <f t="shared" si="42"/>
        <v>-56.055150041974898</v>
      </c>
      <c r="S111" s="346">
        <f t="shared" si="43"/>
        <v>123.9448499580251</v>
      </c>
      <c r="U111" s="319">
        <f t="shared" si="50"/>
        <v>1000000000</v>
      </c>
      <c r="V111" s="319">
        <f t="shared" si="51"/>
        <v>31622627.559999995</v>
      </c>
      <c r="X111" s="345">
        <f t="shared" si="44"/>
        <v>8.242082704737415</v>
      </c>
      <c r="Y111" s="346">
        <f t="shared" si="45"/>
        <v>-47.241890954333442</v>
      </c>
      <c r="AA111" s="345">
        <f t="shared" si="46"/>
        <v>35.372103840969913</v>
      </c>
      <c r="AB111" s="346">
        <f t="shared" si="47"/>
        <v>-8.8132590876414483</v>
      </c>
      <c r="AD111">
        <f t="shared" si="52"/>
        <v>0</v>
      </c>
      <c r="AE111">
        <f t="shared" si="53"/>
        <v>0</v>
      </c>
    </row>
    <row r="112" spans="1:31" x14ac:dyDescent="0.2">
      <c r="A112" s="347">
        <v>5688.9</v>
      </c>
      <c r="B112" s="364">
        <f t="shared" si="49"/>
        <v>5.6888999999999994</v>
      </c>
      <c r="C112" s="337">
        <f t="shared" si="27"/>
        <v>1.010232827067135</v>
      </c>
      <c r="D112" s="338">
        <f t="shared" si="28"/>
        <v>0.14245226097717911</v>
      </c>
      <c r="E112" s="338">
        <f t="shared" si="29"/>
        <v>1.0000000564471518</v>
      </c>
      <c r="F112" s="339">
        <f t="shared" si="30"/>
        <v>3.359974681757313E-4</v>
      </c>
      <c r="G112" s="338">
        <f t="shared" si="31"/>
        <v>1</v>
      </c>
      <c r="H112" s="339">
        <f t="shared" si="32"/>
        <v>0</v>
      </c>
      <c r="I112" s="337">
        <f t="shared" si="33"/>
        <v>41178.509416158195</v>
      </c>
      <c r="J112" s="340">
        <f t="shared" si="34"/>
        <v>1.5707720422830413</v>
      </c>
      <c r="K112" s="348">
        <f t="shared" si="35"/>
        <v>1.3764200941609048</v>
      </c>
      <c r="L112" s="349">
        <f t="shared" si="36"/>
        <v>0.75754900040326756</v>
      </c>
      <c r="M112" s="337">
        <f t="shared" si="37"/>
        <v>1.0000156179808981</v>
      </c>
      <c r="N112" s="340">
        <f t="shared" si="38"/>
        <v>5.5888778181216138E-3</v>
      </c>
      <c r="O112" s="341">
        <f t="shared" si="39"/>
        <v>1.0000614211296095</v>
      </c>
      <c r="P112" s="342">
        <f t="shared" si="40"/>
        <v>1.3473800624694349E-2</v>
      </c>
      <c r="Q112" s="343">
        <f t="shared" si="41"/>
        <v>6.7260333112183002</v>
      </c>
      <c r="R112" s="344">
        <f t="shared" si="42"/>
        <v>-55.829121286519033</v>
      </c>
      <c r="S112" s="346">
        <f t="shared" si="43"/>
        <v>124.17087871348096</v>
      </c>
      <c r="U112" s="319">
        <f t="shared" si="50"/>
        <v>1000000000</v>
      </c>
      <c r="V112" s="319">
        <f t="shared" si="51"/>
        <v>32363583.209999997</v>
      </c>
      <c r="X112" s="345">
        <f t="shared" si="44"/>
        <v>8.1886963909797075</v>
      </c>
      <c r="Y112" s="346">
        <f t="shared" si="45"/>
        <v>-46.91446726730188</v>
      </c>
      <c r="AA112" s="345">
        <f t="shared" si="46"/>
        <v>35.370087078333597</v>
      </c>
      <c r="AB112" s="346">
        <f t="shared" si="47"/>
        <v>-8.9146540192171599</v>
      </c>
      <c r="AD112">
        <f t="shared" si="52"/>
        <v>0</v>
      </c>
      <c r="AE112">
        <f t="shared" si="53"/>
        <v>0</v>
      </c>
    </row>
    <row r="113" spans="1:31" x14ac:dyDescent="0.2">
      <c r="A113" s="347">
        <v>5754.4</v>
      </c>
      <c r="B113" s="364">
        <f t="shared" si="49"/>
        <v>5.7543999999999995</v>
      </c>
      <c r="C113" s="337">
        <f t="shared" si="27"/>
        <v>1.0104685901672117</v>
      </c>
      <c r="D113" s="338">
        <f t="shared" si="28"/>
        <v>0.14406993083182865</v>
      </c>
      <c r="E113" s="338">
        <f t="shared" si="29"/>
        <v>1.0000000577544601</v>
      </c>
      <c r="F113" s="339">
        <f t="shared" si="30"/>
        <v>3.3986602492315553E-4</v>
      </c>
      <c r="G113" s="338">
        <f t="shared" si="31"/>
        <v>1</v>
      </c>
      <c r="H113" s="339">
        <f t="shared" si="32"/>
        <v>0</v>
      </c>
      <c r="I113" s="337">
        <f t="shared" si="33"/>
        <v>41652.624335593719</v>
      </c>
      <c r="J113" s="340">
        <f t="shared" si="34"/>
        <v>1.5707723187037848</v>
      </c>
      <c r="K113" s="348">
        <f t="shared" si="35"/>
        <v>1.3839254027836911</v>
      </c>
      <c r="L113" s="349">
        <f t="shared" si="36"/>
        <v>0.76326575682020881</v>
      </c>
      <c r="M113" s="337">
        <f t="shared" si="37"/>
        <v>1.0000159796883044</v>
      </c>
      <c r="N113" s="340">
        <f t="shared" si="38"/>
        <v>5.6532248345952706E-3</v>
      </c>
      <c r="O113" s="341">
        <f t="shared" si="39"/>
        <v>1.0000628436000643</v>
      </c>
      <c r="P113" s="342">
        <f t="shared" si="40"/>
        <v>1.3628923405479845E-2</v>
      </c>
      <c r="Q113" s="343">
        <f t="shared" si="41"/>
        <v>6.6717895814302732</v>
      </c>
      <c r="R113" s="344">
        <f t="shared" si="42"/>
        <v>-55.606629805267772</v>
      </c>
      <c r="S113" s="346">
        <f t="shared" si="43"/>
        <v>124.39337019473223</v>
      </c>
      <c r="U113" s="319">
        <f t="shared" si="50"/>
        <v>1000000000</v>
      </c>
      <c r="V113" s="319">
        <f t="shared" si="51"/>
        <v>33113119.359999996</v>
      </c>
      <c r="X113" s="345">
        <f t="shared" si="44"/>
        <v>8.1364918376085669</v>
      </c>
      <c r="Y113" s="346">
        <f t="shared" si="45"/>
        <v>-46.590623901946934</v>
      </c>
      <c r="AA113" s="345">
        <f t="shared" si="46"/>
        <v>35.368047901916711</v>
      </c>
      <c r="AB113" s="346">
        <f t="shared" si="47"/>
        <v>-9.0160059033208384</v>
      </c>
      <c r="AD113">
        <f t="shared" si="52"/>
        <v>0</v>
      </c>
      <c r="AE113">
        <f t="shared" si="53"/>
        <v>0</v>
      </c>
    </row>
    <row r="114" spans="1:31" x14ac:dyDescent="0.2">
      <c r="A114" s="347">
        <v>5821.4</v>
      </c>
      <c r="B114" s="364">
        <f t="shared" si="49"/>
        <v>5.8213999999999997</v>
      </c>
      <c r="C114" s="337">
        <f t="shared" si="27"/>
        <v>1.0107124869039859</v>
      </c>
      <c r="D114" s="338">
        <f t="shared" si="28"/>
        <v>0.14572386130542692</v>
      </c>
      <c r="E114" s="338">
        <f t="shared" si="29"/>
        <v>1.0000000591071907</v>
      </c>
      <c r="F114" s="339">
        <f t="shared" si="30"/>
        <v>3.4382317456266678E-4</v>
      </c>
      <c r="G114" s="338">
        <f t="shared" si="31"/>
        <v>1</v>
      </c>
      <c r="H114" s="339">
        <f t="shared" si="32"/>
        <v>0</v>
      </c>
      <c r="I114" s="337">
        <f t="shared" si="33"/>
        <v>42137.596848607325</v>
      </c>
      <c r="J114" s="340">
        <f t="shared" si="34"/>
        <v>1.570772595019122</v>
      </c>
      <c r="K114" s="348">
        <f t="shared" si="35"/>
        <v>1.3916488712782114</v>
      </c>
      <c r="L114" s="349">
        <f t="shared" si="36"/>
        <v>0.76904944111619455</v>
      </c>
      <c r="M114" s="337">
        <f t="shared" si="37"/>
        <v>1.0000163539630083</v>
      </c>
      <c r="N114" s="340">
        <f t="shared" si="38"/>
        <v>5.7190453984261374E-3</v>
      </c>
      <c r="O114" s="341">
        <f t="shared" si="39"/>
        <v>1.000064315492263</v>
      </c>
      <c r="P114" s="342">
        <f t="shared" si="40"/>
        <v>1.3787598266886815E-2</v>
      </c>
      <c r="Q114" s="343">
        <f t="shared" si="41"/>
        <v>6.6174692248759186</v>
      </c>
      <c r="R114" s="344">
        <f t="shared" si="42"/>
        <v>-55.382664084676556</v>
      </c>
      <c r="S114" s="346">
        <f t="shared" si="43"/>
        <v>124.61733591532345</v>
      </c>
      <c r="U114" s="319">
        <f t="shared" si="50"/>
        <v>1000000000</v>
      </c>
      <c r="V114" s="319">
        <f t="shared" si="51"/>
        <v>33888697.959999993</v>
      </c>
      <c r="X114" s="345">
        <f t="shared" si="44"/>
        <v>8.0842805128155391</v>
      </c>
      <c r="Y114" s="346">
        <f t="shared" si="45"/>
        <v>-46.263030273591845</v>
      </c>
      <c r="AA114" s="345">
        <f t="shared" si="46"/>
        <v>35.365938870155389</v>
      </c>
      <c r="AB114" s="346">
        <f t="shared" si="47"/>
        <v>-9.1196338110847019</v>
      </c>
      <c r="AD114">
        <f t="shared" si="52"/>
        <v>0</v>
      </c>
      <c r="AE114">
        <f t="shared" si="53"/>
        <v>0</v>
      </c>
    </row>
    <row r="115" spans="1:31" x14ac:dyDescent="0.2">
      <c r="A115" s="347">
        <v>5888.4</v>
      </c>
      <c r="B115" s="364">
        <f t="shared" si="49"/>
        <v>5.8883999999999999</v>
      </c>
      <c r="C115" s="337">
        <f t="shared" si="27"/>
        <v>1.0109591470921926</v>
      </c>
      <c r="D115" s="338">
        <f t="shared" si="28"/>
        <v>0.14737698922652953</v>
      </c>
      <c r="E115" s="338">
        <f t="shared" si="29"/>
        <v>1.0000000604755801</v>
      </c>
      <c r="F115" s="339">
        <f t="shared" si="30"/>
        <v>3.4778032419141016E-4</v>
      </c>
      <c r="G115" s="338">
        <f t="shared" si="31"/>
        <v>1</v>
      </c>
      <c r="H115" s="339">
        <f t="shared" si="32"/>
        <v>0</v>
      </c>
      <c r="I115" s="337">
        <f t="shared" si="33"/>
        <v>42622.569361624075</v>
      </c>
      <c r="J115" s="340">
        <f t="shared" si="34"/>
        <v>1.5707728650464599</v>
      </c>
      <c r="K115" s="348">
        <f t="shared" si="35"/>
        <v>1.3994183770754502</v>
      </c>
      <c r="L115" s="349">
        <f t="shared" si="36"/>
        <v>0.77476909348563039</v>
      </c>
      <c r="M115" s="337">
        <f t="shared" si="37"/>
        <v>1.0000167325701264</v>
      </c>
      <c r="N115" s="340">
        <f t="shared" si="38"/>
        <v>5.7848659127027269E-3</v>
      </c>
      <c r="O115" s="341">
        <f t="shared" si="39"/>
        <v>1.0000658044211999</v>
      </c>
      <c r="P115" s="342">
        <f t="shared" si="40"/>
        <v>1.3946272770782562E-2</v>
      </c>
      <c r="Q115" s="343">
        <f t="shared" si="41"/>
        <v>6.5642942911557274</v>
      </c>
      <c r="R115" s="344">
        <f t="shared" si="42"/>
        <v>-55.162320756765681</v>
      </c>
      <c r="S115" s="346">
        <f t="shared" si="43"/>
        <v>124.83767924323432</v>
      </c>
      <c r="U115" s="319">
        <f t="shared" si="50"/>
        <v>1000000000</v>
      </c>
      <c r="V115" s="319">
        <f t="shared" si="51"/>
        <v>34673254.559999995</v>
      </c>
      <c r="X115" s="345">
        <f t="shared" si="44"/>
        <v>8.0332379957458286</v>
      </c>
      <c r="Y115" s="346">
        <f t="shared" si="45"/>
        <v>-45.939105041271269</v>
      </c>
      <c r="AA115" s="345">
        <f t="shared" si="46"/>
        <v>35.363806453504914</v>
      </c>
      <c r="AB115" s="346">
        <f t="shared" si="47"/>
        <v>-9.2232157154944066</v>
      </c>
      <c r="AD115">
        <f t="shared" si="52"/>
        <v>0</v>
      </c>
      <c r="AE115">
        <f t="shared" si="53"/>
        <v>0</v>
      </c>
    </row>
    <row r="116" spans="1:31" x14ac:dyDescent="0.2">
      <c r="A116" s="347">
        <v>5957</v>
      </c>
      <c r="B116" s="364">
        <f t="shared" si="49"/>
        <v>5.9569999999999999</v>
      </c>
      <c r="C116" s="337">
        <f t="shared" si="27"/>
        <v>1.0112145587896091</v>
      </c>
      <c r="D116" s="338">
        <f t="shared" si="28"/>
        <v>0.14906875448063206</v>
      </c>
      <c r="E116" s="338">
        <f t="shared" si="29"/>
        <v>1.0000000618928717</v>
      </c>
      <c r="F116" s="339">
        <f t="shared" si="30"/>
        <v>3.5183197290447924E-4</v>
      </c>
      <c r="G116" s="338">
        <f t="shared" si="31"/>
        <v>1</v>
      </c>
      <c r="H116" s="339">
        <f t="shared" si="32"/>
        <v>0</v>
      </c>
      <c r="I116" s="337">
        <f t="shared" si="33"/>
        <v>43119.123307790644</v>
      </c>
      <c r="J116" s="340">
        <f t="shared" si="34"/>
        <v>1.5707731352287566</v>
      </c>
      <c r="K116" s="348">
        <f t="shared" si="35"/>
        <v>1.4074203265610878</v>
      </c>
      <c r="L116" s="349">
        <f t="shared" si="36"/>
        <v>0.78055971072229902</v>
      </c>
      <c r="M116" s="337">
        <f t="shared" si="37"/>
        <v>1.0000171247074439</v>
      </c>
      <c r="N116" s="340">
        <f t="shared" si="38"/>
        <v>5.8522582082170364E-3</v>
      </c>
      <c r="O116" s="341">
        <f t="shared" si="39"/>
        <v>1.000067346558454</v>
      </c>
      <c r="P116" s="342">
        <f t="shared" si="40"/>
        <v>1.4108736141847742E-2</v>
      </c>
      <c r="Q116" s="343">
        <f t="shared" si="41"/>
        <v>6.5110023557751067</v>
      </c>
      <c r="R116" s="344">
        <f t="shared" si="42"/>
        <v>-54.940426934588402</v>
      </c>
      <c r="S116" s="346">
        <f t="shared" si="43"/>
        <v>125.0595730654116</v>
      </c>
      <c r="U116" s="319">
        <f t="shared" si="50"/>
        <v>1000000000</v>
      </c>
      <c r="V116" s="319">
        <f t="shared" si="51"/>
        <v>35485849</v>
      </c>
      <c r="X116" s="345">
        <f t="shared" si="44"/>
        <v>7.9821535935888548</v>
      </c>
      <c r="Y116" s="346">
        <f t="shared" si="45"/>
        <v>-45.611203886869738</v>
      </c>
      <c r="AA116" s="345">
        <f t="shared" si="46"/>
        <v>35.36159892028126</v>
      </c>
      <c r="AB116" s="346">
        <f t="shared" si="47"/>
        <v>-9.3292230477186635</v>
      </c>
      <c r="AD116">
        <f t="shared" si="52"/>
        <v>0</v>
      </c>
      <c r="AE116">
        <f t="shared" si="53"/>
        <v>0</v>
      </c>
    </row>
    <row r="117" spans="1:31" x14ac:dyDescent="0.2">
      <c r="A117" s="347">
        <v>6025.6</v>
      </c>
      <c r="B117" s="364">
        <f t="shared" si="49"/>
        <v>6.0256000000000007</v>
      </c>
      <c r="C117" s="337">
        <f t="shared" si="27"/>
        <v>1.01147286318708</v>
      </c>
      <c r="D117" s="338">
        <f t="shared" si="28"/>
        <v>0.15075966050469494</v>
      </c>
      <c r="E117" s="338">
        <f t="shared" si="29"/>
        <v>1.0000000633265793</v>
      </c>
      <c r="F117" s="339">
        <f t="shared" si="30"/>
        <v>3.5588362160599712E-4</v>
      </c>
      <c r="G117" s="338">
        <f t="shared" si="31"/>
        <v>1</v>
      </c>
      <c r="H117" s="339">
        <f t="shared" si="32"/>
        <v>0</v>
      </c>
      <c r="I117" s="337">
        <f t="shared" si="33"/>
        <v>43615.67725396029</v>
      </c>
      <c r="J117" s="340">
        <f t="shared" si="34"/>
        <v>1.5707733992591331</v>
      </c>
      <c r="K117" s="348">
        <f t="shared" si="35"/>
        <v>1.4154689341103963</v>
      </c>
      <c r="L117" s="349">
        <f t="shared" si="36"/>
        <v>0.78628466515901274</v>
      </c>
      <c r="M117" s="337">
        <f t="shared" si="37"/>
        <v>1.0000175213865572</v>
      </c>
      <c r="N117" s="340">
        <f t="shared" si="38"/>
        <v>5.9196504505721259E-3</v>
      </c>
      <c r="O117" s="341">
        <f t="shared" si="39"/>
        <v>1.0000689065557313</v>
      </c>
      <c r="P117" s="342">
        <f t="shared" si="40"/>
        <v>1.427119912939683E-2</v>
      </c>
      <c r="Q117" s="343">
        <f t="shared" si="41"/>
        <v>6.4588434340758125</v>
      </c>
      <c r="R117" s="344">
        <f t="shared" si="42"/>
        <v>-54.722245705970849</v>
      </c>
      <c r="S117" s="346">
        <f t="shared" si="43"/>
        <v>125.27775429402915</v>
      </c>
      <c r="U117" s="319">
        <f t="shared" si="50"/>
        <v>1000000000</v>
      </c>
      <c r="V117" s="319">
        <f t="shared" si="51"/>
        <v>36307855.360000007</v>
      </c>
      <c r="X117" s="345">
        <f t="shared" si="44"/>
        <v>7.9322266466577656</v>
      </c>
      <c r="Y117" s="346">
        <f t="shared" si="45"/>
        <v>-45.287064578256071</v>
      </c>
      <c r="AA117" s="345">
        <f t="shared" si="46"/>
        <v>35.359366945513052</v>
      </c>
      <c r="AB117" s="346">
        <f t="shared" si="47"/>
        <v>-9.4351811277147721</v>
      </c>
      <c r="AD117">
        <f t="shared" si="52"/>
        <v>0</v>
      </c>
      <c r="AE117">
        <f t="shared" si="53"/>
        <v>0</v>
      </c>
    </row>
    <row r="118" spans="1:31" x14ac:dyDescent="0.2">
      <c r="A118" s="347">
        <v>6095.8</v>
      </c>
      <c r="B118" s="364">
        <f t="shared" si="49"/>
        <v>6.0958000000000006</v>
      </c>
      <c r="C118" s="337">
        <f t="shared" si="27"/>
        <v>1.0117401845544225</v>
      </c>
      <c r="D118" s="338">
        <f t="shared" si="28"/>
        <v>0.15248910564865786</v>
      </c>
      <c r="E118" s="338">
        <f t="shared" si="29"/>
        <v>1.000000064810721</v>
      </c>
      <c r="F118" s="339">
        <f t="shared" si="30"/>
        <v>3.6002976939049683E-4</v>
      </c>
      <c r="G118" s="338">
        <f t="shared" si="31"/>
        <v>1</v>
      </c>
      <c r="H118" s="339">
        <f t="shared" si="32"/>
        <v>0</v>
      </c>
      <c r="I118" s="337">
        <f t="shared" si="33"/>
        <v>44123.81263327982</v>
      </c>
      <c r="J118" s="340">
        <f t="shared" si="34"/>
        <v>1.5707736632955205</v>
      </c>
      <c r="K118" s="348">
        <f t="shared" si="35"/>
        <v>1.4237527418088878</v>
      </c>
      <c r="L118" s="349">
        <f t="shared" si="36"/>
        <v>0.792075942077619</v>
      </c>
      <c r="M118" s="337">
        <f t="shared" si="37"/>
        <v>1.0000179320195834</v>
      </c>
      <c r="N118" s="340">
        <f t="shared" si="38"/>
        <v>5.988614467980628E-3</v>
      </c>
      <c r="O118" s="341">
        <f t="shared" si="39"/>
        <v>1.0000705214274388</v>
      </c>
      <c r="P118" s="342">
        <f t="shared" si="40"/>
        <v>1.4437450939501988E-2</v>
      </c>
      <c r="Q118" s="343">
        <f t="shared" si="41"/>
        <v>6.4066069714727387</v>
      </c>
      <c r="R118" s="344">
        <f t="shared" si="42"/>
        <v>-54.502774333533424</v>
      </c>
      <c r="S118" s="346">
        <f t="shared" si="43"/>
        <v>125.49722566646658</v>
      </c>
      <c r="U118" s="319">
        <f t="shared" si="50"/>
        <v>1000000000</v>
      </c>
      <c r="V118" s="319">
        <f t="shared" si="51"/>
        <v>37158777.640000001</v>
      </c>
      <c r="X118" s="345">
        <f t="shared" si="44"/>
        <v>7.882299480426993</v>
      </c>
      <c r="Y118" s="346">
        <f t="shared" si="45"/>
        <v>-44.959215327760191</v>
      </c>
      <c r="AA118" s="345">
        <f t="shared" si="46"/>
        <v>35.357057649140756</v>
      </c>
      <c r="AB118" s="346">
        <f t="shared" si="47"/>
        <v>-9.5435590057732274</v>
      </c>
      <c r="AD118">
        <f t="shared" si="52"/>
        <v>0</v>
      </c>
      <c r="AE118">
        <f t="shared" si="53"/>
        <v>0</v>
      </c>
    </row>
    <row r="119" spans="1:31" x14ac:dyDescent="0.2">
      <c r="A119" s="347">
        <v>6166</v>
      </c>
      <c r="B119" s="364">
        <f t="shared" si="49"/>
        <v>6.1660000000000004</v>
      </c>
      <c r="C119" s="337">
        <f t="shared" si="27"/>
        <v>1.0120105304129774</v>
      </c>
      <c r="D119" s="338">
        <f t="shared" si="28"/>
        <v>0.1542176319613722</v>
      </c>
      <c r="E119" s="338">
        <f t="shared" si="29"/>
        <v>1.000000066312053</v>
      </c>
      <c r="F119" s="339">
        <f t="shared" si="30"/>
        <v>3.6417591716261826E-4</v>
      </c>
      <c r="G119" s="338">
        <f t="shared" si="31"/>
        <v>1</v>
      </c>
      <c r="H119" s="339">
        <f t="shared" si="32"/>
        <v>0</v>
      </c>
      <c r="I119" s="337">
        <f t="shared" si="33"/>
        <v>44631.948012602355</v>
      </c>
      <c r="J119" s="340">
        <f t="shared" si="34"/>
        <v>1.5707739213197915</v>
      </c>
      <c r="K119" s="348">
        <f t="shared" si="35"/>
        <v>1.4320837472368071</v>
      </c>
      <c r="L119" s="349">
        <f t="shared" si="36"/>
        <v>0.79780002876308953</v>
      </c>
      <c r="M119" s="337">
        <f t="shared" si="37"/>
        <v>1.0000183474087267</v>
      </c>
      <c r="N119" s="340">
        <f t="shared" si="38"/>
        <v>6.0575784284243664E-3</v>
      </c>
      <c r="O119" s="341">
        <f t="shared" si="39"/>
        <v>1.0000721550018683</v>
      </c>
      <c r="P119" s="342">
        <f t="shared" si="40"/>
        <v>1.4603702338639538E-2</v>
      </c>
      <c r="Q119" s="343">
        <f t="shared" si="41"/>
        <v>6.3554891868685992</v>
      </c>
      <c r="R119" s="344">
        <f t="shared" si="42"/>
        <v>-54.28709966145216</v>
      </c>
      <c r="S119" s="346">
        <f t="shared" si="43"/>
        <v>125.71290033854784</v>
      </c>
      <c r="U119" s="319">
        <f t="shared" si="50"/>
        <v>1000000000</v>
      </c>
      <c r="V119" s="319">
        <f t="shared" si="51"/>
        <v>38019556</v>
      </c>
      <c r="X119" s="345">
        <f t="shared" si="44"/>
        <v>7.833516506741808</v>
      </c>
      <c r="Y119" s="346">
        <f t="shared" si="45"/>
        <v>-44.635215446319165</v>
      </c>
      <c r="AA119" s="345">
        <f t="shared" si="46"/>
        <v>35.354722838221804</v>
      </c>
      <c r="AB119" s="346">
        <f t="shared" si="47"/>
        <v>-9.6518842151329949</v>
      </c>
      <c r="AD119">
        <f t="shared" si="52"/>
        <v>0</v>
      </c>
      <c r="AE119">
        <f t="shared" si="53"/>
        <v>0</v>
      </c>
    </row>
    <row r="120" spans="1:31" x14ac:dyDescent="0.2">
      <c r="A120" s="347">
        <v>6237.8</v>
      </c>
      <c r="B120" s="364">
        <f t="shared" si="49"/>
        <v>6.2378</v>
      </c>
      <c r="C120" s="337">
        <f t="shared" si="27"/>
        <v>1.0122901641528257</v>
      </c>
      <c r="D120" s="338">
        <f t="shared" si="28"/>
        <v>0.15598459440813614</v>
      </c>
      <c r="E120" s="338">
        <f t="shared" si="29"/>
        <v>1.0000000678653862</v>
      </c>
      <c r="F120" s="339">
        <f t="shared" si="30"/>
        <v>3.6841656401630782E-4</v>
      </c>
      <c r="G120" s="338">
        <f t="shared" si="31"/>
        <v>1</v>
      </c>
      <c r="H120" s="339">
        <f t="shared" si="32"/>
        <v>0</v>
      </c>
      <c r="I120" s="337">
        <f t="shared" si="33"/>
        <v>45151.664825074848</v>
      </c>
      <c r="J120" s="340">
        <f t="shared" si="34"/>
        <v>1.5707741792173056</v>
      </c>
      <c r="K120" s="348">
        <f t="shared" si="35"/>
        <v>1.440652603243002</v>
      </c>
      <c r="L120" s="349">
        <f t="shared" si="36"/>
        <v>0.80358590168487687</v>
      </c>
      <c r="M120" s="337">
        <f t="shared" si="37"/>
        <v>1.0000187771853772</v>
      </c>
      <c r="N120" s="340">
        <f t="shared" si="38"/>
        <v>6.1281141574156296E-3</v>
      </c>
      <c r="O120" s="341">
        <f t="shared" si="39"/>
        <v>1.000073845155679</v>
      </c>
      <c r="P120" s="342">
        <f t="shared" si="40"/>
        <v>1.4773742513400545E-2</v>
      </c>
      <c r="Q120" s="343">
        <f t="shared" si="41"/>
        <v>6.304329612329143</v>
      </c>
      <c r="R120" s="344">
        <f t="shared" si="42"/>
        <v>-54.070388841954291</v>
      </c>
      <c r="S120" s="346">
        <f t="shared" si="43"/>
        <v>125.9296111580457</v>
      </c>
      <c r="U120" s="319">
        <f t="shared" si="50"/>
        <v>1000000000</v>
      </c>
      <c r="V120" s="319">
        <f t="shared" si="51"/>
        <v>38910148.840000004</v>
      </c>
      <c r="X120" s="345">
        <f t="shared" si="44"/>
        <v>7.7847713086310035</v>
      </c>
      <c r="Y120" s="346">
        <f t="shared" si="45"/>
        <v>-44.307765522742727</v>
      </c>
      <c r="AA120" s="345">
        <f t="shared" si="46"/>
        <v>35.352308461793143</v>
      </c>
      <c r="AB120" s="346">
        <f t="shared" si="47"/>
        <v>-9.762623319211567</v>
      </c>
      <c r="AD120">
        <f t="shared" si="52"/>
        <v>0</v>
      </c>
      <c r="AE120">
        <f t="shared" si="53"/>
        <v>0</v>
      </c>
    </row>
    <row r="121" spans="1:31" x14ac:dyDescent="0.2">
      <c r="A121" s="347">
        <v>6309.6</v>
      </c>
      <c r="B121" s="364">
        <f t="shared" si="49"/>
        <v>6.3096000000000005</v>
      </c>
      <c r="C121" s="337">
        <f t="shared" si="27"/>
        <v>1.0125729566693884</v>
      </c>
      <c r="D121" s="338">
        <f t="shared" si="28"/>
        <v>0.15775057540748832</v>
      </c>
      <c r="E121" s="338">
        <f t="shared" si="29"/>
        <v>1.0000000694367024</v>
      </c>
      <c r="F121" s="339">
        <f t="shared" si="30"/>
        <v>3.7265721085674686E-4</v>
      </c>
      <c r="G121" s="338">
        <f t="shared" si="31"/>
        <v>1</v>
      </c>
      <c r="H121" s="339">
        <f t="shared" si="32"/>
        <v>0</v>
      </c>
      <c r="I121" s="337">
        <f t="shared" si="33"/>
        <v>45671.381637550279</v>
      </c>
      <c r="J121" s="340">
        <f t="shared" si="34"/>
        <v>1.5707744312453376</v>
      </c>
      <c r="K121" s="348">
        <f t="shared" si="35"/>
        <v>1.4492691157726585</v>
      </c>
      <c r="L121" s="349">
        <f t="shared" si="36"/>
        <v>0.80930316523157952</v>
      </c>
      <c r="M121" s="337">
        <f t="shared" si="37"/>
        <v>1.0000192119374061</v>
      </c>
      <c r="N121" s="340">
        <f t="shared" si="38"/>
        <v>6.1986498254279019E-3</v>
      </c>
      <c r="O121" s="341">
        <f t="shared" si="39"/>
        <v>1.0000755548743223</v>
      </c>
      <c r="P121" s="342">
        <f t="shared" si="40"/>
        <v>1.494378224823756E-2</v>
      </c>
      <c r="Q121" s="343">
        <f t="shared" si="41"/>
        <v>6.2542726024576867</v>
      </c>
      <c r="R121" s="344">
        <f t="shared" si="42"/>
        <v>-53.857552452298329</v>
      </c>
      <c r="S121" s="346">
        <f t="shared" si="43"/>
        <v>126.14244754770166</v>
      </c>
      <c r="U121" s="319">
        <f t="shared" si="50"/>
        <v>1000000000</v>
      </c>
      <c r="V121" s="319">
        <f t="shared" si="51"/>
        <v>39811052.160000004</v>
      </c>
      <c r="X121" s="345">
        <f t="shared" si="44"/>
        <v>7.7371552782809232</v>
      </c>
      <c r="Y121" s="346">
        <f t="shared" si="45"/>
        <v>-43.984246287007785</v>
      </c>
      <c r="AA121" s="345">
        <f t="shared" si="46"/>
        <v>35.349867482271769</v>
      </c>
      <c r="AB121" s="346">
        <f t="shared" si="47"/>
        <v>-9.8733061652905381</v>
      </c>
      <c r="AD121">
        <f t="shared" si="52"/>
        <v>0</v>
      </c>
      <c r="AE121">
        <f t="shared" si="53"/>
        <v>0</v>
      </c>
    </row>
    <row r="122" spans="1:31" x14ac:dyDescent="0.2">
      <c r="A122" s="347">
        <v>6383.05</v>
      </c>
      <c r="B122" s="364">
        <f t="shared" si="49"/>
        <v>6.3830499999999999</v>
      </c>
      <c r="C122" s="337">
        <f t="shared" si="27"/>
        <v>1.0128655136371307</v>
      </c>
      <c r="D122" s="338">
        <f t="shared" si="28"/>
        <v>0.1595561133750602</v>
      </c>
      <c r="E122" s="338">
        <f t="shared" si="29"/>
        <v>1.0000000710627361</v>
      </c>
      <c r="F122" s="339">
        <f t="shared" si="30"/>
        <v>3.7699530987393899E-4</v>
      </c>
      <c r="G122" s="338">
        <f t="shared" si="31"/>
        <v>1</v>
      </c>
      <c r="H122" s="339">
        <f t="shared" si="32"/>
        <v>0</v>
      </c>
      <c r="I122" s="337">
        <f t="shared" si="33"/>
        <v>46203.041802961576</v>
      </c>
      <c r="J122" s="340">
        <f t="shared" si="34"/>
        <v>1.5707746831982619</v>
      </c>
      <c r="K122" s="348">
        <f t="shared" si="35"/>
        <v>1.458132071026756</v>
      </c>
      <c r="L122" s="349">
        <f t="shared" si="36"/>
        <v>0.81508170391860668</v>
      </c>
      <c r="M122" s="337">
        <f t="shared" si="37"/>
        <v>1.0000196618284449</v>
      </c>
      <c r="N122" s="340">
        <f t="shared" si="38"/>
        <v>6.2708063746283599E-3</v>
      </c>
      <c r="O122" s="341">
        <f t="shared" si="39"/>
        <v>1.0000773241274903</v>
      </c>
      <c r="P122" s="342">
        <f t="shared" si="40"/>
        <v>1.5117729120956321E-2</v>
      </c>
      <c r="Q122" s="343">
        <f t="shared" si="41"/>
        <v>6.2041722650140603</v>
      </c>
      <c r="R122" s="344">
        <f t="shared" si="42"/>
        <v>-53.64378284730094</v>
      </c>
      <c r="S122" s="346">
        <f t="shared" si="43"/>
        <v>126.35621715269906</v>
      </c>
      <c r="U122" s="319">
        <f t="shared" si="50"/>
        <v>1000000000</v>
      </c>
      <c r="V122" s="319">
        <f t="shared" si="51"/>
        <v>40743327.302500002</v>
      </c>
      <c r="X122" s="345">
        <f t="shared" si="44"/>
        <v>7.6895794954936552</v>
      </c>
      <c r="Y122" s="346">
        <f t="shared" si="45"/>
        <v>-43.657309109687098</v>
      </c>
      <c r="AA122" s="345">
        <f t="shared" si="46"/>
        <v>35.347342927615415</v>
      </c>
      <c r="AB122" s="346">
        <f t="shared" si="47"/>
        <v>-9.9864737376138368</v>
      </c>
      <c r="AD122">
        <f t="shared" si="52"/>
        <v>0</v>
      </c>
      <c r="AE122">
        <f t="shared" si="53"/>
        <v>0</v>
      </c>
    </row>
    <row r="123" spans="1:31" x14ac:dyDescent="0.2">
      <c r="A123" s="347">
        <v>6456.5</v>
      </c>
      <c r="B123" s="364">
        <f t="shared" si="49"/>
        <v>6.4565000000000001</v>
      </c>
      <c r="C123" s="337">
        <f t="shared" si="27"/>
        <v>1.0131613706002074</v>
      </c>
      <c r="D123" s="338">
        <f t="shared" si="28"/>
        <v>0.16136060273884889</v>
      </c>
      <c r="E123" s="338">
        <f t="shared" si="29"/>
        <v>1.0000000727075888</v>
      </c>
      <c r="F123" s="339">
        <f t="shared" si="30"/>
        <v>3.8133340887694161E-4</v>
      </c>
      <c r="G123" s="338">
        <f t="shared" si="31"/>
        <v>1</v>
      </c>
      <c r="H123" s="339">
        <f t="shared" si="32"/>
        <v>0</v>
      </c>
      <c r="I123" s="337">
        <f t="shared" si="33"/>
        <v>46734.701968375732</v>
      </c>
      <c r="J123" s="340">
        <f t="shared" si="34"/>
        <v>1.5707749294186868</v>
      </c>
      <c r="K123" s="348">
        <f t="shared" si="35"/>
        <v>1.4670431262702157</v>
      </c>
      <c r="L123" s="349">
        <f t="shared" si="36"/>
        <v>0.82079023176003751</v>
      </c>
      <c r="M123" s="337">
        <f t="shared" si="37"/>
        <v>1.0000201169261489</v>
      </c>
      <c r="N123" s="340">
        <f t="shared" si="38"/>
        <v>6.3429628585292656E-3</v>
      </c>
      <c r="O123" s="341">
        <f t="shared" si="39"/>
        <v>1.0000791138548775</v>
      </c>
      <c r="P123" s="342">
        <f t="shared" si="40"/>
        <v>1.5291675522585424E-2</v>
      </c>
      <c r="Q123" s="343">
        <f t="shared" si="41"/>
        <v>6.1551582072011666</v>
      </c>
      <c r="R123" s="344">
        <f t="shared" si="42"/>
        <v>-53.433964128529666</v>
      </c>
      <c r="S123" s="346">
        <f t="shared" si="43"/>
        <v>126.56603587147033</v>
      </c>
      <c r="U123" s="319">
        <f t="shared" si="50"/>
        <v>1000000000</v>
      </c>
      <c r="V123" s="319">
        <f t="shared" si="51"/>
        <v>41686392.25</v>
      </c>
      <c r="X123" s="345">
        <f t="shared" si="44"/>
        <v>7.6431177364060314</v>
      </c>
      <c r="Y123" s="346">
        <f t="shared" si="45"/>
        <v>-43.334382926154383</v>
      </c>
      <c r="AA123" s="345">
        <f t="shared" si="46"/>
        <v>35.344790628890145</v>
      </c>
      <c r="AB123" s="346">
        <f t="shared" si="47"/>
        <v>-10.099581202375274</v>
      </c>
      <c r="AD123">
        <f t="shared" si="52"/>
        <v>0</v>
      </c>
      <c r="AE123">
        <f t="shared" si="53"/>
        <v>0</v>
      </c>
    </row>
    <row r="124" spans="1:31" x14ac:dyDescent="0.2">
      <c r="A124" s="347">
        <v>6531.7</v>
      </c>
      <c r="B124" s="364">
        <f t="shared" si="49"/>
        <v>6.5316999999999998</v>
      </c>
      <c r="C124" s="337">
        <f t="shared" si="27"/>
        <v>1.0134676924229773</v>
      </c>
      <c r="D124" s="338">
        <f t="shared" si="28"/>
        <v>0.16320698769835465</v>
      </c>
      <c r="E124" s="338">
        <f t="shared" si="29"/>
        <v>1.0000000744111284</v>
      </c>
      <c r="F124" s="339">
        <f t="shared" si="30"/>
        <v>3.8577486624839872E-4</v>
      </c>
      <c r="G124" s="338">
        <f t="shared" si="31"/>
        <v>1</v>
      </c>
      <c r="H124" s="339">
        <f t="shared" si="32"/>
        <v>0</v>
      </c>
      <c r="I124" s="337">
        <f t="shared" si="33"/>
        <v>47279.029326297517</v>
      </c>
      <c r="J124" s="340">
        <f t="shared" si="34"/>
        <v>1.5707751757684409</v>
      </c>
      <c r="K124" s="348">
        <f t="shared" si="35"/>
        <v>1.476215416965118</v>
      </c>
      <c r="L124" s="349">
        <f t="shared" si="36"/>
        <v>0.82656317573928928</v>
      </c>
      <c r="M124" s="337">
        <f t="shared" si="37"/>
        <v>1.0000205882611031</v>
      </c>
      <c r="N124" s="340">
        <f t="shared" si="38"/>
        <v>6.4168384550261992E-3</v>
      </c>
      <c r="O124" s="341">
        <f t="shared" si="39"/>
        <v>1.0000809674354918</v>
      </c>
      <c r="P124" s="342">
        <f t="shared" si="40"/>
        <v>1.5469765830808752E-2</v>
      </c>
      <c r="Q124" s="343">
        <f t="shared" si="41"/>
        <v>6.106067945143117</v>
      </c>
      <c r="R124" s="344">
        <f t="shared" si="42"/>
        <v>-53.223185089408936</v>
      </c>
      <c r="S124" s="346">
        <f t="shared" si="43"/>
        <v>126.77681491059107</v>
      </c>
      <c r="U124" s="319">
        <f t="shared" si="50"/>
        <v>1000000000</v>
      </c>
      <c r="V124" s="319">
        <f t="shared" si="51"/>
        <v>42663104.890000001</v>
      </c>
      <c r="X124" s="345">
        <f t="shared" si="44"/>
        <v>7.5966692756292362</v>
      </c>
      <c r="Y124" s="346">
        <f t="shared" si="45"/>
        <v>-43.007864475094188</v>
      </c>
      <c r="AA124" s="345">
        <f t="shared" si="46"/>
        <v>35.342148827608888</v>
      </c>
      <c r="AB124" s="346">
        <f t="shared" si="47"/>
        <v>-10.215320614314747</v>
      </c>
      <c r="AD124">
        <f t="shared" si="52"/>
        <v>0</v>
      </c>
      <c r="AE124">
        <f t="shared" si="53"/>
        <v>0</v>
      </c>
    </row>
    <row r="125" spans="1:31" x14ac:dyDescent="0.2">
      <c r="A125" s="347">
        <v>6606.9</v>
      </c>
      <c r="B125" s="364">
        <f t="shared" si="49"/>
        <v>6.6068999999999996</v>
      </c>
      <c r="C125" s="337">
        <f t="shared" si="27"/>
        <v>1.0137774672015636</v>
      </c>
      <c r="D125" s="338">
        <f t="shared" si="28"/>
        <v>0.16505225056467263</v>
      </c>
      <c r="E125" s="338">
        <f t="shared" si="29"/>
        <v>1.0000000761343943</v>
      </c>
      <c r="F125" s="339">
        <f t="shared" si="30"/>
        <v>3.9021632360463574E-4</v>
      </c>
      <c r="G125" s="338">
        <f t="shared" si="31"/>
        <v>1</v>
      </c>
      <c r="H125" s="339">
        <f t="shared" si="32"/>
        <v>0</v>
      </c>
      <c r="I125" s="337">
        <f t="shared" si="33"/>
        <v>47823.356684222112</v>
      </c>
      <c r="J125" s="340">
        <f t="shared" si="34"/>
        <v>1.5707754165102699</v>
      </c>
      <c r="K125" s="348">
        <f t="shared" si="35"/>
        <v>1.4854362967951511</v>
      </c>
      <c r="L125" s="349">
        <f t="shared" si="36"/>
        <v>0.83226463641020487</v>
      </c>
      <c r="M125" s="337">
        <f t="shared" si="37"/>
        <v>1.0000210650537684</v>
      </c>
      <c r="N125" s="340">
        <f t="shared" si="38"/>
        <v>6.4907139814811155E-3</v>
      </c>
      <c r="O125" s="341">
        <f t="shared" si="39"/>
        <v>1.0000828424773938</v>
      </c>
      <c r="P125" s="342">
        <f t="shared" si="40"/>
        <v>1.5647855633733838E-2</v>
      </c>
      <c r="Q125" s="343">
        <f t="shared" si="41"/>
        <v>6.058048846921869</v>
      </c>
      <c r="R125" s="344">
        <f t="shared" si="42"/>
        <v>-53.01643709668808</v>
      </c>
      <c r="S125" s="346">
        <f t="shared" si="43"/>
        <v>126.98356290331192</v>
      </c>
      <c r="U125" s="319">
        <f t="shared" si="50"/>
        <v>1000000000</v>
      </c>
      <c r="V125" s="319">
        <f t="shared" si="51"/>
        <v>43651127.609999992</v>
      </c>
      <c r="X125" s="345">
        <f t="shared" si="44"/>
        <v>7.5513209558221872</v>
      </c>
      <c r="Y125" s="346">
        <f t="shared" si="45"/>
        <v>-42.685441390588394</v>
      </c>
      <c r="AA125" s="345">
        <f t="shared" si="46"/>
        <v>35.339478049194696</v>
      </c>
      <c r="AB125" s="346">
        <f t="shared" si="47"/>
        <v>-10.330995706099683</v>
      </c>
      <c r="AD125">
        <f t="shared" si="52"/>
        <v>0</v>
      </c>
      <c r="AE125">
        <f t="shared" si="53"/>
        <v>0</v>
      </c>
    </row>
    <row r="126" spans="1:31" x14ac:dyDescent="0.2">
      <c r="A126" s="347">
        <v>6683.85</v>
      </c>
      <c r="B126" s="364">
        <f t="shared" si="49"/>
        <v>6.6838500000000005</v>
      </c>
      <c r="C126" s="337">
        <f t="shared" si="27"/>
        <v>1.0140980219562918</v>
      </c>
      <c r="D126" s="338">
        <f t="shared" si="28"/>
        <v>0.1669392814575914</v>
      </c>
      <c r="E126" s="338">
        <f t="shared" si="29"/>
        <v>1.0000000779181837</v>
      </c>
      <c r="F126" s="339">
        <f t="shared" si="30"/>
        <v>3.9476113932755984E-4</v>
      </c>
      <c r="G126" s="338">
        <f t="shared" si="31"/>
        <v>1</v>
      </c>
      <c r="H126" s="339">
        <f t="shared" si="32"/>
        <v>0</v>
      </c>
      <c r="I126" s="337">
        <f t="shared" si="33"/>
        <v>48380.351234654408</v>
      </c>
      <c r="J126" s="340">
        <f t="shared" si="34"/>
        <v>1.570775657246732</v>
      </c>
      <c r="K126" s="348">
        <f t="shared" si="35"/>
        <v>1.4949211186683506</v>
      </c>
      <c r="L126" s="349">
        <f t="shared" si="36"/>
        <v>0.8380257763617126</v>
      </c>
      <c r="M126" s="337">
        <f t="shared" si="37"/>
        <v>1.0000215585917003</v>
      </c>
      <c r="N126" s="340">
        <f t="shared" si="38"/>
        <v>6.5663086123987843E-3</v>
      </c>
      <c r="O126" s="341">
        <f t="shared" si="39"/>
        <v>1.0000847833700635</v>
      </c>
      <c r="P126" s="342">
        <f t="shared" si="40"/>
        <v>1.5830089284583009E-2</v>
      </c>
      <c r="Q126" s="343">
        <f t="shared" si="41"/>
        <v>6.0099873716063144</v>
      </c>
      <c r="R126" s="344">
        <f t="shared" si="42"/>
        <v>-52.808992864828511</v>
      </c>
      <c r="S126" s="346">
        <f t="shared" si="43"/>
        <v>127.19100713517149</v>
      </c>
      <c r="U126" s="319">
        <f t="shared" si="50"/>
        <v>1000000000</v>
      </c>
      <c r="V126" s="319">
        <f t="shared" si="51"/>
        <v>44673850.822500005</v>
      </c>
      <c r="X126" s="345">
        <f t="shared" si="44"/>
        <v>7.506022351763515</v>
      </c>
      <c r="Y126" s="346">
        <f t="shared" si="45"/>
        <v>-42.359697432299271</v>
      </c>
      <c r="AA126" s="345">
        <f t="shared" si="46"/>
        <v>35.336715177937812</v>
      </c>
      <c r="AB126" s="346">
        <f t="shared" si="47"/>
        <v>-10.449295432529238</v>
      </c>
      <c r="AD126">
        <f t="shared" si="52"/>
        <v>0</v>
      </c>
      <c r="AE126">
        <f t="shared" si="53"/>
        <v>0</v>
      </c>
    </row>
    <row r="127" spans="1:31" x14ac:dyDescent="0.2">
      <c r="A127" s="347">
        <v>6760.8</v>
      </c>
      <c r="B127" s="364">
        <f t="shared" si="49"/>
        <v>6.7608000000000006</v>
      </c>
      <c r="C127" s="337">
        <f t="shared" si="27"/>
        <v>1.0144221855083679</v>
      </c>
      <c r="D127" s="338">
        <f t="shared" si="28"/>
        <v>0.16882511304235004</v>
      </c>
      <c r="E127" s="338">
        <f t="shared" si="29"/>
        <v>1.0000000797226283</v>
      </c>
      <c r="F127" s="339">
        <f t="shared" si="30"/>
        <v>3.9930595503417601E-4</v>
      </c>
      <c r="G127" s="338">
        <f t="shared" si="31"/>
        <v>1</v>
      </c>
      <c r="H127" s="339">
        <f t="shared" si="32"/>
        <v>0</v>
      </c>
      <c r="I127" s="337">
        <f t="shared" si="33"/>
        <v>48937.345785089434</v>
      </c>
      <c r="J127" s="340">
        <f t="shared" si="34"/>
        <v>1.5707758925031705</v>
      </c>
      <c r="K127" s="348">
        <f t="shared" si="35"/>
        <v>1.5044549314900122</v>
      </c>
      <c r="L127" s="349">
        <f t="shared" si="36"/>
        <v>0.84371408581280372</v>
      </c>
      <c r="M127" s="337">
        <f t="shared" si="37"/>
        <v>1.0000220578442978</v>
      </c>
      <c r="N127" s="340">
        <f t="shared" si="38"/>
        <v>6.6419031682684749E-3</v>
      </c>
      <c r="O127" s="341">
        <f t="shared" si="39"/>
        <v>1.0000867467343078</v>
      </c>
      <c r="P127" s="342">
        <f t="shared" si="40"/>
        <v>1.6012322394025408E-2</v>
      </c>
      <c r="Q127" s="343">
        <f t="shared" si="41"/>
        <v>5.9629801605465271</v>
      </c>
      <c r="R127" s="344">
        <f t="shared" si="42"/>
        <v>-52.605652448669865</v>
      </c>
      <c r="S127" s="346">
        <f t="shared" si="43"/>
        <v>127.39434755133013</v>
      </c>
      <c r="U127" s="319">
        <f t="shared" si="50"/>
        <v>1000000000</v>
      </c>
      <c r="V127" s="319">
        <f t="shared" si="51"/>
        <v>45708416.640000001</v>
      </c>
      <c r="X127" s="345">
        <f t="shared" si="44"/>
        <v>7.461808239064073</v>
      </c>
      <c r="Y127" s="346">
        <f t="shared" si="45"/>
        <v>-42.038126036026455</v>
      </c>
      <c r="AA127" s="345">
        <f t="shared" si="46"/>
        <v>35.333922079577462</v>
      </c>
      <c r="AB127" s="346">
        <f t="shared" si="47"/>
        <v>-10.567526412643417</v>
      </c>
      <c r="AD127">
        <f t="shared" si="52"/>
        <v>0</v>
      </c>
      <c r="AE127">
        <f t="shared" si="53"/>
        <v>0</v>
      </c>
    </row>
    <row r="128" spans="1:31" x14ac:dyDescent="0.2">
      <c r="A128" s="347">
        <v>6839.55</v>
      </c>
      <c r="B128" s="364">
        <f t="shared" si="49"/>
        <v>6.83955</v>
      </c>
      <c r="C128" s="337">
        <f t="shared" si="27"/>
        <v>1.0147576646337992</v>
      </c>
      <c r="D128" s="338">
        <f t="shared" si="28"/>
        <v>0.17075380313972868</v>
      </c>
      <c r="E128" s="338">
        <f t="shared" si="29"/>
        <v>1.0000000815906678</v>
      </c>
      <c r="F128" s="339">
        <f t="shared" si="30"/>
        <v>4.0395708220222911E-4</v>
      </c>
      <c r="G128" s="338">
        <f t="shared" si="31"/>
        <v>1</v>
      </c>
      <c r="H128" s="339">
        <f t="shared" si="32"/>
        <v>0</v>
      </c>
      <c r="I128" s="337">
        <f t="shared" si="33"/>
        <v>49507.369447818084</v>
      </c>
      <c r="J128" s="340">
        <f t="shared" si="34"/>
        <v>1.5707761277818766</v>
      </c>
      <c r="K128" s="348">
        <f t="shared" si="35"/>
        <v>1.5142615152460182</v>
      </c>
      <c r="L128" s="349">
        <f t="shared" si="36"/>
        <v>0.84946110429283284</v>
      </c>
      <c r="M128" s="337">
        <f t="shared" si="37"/>
        <v>1.0000225746920535</v>
      </c>
      <c r="N128" s="340">
        <f t="shared" si="38"/>
        <v>6.7192659392395623E-3</v>
      </c>
      <c r="O128" s="341">
        <f t="shared" si="39"/>
        <v>1.0000887792912936</v>
      </c>
      <c r="P128" s="342">
        <f t="shared" si="40"/>
        <v>1.6198817699210451E-2</v>
      </c>
      <c r="Q128" s="343">
        <f t="shared" si="41"/>
        <v>5.9159312553705048</v>
      </c>
      <c r="R128" s="344">
        <f t="shared" si="42"/>
        <v>-52.401743291990336</v>
      </c>
      <c r="S128" s="346">
        <f t="shared" si="43"/>
        <v>127.59825670800967</v>
      </c>
      <c r="U128" s="319">
        <f t="shared" si="50"/>
        <v>1000000000</v>
      </c>
      <c r="V128" s="319">
        <f t="shared" si="51"/>
        <v>46779444.202500001</v>
      </c>
      <c r="X128" s="345">
        <f t="shared" si="44"/>
        <v>7.4176490026337412</v>
      </c>
      <c r="Y128" s="346">
        <f t="shared" si="45"/>
        <v>-41.713292172710872</v>
      </c>
      <c r="AA128" s="345">
        <f t="shared" si="46"/>
        <v>35.331032410831767</v>
      </c>
      <c r="AB128" s="346">
        <f t="shared" si="47"/>
        <v>-10.688451119279463</v>
      </c>
      <c r="AD128">
        <f t="shared" si="52"/>
        <v>0</v>
      </c>
      <c r="AE128">
        <f t="shared" si="53"/>
        <v>0</v>
      </c>
    </row>
    <row r="129" spans="1:31" x14ac:dyDescent="0.2">
      <c r="A129" s="347">
        <v>6918.3</v>
      </c>
      <c r="B129" s="364">
        <f t="shared" si="49"/>
        <v>6.9183000000000003</v>
      </c>
      <c r="C129" s="337">
        <f t="shared" si="27"/>
        <v>1.0150969159977401</v>
      </c>
      <c r="D129" s="338">
        <f t="shared" si="28"/>
        <v>0.1726812112436299</v>
      </c>
      <c r="E129" s="338">
        <f t="shared" si="29"/>
        <v>1.0000000834803402</v>
      </c>
      <c r="F129" s="339">
        <f t="shared" si="30"/>
        <v>4.0860820935280454E-4</v>
      </c>
      <c r="G129" s="338">
        <f t="shared" si="31"/>
        <v>1</v>
      </c>
      <c r="H129" s="339">
        <f t="shared" si="32"/>
        <v>0</v>
      </c>
      <c r="I129" s="337">
        <f t="shared" si="33"/>
        <v>50077.393110549419</v>
      </c>
      <c r="J129" s="340">
        <f t="shared" si="34"/>
        <v>1.5707763577042959</v>
      </c>
      <c r="K129" s="348">
        <f t="shared" si="35"/>
        <v>1.5241174678112821</v>
      </c>
      <c r="L129" s="349">
        <f t="shared" si="36"/>
        <v>0.85513398007578822</v>
      </c>
      <c r="M129" s="337">
        <f t="shared" si="37"/>
        <v>1.0000230975249365</v>
      </c>
      <c r="N129" s="340">
        <f t="shared" si="38"/>
        <v>6.7966286297799321E-3</v>
      </c>
      <c r="O129" s="341">
        <f t="shared" si="39"/>
        <v>1.0000908353832341</v>
      </c>
      <c r="P129" s="342">
        <f t="shared" si="40"/>
        <v>1.6385312424163093E-2</v>
      </c>
      <c r="Q129" s="343">
        <f t="shared" si="41"/>
        <v>5.8699193895383832</v>
      </c>
      <c r="R129" s="344">
        <f t="shared" si="42"/>
        <v>-52.20200840137916</v>
      </c>
      <c r="S129" s="346">
        <f t="shared" si="43"/>
        <v>127.79799159862084</v>
      </c>
      <c r="U129" s="319">
        <f t="shared" si="50"/>
        <v>1000000000</v>
      </c>
      <c r="V129" s="319">
        <f t="shared" si="51"/>
        <v>47862874.890000001</v>
      </c>
      <c r="X129" s="345">
        <f t="shared" si="44"/>
        <v>7.374558338399309</v>
      </c>
      <c r="Y129" s="346">
        <f t="shared" si="45"/>
        <v>-41.392706061523214</v>
      </c>
      <c r="AA129" s="345">
        <f t="shared" si="46"/>
        <v>35.328111209234081</v>
      </c>
      <c r="AB129" s="346">
        <f t="shared" si="47"/>
        <v>-10.80930233985594</v>
      </c>
      <c r="AD129">
        <f t="shared" si="52"/>
        <v>0</v>
      </c>
      <c r="AE129">
        <f t="shared" si="53"/>
        <v>0</v>
      </c>
    </row>
    <row r="130" spans="1:31" x14ac:dyDescent="0.2">
      <c r="A130" s="347">
        <v>6998.9</v>
      </c>
      <c r="B130" s="364">
        <f t="shared" si="49"/>
        <v>6.9988999999999999</v>
      </c>
      <c r="C130" s="337">
        <f t="shared" si="27"/>
        <v>1.0154480393361851</v>
      </c>
      <c r="D130" s="338">
        <f t="shared" si="28"/>
        <v>0.17465255702275415</v>
      </c>
      <c r="E130" s="338">
        <f t="shared" si="29"/>
        <v>1.0000000854368063</v>
      </c>
      <c r="F130" s="339">
        <f t="shared" si="30"/>
        <v>4.1336860105940272E-4</v>
      </c>
      <c r="G130" s="338">
        <f t="shared" si="31"/>
        <v>1</v>
      </c>
      <c r="H130" s="339">
        <f t="shared" si="32"/>
        <v>0</v>
      </c>
      <c r="I130" s="337">
        <f t="shared" si="33"/>
        <v>50660.80780536028</v>
      </c>
      <c r="J130" s="340">
        <f t="shared" si="34"/>
        <v>1.5707765876702482</v>
      </c>
      <c r="K130" s="348">
        <f t="shared" si="35"/>
        <v>1.534255086176197</v>
      </c>
      <c r="L130" s="349">
        <f t="shared" si="36"/>
        <v>0.86086446156815666</v>
      </c>
      <c r="M130" s="337">
        <f t="shared" si="37"/>
        <v>1.0000236388379162</v>
      </c>
      <c r="N130" s="340">
        <f t="shared" si="38"/>
        <v>6.8758086453049629E-3</v>
      </c>
      <c r="O130" s="341">
        <f t="shared" si="39"/>
        <v>1.0000929641476759</v>
      </c>
      <c r="P130" s="342">
        <f t="shared" si="40"/>
        <v>1.6576187687228947E-2</v>
      </c>
      <c r="Q130" s="343">
        <f t="shared" si="41"/>
        <v>5.8238669410115147</v>
      </c>
      <c r="R130" s="344">
        <f t="shared" si="42"/>
        <v>-52.001839243587995</v>
      </c>
      <c r="S130" s="346">
        <f t="shared" si="43"/>
        <v>127.99816075641201</v>
      </c>
      <c r="U130" s="319">
        <f t="shared" si="50"/>
        <v>1000000000</v>
      </c>
      <c r="V130" s="319">
        <f t="shared" si="51"/>
        <v>48984601.209999993</v>
      </c>
      <c r="X130" s="345">
        <f t="shared" si="44"/>
        <v>7.3315283023687225</v>
      </c>
      <c r="Y130" s="346">
        <f t="shared" si="45"/>
        <v>-41.068923513852546</v>
      </c>
      <c r="AA130" s="345">
        <f t="shared" si="46"/>
        <v>35.325088796737802</v>
      </c>
      <c r="AB130" s="346">
        <f t="shared" si="47"/>
        <v>-10.932915729735445</v>
      </c>
      <c r="AD130">
        <f t="shared" si="52"/>
        <v>0</v>
      </c>
      <c r="AE130">
        <f t="shared" si="53"/>
        <v>0</v>
      </c>
    </row>
    <row r="131" spans="1:31" x14ac:dyDescent="0.2">
      <c r="A131" s="347">
        <v>7079.5</v>
      </c>
      <c r="B131" s="364">
        <f t="shared" si="49"/>
        <v>7.0795000000000003</v>
      </c>
      <c r="C131" s="337">
        <f t="shared" si="27"/>
        <v>1.0158031061759838</v>
      </c>
      <c r="D131" s="338">
        <f t="shared" si="28"/>
        <v>0.17662253231303054</v>
      </c>
      <c r="E131" s="338">
        <f t="shared" si="29"/>
        <v>1.0000000874159336</v>
      </c>
      <c r="F131" s="339">
        <f t="shared" si="30"/>
        <v>4.1812899274726588E-4</v>
      </c>
      <c r="G131" s="338">
        <f t="shared" si="31"/>
        <v>1</v>
      </c>
      <c r="H131" s="339">
        <f t="shared" si="32"/>
        <v>0</v>
      </c>
      <c r="I131" s="337">
        <f t="shared" si="33"/>
        <v>51244.222500173768</v>
      </c>
      <c r="J131" s="340">
        <f t="shared" si="34"/>
        <v>1.5707768123998824</v>
      </c>
      <c r="K131" s="348">
        <f t="shared" si="35"/>
        <v>1.5444424246785</v>
      </c>
      <c r="L131" s="349">
        <f t="shared" si="36"/>
        <v>0.86651952876396388</v>
      </c>
      <c r="M131" s="337">
        <f t="shared" si="37"/>
        <v>1.0000241864205122</v>
      </c>
      <c r="N131" s="340">
        <f t="shared" si="38"/>
        <v>6.9549885746133114E-3</v>
      </c>
      <c r="O131" s="341">
        <f t="shared" si="39"/>
        <v>1.0000951175655914</v>
      </c>
      <c r="P131" s="342">
        <f t="shared" si="40"/>
        <v>1.6767062328329047E-2</v>
      </c>
      <c r="Q131" s="343">
        <f t="shared" si="41"/>
        <v>5.7788339463720382</v>
      </c>
      <c r="R131" s="344">
        <f t="shared" si="42"/>
        <v>-51.805912142889042</v>
      </c>
      <c r="S131" s="346">
        <f t="shared" si="43"/>
        <v>128.19408785711096</v>
      </c>
      <c r="U131" s="319">
        <f t="shared" si="50"/>
        <v>1000000000</v>
      </c>
      <c r="V131" s="319">
        <f t="shared" si="51"/>
        <v>50119320.25</v>
      </c>
      <c r="X131" s="345">
        <f t="shared" si="44"/>
        <v>7.2895506155813159</v>
      </c>
      <c r="Y131" s="346">
        <f t="shared" si="45"/>
        <v>-40.749461582135972</v>
      </c>
      <c r="AA131" s="345">
        <f t="shared" si="46"/>
        <v>35.322033488885729</v>
      </c>
      <c r="AB131" s="346">
        <f t="shared" si="47"/>
        <v>-11.056450560753069</v>
      </c>
      <c r="AD131">
        <f t="shared" si="52"/>
        <v>0</v>
      </c>
      <c r="AE131">
        <f t="shared" si="53"/>
        <v>0</v>
      </c>
    </row>
    <row r="132" spans="1:31" x14ac:dyDescent="0.2">
      <c r="A132" s="347">
        <v>7161.95</v>
      </c>
      <c r="B132" s="364">
        <f t="shared" si="49"/>
        <v>7.16195</v>
      </c>
      <c r="C132" s="337">
        <f t="shared" si="27"/>
        <v>1.0161703988148396</v>
      </c>
      <c r="D132" s="338">
        <f t="shared" si="28"/>
        <v>0.17863629168790257</v>
      </c>
      <c r="E132" s="338">
        <f t="shared" si="29"/>
        <v>1.0000000894639351</v>
      </c>
      <c r="F132" s="339">
        <f t="shared" si="30"/>
        <v>4.2299864898899997E-4</v>
      </c>
      <c r="G132" s="338">
        <f t="shared" si="31"/>
        <v>1</v>
      </c>
      <c r="H132" s="339">
        <f t="shared" si="32"/>
        <v>0</v>
      </c>
      <c r="I132" s="337">
        <f t="shared" si="33"/>
        <v>51841.028227066861</v>
      </c>
      <c r="J132" s="340">
        <f t="shared" si="34"/>
        <v>1.5707770370540435</v>
      </c>
      <c r="K132" s="348">
        <f t="shared" si="35"/>
        <v>1.5549140178098426</v>
      </c>
      <c r="L132" s="349">
        <f t="shared" si="36"/>
        <v>0.87222753743709669</v>
      </c>
      <c r="M132" s="337">
        <f t="shared" si="37"/>
        <v>1.0000247530588067</v>
      </c>
      <c r="N132" s="340">
        <f t="shared" si="38"/>
        <v>7.0359858190042167E-3</v>
      </c>
      <c r="O132" s="341">
        <f t="shared" si="39"/>
        <v>1.0000973459192342</v>
      </c>
      <c r="P132" s="342">
        <f t="shared" si="40"/>
        <v>1.6962317436115891E-2</v>
      </c>
      <c r="Q132" s="343">
        <f t="shared" si="41"/>
        <v>5.7337887715867435</v>
      </c>
      <c r="R132" s="344">
        <f t="shared" si="42"/>
        <v>-51.609809204250737</v>
      </c>
      <c r="S132" s="346">
        <f t="shared" si="43"/>
        <v>128.39019079574928</v>
      </c>
      <c r="U132" s="319">
        <f t="shared" si="50"/>
        <v>1000000000</v>
      </c>
      <c r="V132" s="319">
        <f t="shared" si="51"/>
        <v>51293527.802499995</v>
      </c>
      <c r="X132" s="345">
        <f t="shared" si="44"/>
        <v>7.2476648403144743</v>
      </c>
      <c r="Y132" s="346">
        <f t="shared" si="45"/>
        <v>-40.427070447364059</v>
      </c>
      <c r="AA132" s="345">
        <f t="shared" si="46"/>
        <v>35.318874089367277</v>
      </c>
      <c r="AB132" s="346">
        <f t="shared" si="47"/>
        <v>-11.182738756886669</v>
      </c>
      <c r="AD132">
        <f t="shared" si="52"/>
        <v>0</v>
      </c>
      <c r="AE132">
        <f t="shared" si="53"/>
        <v>0</v>
      </c>
    </row>
    <row r="133" spans="1:31" x14ac:dyDescent="0.2">
      <c r="A133" s="347">
        <v>7244.4</v>
      </c>
      <c r="B133" s="364">
        <f t="shared" si="49"/>
        <v>7.2443999999999997</v>
      </c>
      <c r="C133" s="337">
        <f t="shared" si="27"/>
        <v>1.0165418092675849</v>
      </c>
      <c r="D133" s="338">
        <f t="shared" si="28"/>
        <v>0.18064858769720418</v>
      </c>
      <c r="E133" s="338">
        <f t="shared" si="29"/>
        <v>1.0000000915356504</v>
      </c>
      <c r="F133" s="339">
        <f t="shared" si="30"/>
        <v>4.2786830521067236E-4</v>
      </c>
      <c r="G133" s="338">
        <f t="shared" si="31"/>
        <v>1</v>
      </c>
      <c r="H133" s="339">
        <f t="shared" si="32"/>
        <v>0</v>
      </c>
      <c r="I133" s="337">
        <f t="shared" si="33"/>
        <v>52437.833953962501</v>
      </c>
      <c r="J133" s="340">
        <f t="shared" si="34"/>
        <v>1.5707772565945344</v>
      </c>
      <c r="K133" s="348">
        <f t="shared" si="35"/>
        <v>1.5654355934326289</v>
      </c>
      <c r="L133" s="349">
        <f t="shared" si="36"/>
        <v>0.87785899842907178</v>
      </c>
      <c r="M133" s="337">
        <f t="shared" si="37"/>
        <v>1.0000253262578098</v>
      </c>
      <c r="N133" s="340">
        <f t="shared" si="38"/>
        <v>7.1169829710737795E-3</v>
      </c>
      <c r="O133" s="341">
        <f t="shared" si="39"/>
        <v>1.000099600070812</v>
      </c>
      <c r="P133" s="342">
        <f t="shared" si="40"/>
        <v>1.7157571877905901E-2</v>
      </c>
      <c r="Q133" s="343">
        <f t="shared" si="41"/>
        <v>5.689743883481845</v>
      </c>
      <c r="R133" s="344">
        <f t="shared" si="42"/>
        <v>-51.418007943569144</v>
      </c>
      <c r="S133" s="346">
        <f t="shared" si="43"/>
        <v>128.58199205643086</v>
      </c>
      <c r="U133" s="319">
        <f t="shared" si="50"/>
        <v>1000000000</v>
      </c>
      <c r="V133" s="319">
        <f t="shared" si="51"/>
        <v>52481331.359999992</v>
      </c>
      <c r="X133" s="345">
        <f t="shared" si="44"/>
        <v>7.2068136256973139</v>
      </c>
      <c r="Y133" s="346">
        <f t="shared" si="45"/>
        <v>-40.10906487337769</v>
      </c>
      <c r="AA133" s="345">
        <f t="shared" si="46"/>
        <v>35.315680415879541</v>
      </c>
      <c r="AB133" s="346">
        <f t="shared" si="47"/>
        <v>-11.308943070191448</v>
      </c>
      <c r="AD133">
        <f t="shared" si="52"/>
        <v>0</v>
      </c>
      <c r="AE133">
        <f t="shared" si="53"/>
        <v>0</v>
      </c>
    </row>
    <row r="134" spans="1:31" x14ac:dyDescent="0.2">
      <c r="A134" s="347">
        <v>7328.75</v>
      </c>
      <c r="B134" s="364">
        <f t="shared" si="49"/>
        <v>7.3287500000000003</v>
      </c>
      <c r="C134" s="337">
        <f t="shared" si="27"/>
        <v>1.0169260351429221</v>
      </c>
      <c r="D134" s="338">
        <f t="shared" si="28"/>
        <v>0.1827057259478394</v>
      </c>
      <c r="E134" s="338">
        <f t="shared" si="29"/>
        <v>1.000000093679646</v>
      </c>
      <c r="F134" s="339">
        <f t="shared" si="30"/>
        <v>4.3285017908049076E-4</v>
      </c>
      <c r="G134" s="338">
        <f t="shared" si="31"/>
        <v>1</v>
      </c>
      <c r="H134" s="339">
        <f t="shared" si="32"/>
        <v>0</v>
      </c>
      <c r="I134" s="337">
        <f t="shared" si="33"/>
        <v>53048.392632723677</v>
      </c>
      <c r="J134" s="340">
        <f t="shared" si="34"/>
        <v>1.5707774760823598</v>
      </c>
      <c r="K134" s="348">
        <f t="shared" si="35"/>
        <v>1.5762503107973969</v>
      </c>
      <c r="L134" s="349">
        <f t="shared" si="36"/>
        <v>0.88354224820057659</v>
      </c>
      <c r="M134" s="337">
        <f t="shared" si="37"/>
        <v>1.0000259194549841</v>
      </c>
      <c r="N134" s="340">
        <f t="shared" si="38"/>
        <v>7.1998465466793062E-3</v>
      </c>
      <c r="O134" s="341">
        <f t="shared" si="39"/>
        <v>1.0001019328640528</v>
      </c>
      <c r="P134" s="342">
        <f t="shared" si="40"/>
        <v>1.7357325118441548E-2</v>
      </c>
      <c r="Q134" s="343">
        <f t="shared" si="41"/>
        <v>5.6456859883362736</v>
      </c>
      <c r="R134" s="344">
        <f t="shared" si="42"/>
        <v>-51.226166943323911</v>
      </c>
      <c r="S134" s="346">
        <f t="shared" si="43"/>
        <v>128.7738330566761</v>
      </c>
      <c r="U134" s="319">
        <f t="shared" si="50"/>
        <v>1000000000</v>
      </c>
      <c r="V134" s="319">
        <f t="shared" si="51"/>
        <v>53710576.5625</v>
      </c>
      <c r="X134" s="345">
        <f t="shared" si="44"/>
        <v>7.1660583881690307</v>
      </c>
      <c r="Y134" s="346">
        <f t="shared" si="45"/>
        <v>-39.788198956068747</v>
      </c>
      <c r="AA134" s="345">
        <f t="shared" si="46"/>
        <v>35.312377758262244</v>
      </c>
      <c r="AB134" s="346">
        <f t="shared" si="47"/>
        <v>-11.437967987255151</v>
      </c>
      <c r="AD134">
        <f t="shared" si="52"/>
        <v>0</v>
      </c>
      <c r="AE134">
        <f t="shared" si="53"/>
        <v>0</v>
      </c>
    </row>
    <row r="135" spans="1:31" x14ac:dyDescent="0.2">
      <c r="A135" s="347">
        <v>7413.1</v>
      </c>
      <c r="B135" s="364">
        <f t="shared" si="49"/>
        <v>7.4131</v>
      </c>
      <c r="C135" s="337">
        <f t="shared" si="27"/>
        <v>1.0173145612026138</v>
      </c>
      <c r="D135" s="338">
        <f t="shared" si="28"/>
        <v>0.18476130159447354</v>
      </c>
      <c r="E135" s="338">
        <f t="shared" si="29"/>
        <v>1.0000000958484609</v>
      </c>
      <c r="F135" s="339">
        <f t="shared" si="30"/>
        <v>4.3783205292882319E-4</v>
      </c>
      <c r="G135" s="338">
        <f t="shared" si="31"/>
        <v>1</v>
      </c>
      <c r="H135" s="339">
        <f t="shared" si="32"/>
        <v>0</v>
      </c>
      <c r="I135" s="337">
        <f t="shared" si="33"/>
        <v>53658.951311487348</v>
      </c>
      <c r="J135" s="340">
        <f t="shared" si="34"/>
        <v>1.5707776905752984</v>
      </c>
      <c r="K135" s="348">
        <f t="shared" si="35"/>
        <v>1.5871152452026369</v>
      </c>
      <c r="L135" s="349">
        <f t="shared" si="36"/>
        <v>0.88914786518779354</v>
      </c>
      <c r="M135" s="337">
        <f t="shared" si="37"/>
        <v>1.0000265195186999</v>
      </c>
      <c r="N135" s="340">
        <f t="shared" si="38"/>
        <v>7.2827100234095906E-3</v>
      </c>
      <c r="O135" s="341">
        <f t="shared" si="39"/>
        <v>1.0001042926576313</v>
      </c>
      <c r="P135" s="342">
        <f t="shared" si="40"/>
        <v>1.7557077645709965E-2</v>
      </c>
      <c r="Q135" s="343">
        <f t="shared" si="41"/>
        <v>5.6026089426569916</v>
      </c>
      <c r="R135" s="344">
        <f t="shared" si="42"/>
        <v>-51.038684110643821</v>
      </c>
      <c r="S135" s="346">
        <f t="shared" si="43"/>
        <v>128.96131588935617</v>
      </c>
      <c r="U135" s="319">
        <f t="shared" si="50"/>
        <v>1000000000</v>
      </c>
      <c r="V135" s="319">
        <f t="shared" si="51"/>
        <v>54954051.610000007</v>
      </c>
      <c r="X135" s="345">
        <f t="shared" si="44"/>
        <v>7.1263197096748518</v>
      </c>
      <c r="Y135" s="346">
        <f t="shared" si="45"/>
        <v>-39.471780777805357</v>
      </c>
      <c r="AA135" s="345">
        <f t="shared" si="46"/>
        <v>35.30903939107715</v>
      </c>
      <c r="AB135" s="346">
        <f t="shared" si="47"/>
        <v>-11.56690333283847</v>
      </c>
      <c r="AD135">
        <f t="shared" si="52"/>
        <v>0</v>
      </c>
      <c r="AE135">
        <f t="shared" si="53"/>
        <v>0</v>
      </c>
    </row>
    <row r="136" spans="1:31" x14ac:dyDescent="0.2">
      <c r="A136" s="347">
        <v>7499.45</v>
      </c>
      <c r="B136" s="364">
        <f t="shared" si="49"/>
        <v>7.4994499999999995</v>
      </c>
      <c r="C136" s="337">
        <f t="shared" si="27"/>
        <v>1.0177167486901997</v>
      </c>
      <c r="D136" s="338">
        <f t="shared" si="28"/>
        <v>0.18686398156270581</v>
      </c>
      <c r="E136" s="338">
        <f t="shared" si="29"/>
        <v>1.0000000980944088</v>
      </c>
      <c r="F136" s="339">
        <f t="shared" si="30"/>
        <v>4.4293205061589407E-4</v>
      </c>
      <c r="G136" s="338">
        <f t="shared" si="31"/>
        <v>1</v>
      </c>
      <c r="H136" s="339">
        <f t="shared" si="32"/>
        <v>0</v>
      </c>
      <c r="I136" s="337">
        <f t="shared" si="33"/>
        <v>54283.986781688327</v>
      </c>
      <c r="J136" s="340">
        <f t="shared" si="34"/>
        <v>1.5707779051560424</v>
      </c>
      <c r="K136" s="348">
        <f t="shared" si="35"/>
        <v>1.598288743075863</v>
      </c>
      <c r="L136" s="349">
        <f t="shared" si="36"/>
        <v>0.89480726875147754</v>
      </c>
      <c r="M136" s="337">
        <f t="shared" si="37"/>
        <v>1.0000271409230395</v>
      </c>
      <c r="N136" s="340">
        <f t="shared" si="38"/>
        <v>7.367538149981815E-3</v>
      </c>
      <c r="O136" s="341">
        <f t="shared" si="39"/>
        <v>1.000106736371706</v>
      </c>
      <c r="P136" s="342">
        <f t="shared" si="40"/>
        <v>1.7761565703640382E-2</v>
      </c>
      <c r="Q136" s="343">
        <f t="shared" si="41"/>
        <v>5.559493560836585</v>
      </c>
      <c r="R136" s="344">
        <f t="shared" si="42"/>
        <v>-50.851195542060438</v>
      </c>
      <c r="S136" s="346">
        <f t="shared" si="43"/>
        <v>129.14880445793955</v>
      </c>
      <c r="U136" s="319">
        <f t="shared" si="50"/>
        <v>1000000000</v>
      </c>
      <c r="V136" s="319">
        <f t="shared" si="51"/>
        <v>56241750.302499995</v>
      </c>
      <c r="X136" s="345">
        <f t="shared" si="44"/>
        <v>7.0866587529987584</v>
      </c>
      <c r="Y136" s="346">
        <f t="shared" si="45"/>
        <v>-39.152393426887599</v>
      </c>
      <c r="AA136" s="345">
        <f t="shared" si="46"/>
        <v>35.305584965932837</v>
      </c>
      <c r="AB136" s="346">
        <f t="shared" si="47"/>
        <v>-11.698802115172839</v>
      </c>
      <c r="AD136">
        <f t="shared" si="52"/>
        <v>0</v>
      </c>
      <c r="AE136">
        <f t="shared" si="53"/>
        <v>0</v>
      </c>
    </row>
    <row r="137" spans="1:31" x14ac:dyDescent="0.2">
      <c r="A137" s="347">
        <v>7585.8</v>
      </c>
      <c r="B137" s="364">
        <f t="shared" si="49"/>
        <v>7.5857999999999999</v>
      </c>
      <c r="C137" s="337">
        <f t="shared" si="27"/>
        <v>1.0181234322047086</v>
      </c>
      <c r="D137" s="338">
        <f t="shared" si="28"/>
        <v>0.18896499100720515</v>
      </c>
      <c r="E137" s="338">
        <f t="shared" si="29"/>
        <v>1.0000001003663666</v>
      </c>
      <c r="F137" s="339">
        <f t="shared" si="30"/>
        <v>4.4803204827992363E-4</v>
      </c>
      <c r="G137" s="338">
        <f t="shared" si="31"/>
        <v>1</v>
      </c>
      <c r="H137" s="339">
        <f t="shared" si="32"/>
        <v>0</v>
      </c>
      <c r="I137" s="337">
        <f t="shared" si="33"/>
        <v>54909.022251891765</v>
      </c>
      <c r="J137" s="340">
        <f t="shared" si="34"/>
        <v>1.570778114851594</v>
      </c>
      <c r="K137" s="348">
        <f t="shared" si="35"/>
        <v>1.6095127205915021</v>
      </c>
      <c r="L137" s="349">
        <f t="shared" si="36"/>
        <v>0.90038791700270115</v>
      </c>
      <c r="M137" s="337">
        <f t="shared" si="37"/>
        <v>1.0000277695233766</v>
      </c>
      <c r="N137" s="340">
        <f t="shared" si="38"/>
        <v>7.4523661705214305E-3</v>
      </c>
      <c r="O137" s="341">
        <f t="shared" si="39"/>
        <v>1.0001092083813785</v>
      </c>
      <c r="P137" s="342">
        <f t="shared" si="40"/>
        <v>1.7966052996681525E-2</v>
      </c>
      <c r="Q137" s="343">
        <f t="shared" si="41"/>
        <v>5.5173403977634772</v>
      </c>
      <c r="R137" s="344">
        <f t="shared" si="42"/>
        <v>-50.668123276741099</v>
      </c>
      <c r="S137" s="346">
        <f t="shared" si="43"/>
        <v>129.33187672325892</v>
      </c>
      <c r="U137" s="319">
        <f t="shared" si="50"/>
        <v>1000000000</v>
      </c>
      <c r="V137" s="319">
        <f t="shared" si="51"/>
        <v>57544361.640000001</v>
      </c>
      <c r="X137" s="345">
        <f t="shared" si="44"/>
        <v>7.0479972609654693</v>
      </c>
      <c r="Y137" s="346">
        <f t="shared" si="45"/>
        <v>-38.837518137017085</v>
      </c>
      <c r="AA137" s="345">
        <f t="shared" si="46"/>
        <v>35.30209329489302</v>
      </c>
      <c r="AB137" s="346">
        <f t="shared" si="47"/>
        <v>-11.830605139724023</v>
      </c>
      <c r="AD137">
        <f t="shared" si="52"/>
        <v>0</v>
      </c>
      <c r="AE137">
        <f t="shared" si="53"/>
        <v>0</v>
      </c>
    </row>
    <row r="138" spans="1:31" x14ac:dyDescent="0.2">
      <c r="A138" s="347">
        <v>7674.15</v>
      </c>
      <c r="B138" s="364">
        <f t="shared" si="49"/>
        <v>7.67415</v>
      </c>
      <c r="C138" s="337">
        <f t="shared" si="27"/>
        <v>1.0185441829583879</v>
      </c>
      <c r="D138" s="338">
        <f t="shared" si="28"/>
        <v>0.19111291683407966</v>
      </c>
      <c r="E138" s="338">
        <f t="shared" si="29"/>
        <v>1.0000001027178671</v>
      </c>
      <c r="F138" s="339">
        <f t="shared" si="30"/>
        <v>4.5325016978002602E-4</v>
      </c>
      <c r="G138" s="338">
        <f t="shared" si="31"/>
        <v>1</v>
      </c>
      <c r="H138" s="339">
        <f t="shared" si="32"/>
        <v>0</v>
      </c>
      <c r="I138" s="337">
        <f t="shared" si="33"/>
        <v>55548.534513532577</v>
      </c>
      <c r="J138" s="340">
        <f t="shared" si="34"/>
        <v>1.5707783245197906</v>
      </c>
      <c r="K138" s="348">
        <f t="shared" si="35"/>
        <v>1.6210478161412791</v>
      </c>
      <c r="L138" s="349">
        <f t="shared" si="36"/>
        <v>0.9060176567253968</v>
      </c>
      <c r="M138" s="337">
        <f t="shared" si="37"/>
        <v>1.0000284201309919</v>
      </c>
      <c r="N138" s="340">
        <f t="shared" si="38"/>
        <v>7.5391588286369297E-3</v>
      </c>
      <c r="O138" s="341">
        <f t="shared" si="39"/>
        <v>1.0001117669327049</v>
      </c>
      <c r="P138" s="342">
        <f t="shared" si="40"/>
        <v>1.8175275731910915E-2</v>
      </c>
      <c r="Q138" s="343">
        <f t="shared" si="41"/>
        <v>5.4751740803796869</v>
      </c>
      <c r="R138" s="344">
        <f t="shared" si="42"/>
        <v>-50.485303504725032</v>
      </c>
      <c r="S138" s="346">
        <f t="shared" si="43"/>
        <v>129.51469649527496</v>
      </c>
      <c r="U138" s="319">
        <f t="shared" si="50"/>
        <v>1000000000</v>
      </c>
      <c r="V138" s="319">
        <f t="shared" si="51"/>
        <v>58892578.222499996</v>
      </c>
      <c r="X138" s="345">
        <f t="shared" si="44"/>
        <v>7.0094419423217644</v>
      </c>
      <c r="Y138" s="346">
        <f t="shared" si="45"/>
        <v>-38.519942676892086</v>
      </c>
      <c r="AA138" s="345">
        <f t="shared" si="46"/>
        <v>35.298482296152933</v>
      </c>
      <c r="AB138" s="346">
        <f t="shared" si="47"/>
        <v>-11.965360827832944</v>
      </c>
      <c r="AD138">
        <f t="shared" si="52"/>
        <v>0</v>
      </c>
      <c r="AE138">
        <f t="shared" si="53"/>
        <v>0</v>
      </c>
    </row>
    <row r="139" spans="1:31" x14ac:dyDescent="0.2">
      <c r="A139" s="347">
        <v>7762.5</v>
      </c>
      <c r="B139" s="364">
        <f t="shared" si="49"/>
        <v>7.7625000000000002</v>
      </c>
      <c r="C139" s="337">
        <f t="shared" si="27"/>
        <v>1.0189696289592374</v>
      </c>
      <c r="D139" s="338">
        <f t="shared" si="28"/>
        <v>0.19325905892706874</v>
      </c>
      <c r="E139" s="338">
        <f t="shared" si="29"/>
        <v>1.0000001050965963</v>
      </c>
      <c r="F139" s="339">
        <f t="shared" si="30"/>
        <v>4.5846829125544556E-4</v>
      </c>
      <c r="G139" s="338">
        <f t="shared" si="31"/>
        <v>1</v>
      </c>
      <c r="H139" s="339">
        <f t="shared" si="32"/>
        <v>0</v>
      </c>
      <c r="I139" s="337">
        <f t="shared" si="33"/>
        <v>56188.046775175782</v>
      </c>
      <c r="J139" s="340">
        <f t="shared" si="34"/>
        <v>1.5707785294152501</v>
      </c>
      <c r="K139" s="348">
        <f t="shared" si="35"/>
        <v>1.6326335621916608</v>
      </c>
      <c r="L139" s="349">
        <f t="shared" si="36"/>
        <v>0.91156766902518693</v>
      </c>
      <c r="M139" s="337">
        <f t="shared" si="37"/>
        <v>1.0000290782717769</v>
      </c>
      <c r="N139" s="340">
        <f t="shared" si="38"/>
        <v>7.6259513731659796E-3</v>
      </c>
      <c r="O139" s="341">
        <f t="shared" si="39"/>
        <v>1.0001143551052039</v>
      </c>
      <c r="P139" s="342">
        <f t="shared" si="40"/>
        <v>1.8384497647770833E-2</v>
      </c>
      <c r="Q139" s="343">
        <f t="shared" si="41"/>
        <v>5.4339498708370648</v>
      </c>
      <c r="R139" s="344">
        <f t="shared" si="42"/>
        <v>-50.306949250223887</v>
      </c>
      <c r="S139" s="346">
        <f t="shared" si="43"/>
        <v>129.69305074977612</v>
      </c>
      <c r="U139" s="319">
        <f t="shared" si="50"/>
        <v>1000000000</v>
      </c>
      <c r="V139" s="319">
        <f t="shared" si="51"/>
        <v>60256406.25</v>
      </c>
      <c r="X139" s="345">
        <f t="shared" si="44"/>
        <v>6.9718675295571009</v>
      </c>
      <c r="Y139" s="346">
        <f t="shared" si="45"/>
        <v>-38.206934981650548</v>
      </c>
      <c r="AA139" s="345">
        <f t="shared" si="46"/>
        <v>35.294832499374976</v>
      </c>
      <c r="AB139" s="346">
        <f t="shared" si="47"/>
        <v>-12.100014268573341</v>
      </c>
      <c r="AD139">
        <f t="shared" si="52"/>
        <v>0</v>
      </c>
      <c r="AE139">
        <f t="shared" si="53"/>
        <v>0</v>
      </c>
    </row>
    <row r="140" spans="1:31" x14ac:dyDescent="0.2">
      <c r="A140" s="347">
        <v>7852.9</v>
      </c>
      <c r="B140" s="364">
        <f t="shared" si="49"/>
        <v>7.8529</v>
      </c>
      <c r="C140" s="337">
        <f t="shared" si="27"/>
        <v>1.0194098004513972</v>
      </c>
      <c r="D140" s="338">
        <f t="shared" si="28"/>
        <v>0.19545313374322687</v>
      </c>
      <c r="E140" s="338">
        <f t="shared" si="29"/>
        <v>1.0000001075587033</v>
      </c>
      <c r="F140" s="339">
        <f t="shared" si="30"/>
        <v>4.6380748966059002E-4</v>
      </c>
      <c r="G140" s="338">
        <f t="shared" si="31"/>
        <v>1</v>
      </c>
      <c r="H140" s="339">
        <f t="shared" si="32"/>
        <v>0</v>
      </c>
      <c r="I140" s="337">
        <f t="shared" si="33"/>
        <v>56842.397748042284</v>
      </c>
      <c r="J140" s="340">
        <f t="shared" si="34"/>
        <v>1.5707787342928266</v>
      </c>
      <c r="K140" s="348">
        <f t="shared" si="35"/>
        <v>1.644539444642096</v>
      </c>
      <c r="L140" s="349">
        <f t="shared" si="36"/>
        <v>0.91716534030971109</v>
      </c>
      <c r="M140" s="337">
        <f t="shared" si="37"/>
        <v>1.0000297594808865</v>
      </c>
      <c r="N140" s="340">
        <f t="shared" si="38"/>
        <v>7.7147576608581157E-3</v>
      </c>
      <c r="O140" s="341">
        <f t="shared" si="39"/>
        <v>1.000117033991426</v>
      </c>
      <c r="P140" s="342">
        <f t="shared" si="40"/>
        <v>1.8598573317208371E-2</v>
      </c>
      <c r="Q140" s="343">
        <f t="shared" si="41"/>
        <v>5.3927118264283074</v>
      </c>
      <c r="R140" s="344">
        <f t="shared" si="42"/>
        <v>-50.12899722013757</v>
      </c>
      <c r="S140" s="346">
        <f t="shared" si="43"/>
        <v>129.87100277986244</v>
      </c>
      <c r="U140" s="319">
        <f t="shared" si="50"/>
        <v>1000000000</v>
      </c>
      <c r="V140" s="319">
        <f t="shared" si="51"/>
        <v>61668038.409999996</v>
      </c>
      <c r="X140" s="345">
        <f t="shared" si="44"/>
        <v>6.9344040243665468</v>
      </c>
      <c r="Y140" s="346">
        <f t="shared" si="45"/>
        <v>-37.891312005684512</v>
      </c>
      <c r="AA140" s="345">
        <f t="shared" si="46"/>
        <v>35.29105796015677</v>
      </c>
      <c r="AB140" s="346">
        <f t="shared" si="47"/>
        <v>-12.237685214453068</v>
      </c>
      <c r="AD140">
        <f t="shared" si="52"/>
        <v>0</v>
      </c>
      <c r="AE140">
        <f t="shared" si="53"/>
        <v>0</v>
      </c>
    </row>
    <row r="141" spans="1:31" x14ac:dyDescent="0.2">
      <c r="A141" s="347">
        <v>7943.3</v>
      </c>
      <c r="B141" s="364">
        <f t="shared" si="49"/>
        <v>7.9432999999999998</v>
      </c>
      <c r="C141" s="337">
        <f t="shared" ref="C141:C204" si="54">SQRT(1+(A141/pole1)^2)</f>
        <v>1.0198548750960781</v>
      </c>
      <c r="D141" s="338">
        <f t="shared" ref="D141:D204" si="55">ATAN(A141/pole1)</f>
        <v>0.19764530407334974</v>
      </c>
      <c r="E141" s="338">
        <f t="shared" ref="E141:E204" si="56">SQRT(1+(A141/Zero1)^2)</f>
        <v>1.0000001100493174</v>
      </c>
      <c r="F141" s="339">
        <f t="shared" ref="F141:F204" si="57">ATAN(A141/Zero1)</f>
        <v>4.6914668803929094E-4</v>
      </c>
      <c r="G141" s="338">
        <f t="shared" ref="G141:G204" si="58">IF(VIN_nom&gt;Vout, 1, SQRT(1+(A141/z_RHP)^2))</f>
        <v>1</v>
      </c>
      <c r="H141" s="339">
        <f t="shared" ref="H141:H204" si="59">IF(VIN_nom&gt;Vout, 0, -ATAN(A141/z_RHP))</f>
        <v>0</v>
      </c>
      <c r="I141" s="337">
        <f t="shared" ref="I141:I204" si="60">SQRT(1+(A141/Pole2)^2)</f>
        <v>57496.748720911128</v>
      </c>
      <c r="J141" s="340">
        <f t="shared" ref="J141:J204" si="61">ATAN(A141/Pole2)</f>
        <v>1.5707789345071186</v>
      </c>
      <c r="K141" s="348">
        <f t="shared" ref="K141:K147" si="62">SQRT(1+(A141/Zero2)^2)</f>
        <v>1.6564961153017288</v>
      </c>
      <c r="L141" s="349">
        <f t="shared" ref="L141:L147" si="63">ATAN(A141/Zero2)</f>
        <v>0.92268237386001983</v>
      </c>
      <c r="M141" s="337">
        <f t="shared" ref="M141:M204" si="64">SQRT(1+(A141/pole4)^2)</f>
        <v>1.0000304485767764</v>
      </c>
      <c r="N141" s="340">
        <f t="shared" ref="N141:N204" si="65">ATAN(A141/pole4)</f>
        <v>7.8035638268622587E-3</v>
      </c>
      <c r="O141" s="341">
        <f t="shared" ref="O141:O204" si="66">SQRT((1-(V141/pterm2))^2+(A141/pterm1)^2)</f>
        <v>1.0001197438890004</v>
      </c>
      <c r="P141" s="342">
        <f t="shared" ref="P141:P204" si="67">IF((ATAN((A141/pterm1)/(1-A141^2/pterm2))&gt;0),ATAN((A141/pterm1)/(1-A141^2/pterm2)),PI()+ATAN((A141/pterm1)/(1-A141^2/pterm2)))</f>
        <v>1.881264810884737E-2</v>
      </c>
      <c r="Q141" s="343">
        <f t="shared" ref="Q141:Q204" si="68">20*LOG10(((E141*K141*G141)/(C141*I141*O141*M141))*Adc)</f>
        <v>5.3523954754524716</v>
      </c>
      <c r="R141" s="344">
        <f t="shared" ref="R141:R204" si="69">((F141+L141+H141)-(D141+J141+P141+N141))*radconv</f>
        <v>-49.955555948433144</v>
      </c>
      <c r="S141" s="346">
        <f t="shared" ref="S141:S204" si="70">IF(R141&gt;0,R141,R141+180)</f>
        <v>130.04444405156687</v>
      </c>
      <c r="U141" s="319">
        <f t="shared" si="50"/>
        <v>1000000000</v>
      </c>
      <c r="V141" s="319">
        <f t="shared" si="51"/>
        <v>63096014.890000001</v>
      </c>
      <c r="X141" s="345">
        <f t="shared" ref="X141:X204" si="71">20*LOG10((K141/(I141*M141))*AEA)</f>
        <v>6.8979026214239134</v>
      </c>
      <c r="Y141" s="346">
        <f t="shared" ref="Y141:Y204" si="72">(L141-(J141+N141))*radconv</f>
        <v>-37.580308957405087</v>
      </c>
      <c r="AA141" s="345">
        <f t="shared" ref="AA141:AA204" si="73">20*LOG10((E141*G141/(C141*O141))*Acs*Am)</f>
        <v>35.287243012123568</v>
      </c>
      <c r="AB141" s="346">
        <f t="shared" ref="AB141:AB204" si="74">(F141+H141-(D141+P141))*radconv</f>
        <v>-12.375246991028069</v>
      </c>
      <c r="AD141">
        <f t="shared" si="52"/>
        <v>0</v>
      </c>
      <c r="AE141">
        <f t="shared" si="53"/>
        <v>0</v>
      </c>
    </row>
    <row r="142" spans="1:31" x14ac:dyDescent="0.2">
      <c r="A142" s="347">
        <v>8035.8</v>
      </c>
      <c r="B142" s="364">
        <f t="shared" ref="B142:B205" si="75">A142/1000</f>
        <v>8.0358000000000001</v>
      </c>
      <c r="C142" s="337">
        <f t="shared" si="54"/>
        <v>1.0203153574969999</v>
      </c>
      <c r="D142" s="338">
        <f t="shared" si="55"/>
        <v>0.19988640798905208</v>
      </c>
      <c r="E142" s="338">
        <f t="shared" si="56"/>
        <v>1.0000001126272968</v>
      </c>
      <c r="F142" s="339">
        <f t="shared" si="57"/>
        <v>4.7460991644113486E-4</v>
      </c>
      <c r="G142" s="338">
        <f t="shared" si="58"/>
        <v>1</v>
      </c>
      <c r="H142" s="339">
        <f t="shared" si="59"/>
        <v>0</v>
      </c>
      <c r="I142" s="337">
        <f t="shared" si="60"/>
        <v>58166.300324789205</v>
      </c>
      <c r="J142" s="340">
        <f t="shared" si="61"/>
        <v>1.5707791347095403</v>
      </c>
      <c r="K142" s="348">
        <f t="shared" si="62"/>
        <v>1.668781973322877</v>
      </c>
      <c r="L142" s="349">
        <f t="shared" si="63"/>
        <v>0.92824556086852306</v>
      </c>
      <c r="M142" s="337">
        <f t="shared" si="64"/>
        <v>1.0000311618441324</v>
      </c>
      <c r="N142" s="340">
        <f t="shared" si="65"/>
        <v>7.894432840539669E-3</v>
      </c>
      <c r="O142" s="341">
        <f t="shared" si="66"/>
        <v>1.0001225488378467</v>
      </c>
      <c r="P142" s="342">
        <f t="shared" si="67"/>
        <v>1.9031694957686956E-2</v>
      </c>
      <c r="Q142" s="343">
        <f t="shared" si="68"/>
        <v>5.3120644739162124</v>
      </c>
      <c r="R142" s="344">
        <f t="shared" si="69"/>
        <v>-49.782669929576606</v>
      </c>
      <c r="S142" s="346">
        <f t="shared" si="70"/>
        <v>130.2173300704234</v>
      </c>
      <c r="U142" s="319">
        <f t="shared" ref="U142:U205" si="76">IF(Q142&lt;0,A142,1000000000)</f>
        <v>1000000000</v>
      </c>
      <c r="V142" s="319">
        <f t="shared" ref="V142:V205" si="77">A142^2</f>
        <v>64574081.640000001</v>
      </c>
      <c r="X142" s="345">
        <f t="shared" si="71"/>
        <v>6.86151690473244</v>
      </c>
      <c r="Y142" s="346">
        <f t="shared" si="72"/>
        <v>-37.266779702543623</v>
      </c>
      <c r="AA142" s="345">
        <f t="shared" si="73"/>
        <v>35.283297727278779</v>
      </c>
      <c r="AB142" s="346">
        <f t="shared" si="74"/>
        <v>-12.515890227032973</v>
      </c>
      <c r="AD142">
        <f t="shared" ref="AD142:AD205" si="78">SUM((Q143&lt;0)*(Q142&gt;0))*A142</f>
        <v>0</v>
      </c>
      <c r="AE142">
        <f t="shared" si="53"/>
        <v>0</v>
      </c>
    </row>
    <row r="143" spans="1:31" x14ac:dyDescent="0.2">
      <c r="A143" s="347">
        <v>8128.3</v>
      </c>
      <c r="B143" s="364">
        <f t="shared" si="75"/>
        <v>8.1282999999999994</v>
      </c>
      <c r="C143" s="337">
        <f t="shared" si="54"/>
        <v>1.0207809598410305</v>
      </c>
      <c r="D143" s="338">
        <f t="shared" si="55"/>
        <v>0.2021254787010606</v>
      </c>
      <c r="E143" s="338">
        <f t="shared" si="56"/>
        <v>1.0000001152351232</v>
      </c>
      <c r="F143" s="339">
        <f t="shared" si="57"/>
        <v>4.8007314481464749E-4</v>
      </c>
      <c r="G143" s="338">
        <f t="shared" si="58"/>
        <v>1</v>
      </c>
      <c r="H143" s="339">
        <f t="shared" si="59"/>
        <v>0</v>
      </c>
      <c r="I143" s="337">
        <f t="shared" si="60"/>
        <v>58835.851928669559</v>
      </c>
      <c r="J143" s="340">
        <f t="shared" si="61"/>
        <v>1.5707793303553574</v>
      </c>
      <c r="K143" s="348">
        <f t="shared" si="62"/>
        <v>1.6811187227452034</v>
      </c>
      <c r="L143" s="349">
        <f t="shared" si="63"/>
        <v>0.93372726549850715</v>
      </c>
      <c r="M143" s="337">
        <f t="shared" si="64"/>
        <v>1.0000318833689117</v>
      </c>
      <c r="N143" s="340">
        <f t="shared" si="65"/>
        <v>7.9853017238430916E-3</v>
      </c>
      <c r="O143" s="341">
        <f t="shared" si="66"/>
        <v>1.0001253862551585</v>
      </c>
      <c r="P143" s="342">
        <f t="shared" si="67"/>
        <v>1.9250740866085341E-2</v>
      </c>
      <c r="Q143" s="343">
        <f t="shared" si="68"/>
        <v>5.2726344482421803</v>
      </c>
      <c r="R143" s="344">
        <f t="shared" si="69"/>
        <v>-49.614335690702752</v>
      </c>
      <c r="S143" s="346">
        <f t="shared" si="70"/>
        <v>130.38566430929725</v>
      </c>
      <c r="U143" s="319">
        <f t="shared" si="76"/>
        <v>1000000000</v>
      </c>
      <c r="V143" s="319">
        <f t="shared" si="77"/>
        <v>66069260.890000001</v>
      </c>
      <c r="X143" s="345">
        <f t="shared" si="71"/>
        <v>6.8260742424080245</v>
      </c>
      <c r="Y143" s="346">
        <f t="shared" si="72"/>
        <v>-36.957918775537244</v>
      </c>
      <c r="AA143" s="345">
        <f t="shared" si="73"/>
        <v>35.279310363929163</v>
      </c>
      <c r="AB143" s="346">
        <f t="shared" si="74"/>
        <v>-12.656416915165504</v>
      </c>
      <c r="AD143">
        <f t="shared" si="78"/>
        <v>0</v>
      </c>
      <c r="AE143">
        <f t="shared" si="53"/>
        <v>0</v>
      </c>
    </row>
    <row r="144" spans="1:31" x14ac:dyDescent="0.2">
      <c r="A144" s="347">
        <v>8222.9500000000007</v>
      </c>
      <c r="B144" s="364">
        <f t="shared" si="75"/>
        <v>8.2229500000000009</v>
      </c>
      <c r="C144" s="337">
        <f t="shared" si="54"/>
        <v>1.021262676820508</v>
      </c>
      <c r="D144" s="338">
        <f t="shared" si="55"/>
        <v>0.20441446753600179</v>
      </c>
      <c r="E144" s="338">
        <f t="shared" si="56"/>
        <v>1.0000001179344595</v>
      </c>
      <c r="F144" s="339">
        <f t="shared" si="57"/>
        <v>4.8566335630447231E-4</v>
      </c>
      <c r="G144" s="338">
        <f t="shared" si="58"/>
        <v>1</v>
      </c>
      <c r="H144" s="339">
        <f t="shared" si="59"/>
        <v>0</v>
      </c>
      <c r="I144" s="337">
        <f t="shared" si="60"/>
        <v>59520.966083345098</v>
      </c>
      <c r="J144" s="340">
        <f t="shared" si="61"/>
        <v>1.570779525992325</v>
      </c>
      <c r="K144" s="348">
        <f t="shared" si="62"/>
        <v>1.693793737686538</v>
      </c>
      <c r="L144" s="349">
        <f t="shared" si="63"/>
        <v>0.9392535549558414</v>
      </c>
      <c r="M144" s="337">
        <f t="shared" si="64"/>
        <v>1.0000326302117959</v>
      </c>
      <c r="N144" s="340">
        <f t="shared" si="65"/>
        <v>8.0782825581845984E-3</v>
      </c>
      <c r="O144" s="341">
        <f t="shared" si="66"/>
        <v>1.0001283232322733</v>
      </c>
      <c r="P144" s="342">
        <f t="shared" si="67"/>
        <v>1.9474877127048318E-2</v>
      </c>
      <c r="Q144" s="343">
        <f t="shared" si="68"/>
        <v>5.2331887365034699</v>
      </c>
      <c r="R144" s="344">
        <f t="shared" si="69"/>
        <v>-49.446712412653014</v>
      </c>
      <c r="S144" s="346">
        <f t="shared" si="70"/>
        <v>130.55328758734697</v>
      </c>
      <c r="U144" s="319">
        <f t="shared" si="76"/>
        <v>1000000000</v>
      </c>
      <c r="V144" s="319">
        <f t="shared" si="77"/>
        <v>67616906.702500015</v>
      </c>
      <c r="X144" s="345">
        <f t="shared" si="71"/>
        <v>6.7907520075734817</v>
      </c>
      <c r="Y144" s="346">
        <f t="shared" si="72"/>
        <v>-36.646624331464572</v>
      </c>
      <c r="AA144" s="345">
        <f t="shared" si="73"/>
        <v>35.275186887024994</v>
      </c>
      <c r="AB144" s="346">
        <f t="shared" si="74"/>
        <v>-12.80008808118844</v>
      </c>
      <c r="AD144">
        <f t="shared" si="78"/>
        <v>0</v>
      </c>
      <c r="AE144">
        <f t="shared" si="53"/>
        <v>0</v>
      </c>
    </row>
    <row r="145" spans="1:31" x14ac:dyDescent="0.2">
      <c r="A145" s="347">
        <v>8270.2750000000015</v>
      </c>
      <c r="B145" s="364">
        <f t="shared" si="75"/>
        <v>8.2702750000000016</v>
      </c>
      <c r="C145" s="337">
        <f t="shared" si="54"/>
        <v>1.0215055404661613</v>
      </c>
      <c r="D145" s="338">
        <f t="shared" si="55"/>
        <v>0.20555814938422601</v>
      </c>
      <c r="E145" s="338">
        <f t="shared" si="56"/>
        <v>1.0000001192958463</v>
      </c>
      <c r="F145" s="339">
        <f t="shared" si="57"/>
        <v>4.8845846203802372E-4</v>
      </c>
      <c r="G145" s="338">
        <f t="shared" si="58"/>
        <v>1</v>
      </c>
      <c r="H145" s="339">
        <f t="shared" si="59"/>
        <v>0</v>
      </c>
      <c r="I145" s="337">
        <f t="shared" si="60"/>
        <v>59863.523160683711</v>
      </c>
      <c r="J145" s="340">
        <f t="shared" si="61"/>
        <v>1.5707796221315682</v>
      </c>
      <c r="K145" s="348">
        <f t="shared" si="62"/>
        <v>1.7001504261653162</v>
      </c>
      <c r="L145" s="349">
        <f t="shared" si="63"/>
        <v>0.94198575817799124</v>
      </c>
      <c r="M145" s="337">
        <f t="shared" si="64"/>
        <v>1.0000330068753784</v>
      </c>
      <c r="N145" s="340">
        <f t="shared" si="65"/>
        <v>8.1247729230745497E-3</v>
      </c>
      <c r="O145" s="341">
        <f t="shared" si="66"/>
        <v>1.000129804468932</v>
      </c>
      <c r="P145" s="342">
        <f t="shared" si="67"/>
        <v>1.9586944880412228E-2</v>
      </c>
      <c r="Q145" s="343">
        <f t="shared" si="68"/>
        <v>5.2137977814498893</v>
      </c>
      <c r="R145" s="344">
        <f t="shared" si="69"/>
        <v>-49.364626913761484</v>
      </c>
      <c r="S145" s="346">
        <f t="shared" si="70"/>
        <v>130.63537308623853</v>
      </c>
      <c r="U145" s="319">
        <f t="shared" si="76"/>
        <v>1000000000</v>
      </c>
      <c r="V145" s="319">
        <f t="shared" si="77"/>
        <v>68397448.575625017</v>
      </c>
      <c r="X145" s="345">
        <f t="shared" si="71"/>
        <v>6.7734392266609955</v>
      </c>
      <c r="Y145" s="346">
        <f t="shared" si="72"/>
        <v>-36.492749827956608</v>
      </c>
      <c r="AA145" s="345">
        <f t="shared" si="73"/>
        <v>35.273108712883896</v>
      </c>
      <c r="AB145" s="346">
        <f t="shared" si="74"/>
        <v>-12.871877085804883</v>
      </c>
      <c r="AD145">
        <f t="shared" si="78"/>
        <v>0</v>
      </c>
      <c r="AE145">
        <f t="shared" si="53"/>
        <v>0</v>
      </c>
    </row>
    <row r="146" spans="1:31" x14ac:dyDescent="0.2">
      <c r="A146" s="347">
        <v>8317.6</v>
      </c>
      <c r="B146" s="364">
        <f t="shared" si="75"/>
        <v>8.3176000000000005</v>
      </c>
      <c r="C146" s="337">
        <f t="shared" si="54"/>
        <v>1.0217497396132045</v>
      </c>
      <c r="D146" s="338">
        <f t="shared" si="55"/>
        <v>0.20670128604501728</v>
      </c>
      <c r="E146" s="338">
        <f t="shared" si="56"/>
        <v>1.000000120665046</v>
      </c>
      <c r="F146" s="339">
        <f t="shared" si="57"/>
        <v>4.9125356776394261E-4</v>
      </c>
      <c r="G146" s="338">
        <f t="shared" si="58"/>
        <v>1</v>
      </c>
      <c r="H146" s="339">
        <f t="shared" si="59"/>
        <v>0</v>
      </c>
      <c r="I146" s="337">
        <f t="shared" si="60"/>
        <v>60206.080238022856</v>
      </c>
      <c r="J146" s="340">
        <f t="shared" si="61"/>
        <v>1.5707797171767968</v>
      </c>
      <c r="K146" s="348">
        <f t="shared" si="62"/>
        <v>1.7065197115502371</v>
      </c>
      <c r="L146" s="349">
        <f t="shared" si="63"/>
        <v>0.94469758657990699</v>
      </c>
      <c r="M146" s="337">
        <f t="shared" si="64"/>
        <v>1.0000333857003847</v>
      </c>
      <c r="N146" s="340">
        <f t="shared" si="65"/>
        <v>8.1712632528427344E-3</v>
      </c>
      <c r="O146" s="341">
        <f t="shared" si="66"/>
        <v>1.0001312942042857</v>
      </c>
      <c r="P146" s="342">
        <f t="shared" si="67"/>
        <v>1.9699012380433301E-2</v>
      </c>
      <c r="Q146" s="343">
        <f t="shared" si="68"/>
        <v>5.1946229858141688</v>
      </c>
      <c r="R146" s="344">
        <f t="shared" si="69"/>
        <v>-49.283677489930284</v>
      </c>
      <c r="S146" s="346">
        <f t="shared" si="70"/>
        <v>130.71632251006972</v>
      </c>
      <c r="U146" s="319">
        <f t="shared" si="76"/>
        <v>1000000000</v>
      </c>
      <c r="V146" s="319">
        <f t="shared" si="77"/>
        <v>69182469.760000005</v>
      </c>
      <c r="X146" s="345">
        <f t="shared" si="71"/>
        <v>6.7563535410135174</v>
      </c>
      <c r="Y146" s="346">
        <f t="shared" si="72"/>
        <v>-36.340042650962992</v>
      </c>
      <c r="AA146" s="345">
        <f t="shared" si="73"/>
        <v>35.271019602895663</v>
      </c>
      <c r="AB146" s="346">
        <f t="shared" si="74"/>
        <v>-12.943634838967297</v>
      </c>
      <c r="AD146">
        <f t="shared" si="78"/>
        <v>0</v>
      </c>
      <c r="AE146">
        <f t="shared" si="53"/>
        <v>0</v>
      </c>
    </row>
    <row r="147" spans="1:31" x14ac:dyDescent="0.2">
      <c r="A147" s="347">
        <v>8366.0499999999993</v>
      </c>
      <c r="B147" s="364">
        <f t="shared" si="75"/>
        <v>8.3660499999999995</v>
      </c>
      <c r="C147" s="337">
        <f t="shared" si="54"/>
        <v>1.0220011263112909</v>
      </c>
      <c r="D147" s="338">
        <f t="shared" si="55"/>
        <v>0.20787102961949705</v>
      </c>
      <c r="E147" s="338">
        <f t="shared" si="56"/>
        <v>1.0000001220748873</v>
      </c>
      <c r="F147" s="339">
        <f t="shared" si="57"/>
        <v>4.9411511815051297E-4</v>
      </c>
      <c r="G147" s="338">
        <f t="shared" si="58"/>
        <v>1</v>
      </c>
      <c r="H147" s="339">
        <f t="shared" si="59"/>
        <v>0</v>
      </c>
      <c r="I147" s="337">
        <f t="shared" si="60"/>
        <v>60556.780510544944</v>
      </c>
      <c r="J147" s="340">
        <f t="shared" si="61"/>
        <v>1.5707798133674717</v>
      </c>
      <c r="K147" s="348">
        <f t="shared" si="62"/>
        <v>1.7130533091825135</v>
      </c>
      <c r="L147" s="349">
        <f t="shared" si="63"/>
        <v>0.94745296879840846</v>
      </c>
      <c r="M147" s="337">
        <f t="shared" si="64"/>
        <v>1.000033775769843</v>
      </c>
      <c r="N147" s="340">
        <f t="shared" si="65"/>
        <v>8.2188587044109244E-3</v>
      </c>
      <c r="O147" s="341">
        <f t="shared" si="66"/>
        <v>1.0001328281574262</v>
      </c>
      <c r="P147" s="342">
        <f t="shared" si="67"/>
        <v>1.9813743661661016E-2</v>
      </c>
      <c r="Q147" s="343">
        <f t="shared" si="68"/>
        <v>5.1752123984323219</v>
      </c>
      <c r="R147" s="344">
        <f t="shared" si="69"/>
        <v>-49.201969280952667</v>
      </c>
      <c r="S147" s="346">
        <f t="shared" si="70"/>
        <v>130.79803071904735</v>
      </c>
      <c r="U147" s="319">
        <f t="shared" si="76"/>
        <v>1000000000</v>
      </c>
      <c r="V147" s="319">
        <f t="shared" si="77"/>
        <v>69990792.602499992</v>
      </c>
      <c r="X147" s="345">
        <f t="shared" si="71"/>
        <v>6.7390930376391989</v>
      </c>
      <c r="Y147" s="346">
        <f t="shared" si="72"/>
        <v>-36.184903408538773</v>
      </c>
      <c r="AA147" s="345">
        <f t="shared" si="73"/>
        <v>35.268869518888131</v>
      </c>
      <c r="AB147" s="346">
        <f t="shared" si="74"/>
        <v>-13.017065872413903</v>
      </c>
      <c r="AD147">
        <f t="shared" si="78"/>
        <v>0</v>
      </c>
      <c r="AE147">
        <f t="shared" si="53"/>
        <v>0</v>
      </c>
    </row>
    <row r="148" spans="1:31" x14ac:dyDescent="0.2">
      <c r="A148" s="350">
        <v>8414.5</v>
      </c>
      <c r="B148" s="364">
        <f t="shared" si="75"/>
        <v>8.4145000000000003</v>
      </c>
      <c r="C148" s="337">
        <f t="shared" si="54"/>
        <v>1.0222539107246584</v>
      </c>
      <c r="D148" s="338">
        <f t="shared" si="55"/>
        <v>0.20904019628135204</v>
      </c>
      <c r="E148" s="338">
        <f t="shared" si="56"/>
        <v>1.0000001234929172</v>
      </c>
      <c r="F148" s="339">
        <f t="shared" si="57"/>
        <v>4.9697666852899117E-4</v>
      </c>
      <c r="G148" s="338">
        <f t="shared" si="58"/>
        <v>1</v>
      </c>
      <c r="H148" s="339">
        <f t="shared" si="59"/>
        <v>0</v>
      </c>
      <c r="I148" s="337">
        <f t="shared" si="60"/>
        <v>60907.4807830676</v>
      </c>
      <c r="J148" s="340">
        <f t="shared" si="61"/>
        <v>1.5707799084504308</v>
      </c>
      <c r="K148" s="348">
        <f t="shared" ref="K148:K157" si="79">SQRT(1+(A148/Zero2)^2)</f>
        <v>1.7195998136526922</v>
      </c>
      <c r="L148" s="349">
        <f t="shared" ref="L148:L157" si="80">ATAN(A148/Zero2)</f>
        <v>0.95018739220391524</v>
      </c>
      <c r="M148" s="337">
        <f t="shared" si="64"/>
        <v>1.0000341681047031</v>
      </c>
      <c r="N148" s="340">
        <f t="shared" si="65"/>
        <v>8.2664541187415039E-3</v>
      </c>
      <c r="O148" s="341">
        <f t="shared" si="66"/>
        <v>1.0001343710180606</v>
      </c>
      <c r="P148" s="342">
        <f t="shared" si="67"/>
        <v>1.9928474674285903E-2</v>
      </c>
      <c r="Q148" s="343">
        <f t="shared" si="68"/>
        <v>5.1560205247288486</v>
      </c>
      <c r="R148" s="344">
        <f t="shared" si="69"/>
        <v>-49.121428787855692</v>
      </c>
      <c r="S148" s="346">
        <f t="shared" si="70"/>
        <v>130.87857121214432</v>
      </c>
      <c r="U148" s="319">
        <f t="shared" si="76"/>
        <v>1000000000</v>
      </c>
      <c r="V148" s="319">
        <f t="shared" si="77"/>
        <v>70803810.25</v>
      </c>
      <c r="X148" s="345">
        <f t="shared" si="71"/>
        <v>6.722062675801336</v>
      </c>
      <c r="Y148" s="346">
        <f t="shared" si="72"/>
        <v>-36.030964952043121</v>
      </c>
      <c r="AA148" s="345">
        <f t="shared" si="73"/>
        <v>35.266708007022523</v>
      </c>
      <c r="AB148" s="346">
        <f t="shared" si="74"/>
        <v>-13.09046383581258</v>
      </c>
      <c r="AD148">
        <f t="shared" si="78"/>
        <v>0</v>
      </c>
      <c r="AE148">
        <f t="shared" si="53"/>
        <v>0</v>
      </c>
    </row>
    <row r="149" spans="1:31" x14ac:dyDescent="0.2">
      <c r="A149" s="350">
        <v>8462.9500000000007</v>
      </c>
      <c r="B149" s="364">
        <f t="shared" si="75"/>
        <v>8.4629500000000011</v>
      </c>
      <c r="C149" s="337">
        <f t="shared" si="54"/>
        <v>1.022508091816678</v>
      </c>
      <c r="D149" s="338">
        <f t="shared" si="55"/>
        <v>0.21020878326325906</v>
      </c>
      <c r="E149" s="338">
        <f t="shared" si="56"/>
        <v>1.0000001249191355</v>
      </c>
      <c r="F149" s="339">
        <f t="shared" si="57"/>
        <v>4.9983821889933047E-4</v>
      </c>
      <c r="G149" s="338">
        <f t="shared" si="58"/>
        <v>1</v>
      </c>
      <c r="H149" s="339">
        <f t="shared" si="59"/>
        <v>0</v>
      </c>
      <c r="I149" s="337">
        <f t="shared" si="60"/>
        <v>61258.181055590801</v>
      </c>
      <c r="J149" s="340">
        <f t="shared" si="61"/>
        <v>1.5707800024446985</v>
      </c>
      <c r="K149" s="348">
        <f t="shared" si="79"/>
        <v>1.7261590781121956</v>
      </c>
      <c r="L149" s="349">
        <f t="shared" si="80"/>
        <v>0.95290105459726149</v>
      </c>
      <c r="M149" s="337">
        <f t="shared" si="64"/>
        <v>1.0000345627049623</v>
      </c>
      <c r="N149" s="340">
        <f t="shared" si="65"/>
        <v>8.3140494956188745E-3</v>
      </c>
      <c r="O149" s="341">
        <f t="shared" si="66"/>
        <v>1.0001359227861573</v>
      </c>
      <c r="P149" s="342">
        <f t="shared" si="67"/>
        <v>2.0043205416753966E-2</v>
      </c>
      <c r="Q149" s="343">
        <f t="shared" si="68"/>
        <v>5.1370435145280346</v>
      </c>
      <c r="R149" s="344">
        <f t="shared" si="69"/>
        <v>-49.04204451991906</v>
      </c>
      <c r="S149" s="346">
        <f t="shared" si="70"/>
        <v>130.95795548008095</v>
      </c>
      <c r="U149" s="319">
        <f t="shared" si="76"/>
        <v>1000000000</v>
      </c>
      <c r="V149" s="319">
        <f t="shared" si="77"/>
        <v>71621522.702500015</v>
      </c>
      <c r="X149" s="345">
        <f t="shared" si="71"/>
        <v>6.7052585879681192</v>
      </c>
      <c r="Y149" s="346">
        <f t="shared" si="72"/>
        <v>-35.878215949400712</v>
      </c>
      <c r="AA149" s="345">
        <f t="shared" si="73"/>
        <v>35.264535084654923</v>
      </c>
      <c r="AB149" s="346">
        <f t="shared" si="74"/>
        <v>-13.163828570518353</v>
      </c>
      <c r="AD149">
        <f t="shared" si="78"/>
        <v>0</v>
      </c>
      <c r="AE149">
        <f t="shared" si="53"/>
        <v>0</v>
      </c>
    </row>
    <row r="150" spans="1:31" x14ac:dyDescent="0.2">
      <c r="A150" s="350">
        <v>8511.4</v>
      </c>
      <c r="B150" s="364">
        <f t="shared" si="75"/>
        <v>8.5114000000000001</v>
      </c>
      <c r="C150" s="337">
        <f t="shared" si="54"/>
        <v>1.022763668546026</v>
      </c>
      <c r="D150" s="338">
        <f t="shared" si="55"/>
        <v>0.21137678780697108</v>
      </c>
      <c r="E150" s="338">
        <f t="shared" si="56"/>
        <v>1.0000001263535423</v>
      </c>
      <c r="F150" s="339">
        <f t="shared" si="57"/>
        <v>5.0269976926148384E-4</v>
      </c>
      <c r="G150" s="338">
        <f t="shared" si="58"/>
        <v>1</v>
      </c>
      <c r="H150" s="339">
        <f t="shared" si="59"/>
        <v>0</v>
      </c>
      <c r="I150" s="337">
        <f t="shared" si="60"/>
        <v>61608.881328114527</v>
      </c>
      <c r="J150" s="340">
        <f t="shared" si="61"/>
        <v>1.5707800953688671</v>
      </c>
      <c r="K150" s="348">
        <f t="shared" si="79"/>
        <v>1.7327309576519585</v>
      </c>
      <c r="L150" s="349">
        <f t="shared" si="80"/>
        <v>0.95559415201023856</v>
      </c>
      <c r="M150" s="337">
        <f t="shared" si="64"/>
        <v>1.0000349595706177</v>
      </c>
      <c r="N150" s="340">
        <f t="shared" si="65"/>
        <v>8.3616448348274412E-3</v>
      </c>
      <c r="O150" s="341">
        <f t="shared" si="66"/>
        <v>1.0001374834616839</v>
      </c>
      <c r="P150" s="342">
        <f t="shared" si="67"/>
        <v>2.0157935887511205E-2</v>
      </c>
      <c r="Q150" s="343">
        <f t="shared" si="68"/>
        <v>5.1182775948507677</v>
      </c>
      <c r="R150" s="344">
        <f t="shared" si="69"/>
        <v>-48.963805088276409</v>
      </c>
      <c r="S150" s="346">
        <f t="shared" si="70"/>
        <v>131.03619491172358</v>
      </c>
      <c r="U150" s="319">
        <f t="shared" si="76"/>
        <v>1000000000</v>
      </c>
      <c r="V150" s="319">
        <f t="shared" si="77"/>
        <v>72443929.959999993</v>
      </c>
      <c r="X150" s="345">
        <f t="shared" si="71"/>
        <v>6.6886769837331181</v>
      </c>
      <c r="Y150" s="346">
        <f t="shared" si="72"/>
        <v>-35.726645169870146</v>
      </c>
      <c r="AA150" s="345">
        <f t="shared" si="73"/>
        <v>35.262350769212659</v>
      </c>
      <c r="AB150" s="346">
        <f t="shared" si="74"/>
        <v>-13.237159918406272</v>
      </c>
      <c r="AD150">
        <f t="shared" si="78"/>
        <v>0</v>
      </c>
      <c r="AE150">
        <f t="shared" si="53"/>
        <v>0</v>
      </c>
    </row>
    <row r="151" spans="1:31" x14ac:dyDescent="0.2">
      <c r="A151" s="350">
        <v>8560.9500000000007</v>
      </c>
      <c r="B151" s="364">
        <f t="shared" si="75"/>
        <v>8.5609500000000001</v>
      </c>
      <c r="C151" s="337">
        <f t="shared" si="54"/>
        <v>1.0230264902793844</v>
      </c>
      <c r="D151" s="338">
        <f t="shared" si="55"/>
        <v>0.21257070522509486</v>
      </c>
      <c r="E151" s="338">
        <f t="shared" si="56"/>
        <v>1.000000127828985</v>
      </c>
      <c r="F151" s="339">
        <f t="shared" si="57"/>
        <v>5.0562628773479922E-4</v>
      </c>
      <c r="G151" s="338">
        <f t="shared" si="58"/>
        <v>1</v>
      </c>
      <c r="H151" s="339">
        <f t="shared" si="59"/>
        <v>0</v>
      </c>
      <c r="I151" s="337">
        <f t="shared" si="60"/>
        <v>61967.543835928307</v>
      </c>
      <c r="J151" s="340">
        <f t="shared" si="61"/>
        <v>1.5707801893148847</v>
      </c>
      <c r="K151" s="348">
        <f t="shared" si="79"/>
        <v>1.7394649428880964</v>
      </c>
      <c r="L151" s="349">
        <f t="shared" si="80"/>
        <v>0.95832732482302829</v>
      </c>
      <c r="M151" s="337">
        <f t="shared" si="64"/>
        <v>1.0000353677897664</v>
      </c>
      <c r="N151" s="340">
        <f t="shared" si="65"/>
        <v>8.410320730786609E-3</v>
      </c>
      <c r="O151" s="341">
        <f t="shared" si="66"/>
        <v>1.0001390887835455</v>
      </c>
      <c r="P151" s="342">
        <f t="shared" si="67"/>
        <v>2.0275270895384372E-2</v>
      </c>
      <c r="Q151" s="343">
        <f t="shared" si="68"/>
        <v>5.0993000979815353</v>
      </c>
      <c r="R151" s="344">
        <f t="shared" si="69"/>
        <v>-48.884961680175103</v>
      </c>
      <c r="S151" s="346">
        <f t="shared" si="70"/>
        <v>131.11503831982489</v>
      </c>
      <c r="U151" s="319">
        <f t="shared" si="76"/>
        <v>1000000000</v>
      </c>
      <c r="V151" s="319">
        <f t="shared" si="77"/>
        <v>73289864.902500018</v>
      </c>
      <c r="X151" s="345">
        <f t="shared" si="71"/>
        <v>6.6719451603817879</v>
      </c>
      <c r="Y151" s="346">
        <f t="shared" si="72"/>
        <v>-35.572840208954439</v>
      </c>
      <c r="AA151" s="345">
        <f t="shared" si="73"/>
        <v>35.260105095694755</v>
      </c>
      <c r="AB151" s="346">
        <f t="shared" si="74"/>
        <v>-13.312121471220653</v>
      </c>
      <c r="AD151">
        <f t="shared" si="78"/>
        <v>0</v>
      </c>
      <c r="AE151">
        <f t="shared" si="53"/>
        <v>0</v>
      </c>
    </row>
    <row r="152" spans="1:31" x14ac:dyDescent="0.2">
      <c r="A152" s="350">
        <v>8610.5</v>
      </c>
      <c r="B152" s="364">
        <f t="shared" si="75"/>
        <v>8.6105</v>
      </c>
      <c r="C152" s="337">
        <f t="shared" si="54"/>
        <v>1.0232907695241056</v>
      </c>
      <c r="D152" s="338">
        <f t="shared" si="55"/>
        <v>0.2137640076515111</v>
      </c>
      <c r="E152" s="338">
        <f t="shared" si="56"/>
        <v>1.0000001293129923</v>
      </c>
      <c r="F152" s="339">
        <f t="shared" si="57"/>
        <v>5.0855280619945345E-4</v>
      </c>
      <c r="G152" s="338">
        <f t="shared" si="58"/>
        <v>1</v>
      </c>
      <c r="H152" s="339">
        <f t="shared" si="59"/>
        <v>0</v>
      </c>
      <c r="I152" s="337">
        <f t="shared" si="60"/>
        <v>62326.206343742611</v>
      </c>
      <c r="J152" s="340">
        <f t="shared" si="61"/>
        <v>1.5707802821796584</v>
      </c>
      <c r="K152" s="348">
        <f t="shared" si="79"/>
        <v>1.7462118220572072</v>
      </c>
      <c r="L152" s="349">
        <f t="shared" si="80"/>
        <v>0.96103939731894417</v>
      </c>
      <c r="M152" s="337">
        <f t="shared" si="64"/>
        <v>1.0000357783783396</v>
      </c>
      <c r="N152" s="340">
        <f t="shared" si="65"/>
        <v>8.4589965868909992E-3</v>
      </c>
      <c r="O152" s="341">
        <f t="shared" si="66"/>
        <v>1.0001407034218259</v>
      </c>
      <c r="P152" s="342">
        <f t="shared" si="67"/>
        <v>2.0392605615781413E-2</v>
      </c>
      <c r="Q152" s="343">
        <f t="shared" si="68"/>
        <v>5.0805356430740005</v>
      </c>
      <c r="R152" s="344">
        <f t="shared" si="69"/>
        <v>-48.8072919140442</v>
      </c>
      <c r="S152" s="346">
        <f t="shared" si="70"/>
        <v>131.19270808595581</v>
      </c>
      <c r="U152" s="319">
        <f t="shared" si="76"/>
        <v>1000000000</v>
      </c>
      <c r="V152" s="319">
        <f t="shared" si="77"/>
        <v>74140710.25</v>
      </c>
      <c r="X152" s="345">
        <f t="shared" si="71"/>
        <v>6.6554382581769307</v>
      </c>
      <c r="Y152" s="346">
        <f t="shared" si="72"/>
        <v>-35.420244142909148</v>
      </c>
      <c r="AA152" s="345">
        <f t="shared" si="73"/>
        <v>35.257847542992081</v>
      </c>
      <c r="AB152" s="346">
        <f t="shared" si="74"/>
        <v>-13.387047771135046</v>
      </c>
      <c r="AD152">
        <f t="shared" si="78"/>
        <v>0</v>
      </c>
      <c r="AE152">
        <f t="shared" si="53"/>
        <v>0</v>
      </c>
    </row>
    <row r="153" spans="1:31" x14ac:dyDescent="0.2">
      <c r="A153" s="350">
        <v>8660.0499999999993</v>
      </c>
      <c r="B153" s="364">
        <f t="shared" si="75"/>
        <v>8.66005</v>
      </c>
      <c r="C153" s="337">
        <f t="shared" si="54"/>
        <v>1.0235565051512143</v>
      </c>
      <c r="D153" s="338">
        <f t="shared" si="55"/>
        <v>0.21495669216545313</v>
      </c>
      <c r="E153" s="338">
        <f t="shared" si="56"/>
        <v>1.0000001308055639</v>
      </c>
      <c r="F153" s="339">
        <f t="shared" si="57"/>
        <v>5.1147932465539676E-4</v>
      </c>
      <c r="G153" s="338">
        <f t="shared" si="58"/>
        <v>1</v>
      </c>
      <c r="H153" s="339">
        <f t="shared" si="59"/>
        <v>0</v>
      </c>
      <c r="I153" s="337">
        <f t="shared" si="60"/>
        <v>62684.868851557454</v>
      </c>
      <c r="J153" s="340">
        <f t="shared" si="61"/>
        <v>1.5707803739817479</v>
      </c>
      <c r="K153" s="348">
        <f t="shared" si="79"/>
        <v>1.752971446279848</v>
      </c>
      <c r="L153" s="349">
        <f t="shared" si="80"/>
        <v>0.96373057346471269</v>
      </c>
      <c r="M153" s="337">
        <f t="shared" si="64"/>
        <v>1.0000361913363347</v>
      </c>
      <c r="N153" s="340">
        <f t="shared" si="65"/>
        <v>8.5076724029100066E-3</v>
      </c>
      <c r="O153" s="341">
        <f t="shared" si="66"/>
        <v>1.0001423273764898</v>
      </c>
      <c r="P153" s="342">
        <f t="shared" si="67"/>
        <v>2.0509940047040178E-2</v>
      </c>
      <c r="Q153" s="343">
        <f t="shared" si="68"/>
        <v>5.0619804334524598</v>
      </c>
      <c r="R153" s="344">
        <f t="shared" si="69"/>
        <v>-48.730783937058462</v>
      </c>
      <c r="S153" s="346">
        <f t="shared" si="70"/>
        <v>131.26921606294155</v>
      </c>
      <c r="U153" s="319">
        <f t="shared" si="76"/>
        <v>1000000000</v>
      </c>
      <c r="V153" s="319">
        <f t="shared" si="77"/>
        <v>74996466.002499983</v>
      </c>
      <c r="X153" s="345">
        <f t="shared" si="71"/>
        <v>6.6391524615731248</v>
      </c>
      <c r="Y153" s="346">
        <f t="shared" si="72"/>
        <v>-35.268845286351855</v>
      </c>
      <c r="AA153" s="345">
        <f t="shared" si="73"/>
        <v>35.255578129974346</v>
      </c>
      <c r="AB153" s="346">
        <f t="shared" si="74"/>
        <v>-13.461938650706616</v>
      </c>
      <c r="AD153">
        <f t="shared" si="78"/>
        <v>0</v>
      </c>
      <c r="AE153">
        <f t="shared" si="53"/>
        <v>0</v>
      </c>
    </row>
    <row r="154" spans="1:31" x14ac:dyDescent="0.2">
      <c r="A154" s="350">
        <v>8709.6</v>
      </c>
      <c r="B154" s="364">
        <f t="shared" si="75"/>
        <v>8.7096</v>
      </c>
      <c r="C154" s="337">
        <f t="shared" si="54"/>
        <v>1.0238236960266891</v>
      </c>
      <c r="D154" s="338">
        <f t="shared" si="55"/>
        <v>0.21614875585621021</v>
      </c>
      <c r="E154" s="338">
        <f t="shared" si="56"/>
        <v>1.0000001323067003</v>
      </c>
      <c r="F154" s="339">
        <f t="shared" si="57"/>
        <v>5.1440584310257908E-4</v>
      </c>
      <c r="G154" s="338">
        <f t="shared" si="58"/>
        <v>1</v>
      </c>
      <c r="H154" s="339">
        <f t="shared" si="59"/>
        <v>0</v>
      </c>
      <c r="I154" s="337">
        <f t="shared" si="60"/>
        <v>63043.531359372821</v>
      </c>
      <c r="J154" s="340">
        <f t="shared" si="61"/>
        <v>1.5707804647392902</v>
      </c>
      <c r="K154" s="348">
        <f t="shared" si="79"/>
        <v>1.7597436686850223</v>
      </c>
      <c r="L154" s="349">
        <f t="shared" si="80"/>
        <v>0.9664010553068707</v>
      </c>
      <c r="M154" s="337">
        <f t="shared" si="64"/>
        <v>1.0000366066637485</v>
      </c>
      <c r="N154" s="340">
        <f t="shared" si="65"/>
        <v>8.5563481786130238E-3</v>
      </c>
      <c r="O154" s="341">
        <f t="shared" si="66"/>
        <v>1.0001439606475029</v>
      </c>
      <c r="P154" s="342">
        <f t="shared" si="67"/>
        <v>2.0627274187498532E-2</v>
      </c>
      <c r="Q154" s="343">
        <f t="shared" si="68"/>
        <v>5.0436307493763453</v>
      </c>
      <c r="R154" s="344">
        <f t="shared" si="69"/>
        <v>-48.655426006963367</v>
      </c>
      <c r="S154" s="346">
        <f t="shared" si="70"/>
        <v>131.34457399303665</v>
      </c>
      <c r="U154" s="319">
        <f t="shared" si="76"/>
        <v>1000000000</v>
      </c>
      <c r="V154" s="319">
        <f t="shared" si="77"/>
        <v>75857132.160000011</v>
      </c>
      <c r="X154" s="345">
        <f t="shared" si="71"/>
        <v>6.6230840318841508</v>
      </c>
      <c r="Y154" s="346">
        <f t="shared" si="72"/>
        <v>-35.11863206389468</v>
      </c>
      <c r="AA154" s="345">
        <f t="shared" si="73"/>
        <v>35.253296875587203</v>
      </c>
      <c r="AB154" s="346">
        <f t="shared" si="74"/>
        <v>-13.536793943068686</v>
      </c>
      <c r="AD154">
        <f t="shared" si="78"/>
        <v>0</v>
      </c>
      <c r="AE154">
        <f t="shared" ref="AE154:AE217" si="81">IF(AD154&gt;0,S154,0)</f>
        <v>0</v>
      </c>
    </row>
    <row r="155" spans="1:31" x14ac:dyDescent="0.2">
      <c r="A155" s="350">
        <v>8760.3250000000007</v>
      </c>
      <c r="B155" s="364">
        <f t="shared" si="75"/>
        <v>8.7603249999999999</v>
      </c>
      <c r="C155" s="337">
        <f t="shared" si="54"/>
        <v>1.0240987291434891</v>
      </c>
      <c r="D155" s="338">
        <f t="shared" si="55"/>
        <v>0.21736844134606917</v>
      </c>
      <c r="E155" s="338">
        <f t="shared" si="56"/>
        <v>1.0000001338523052</v>
      </c>
      <c r="F155" s="339">
        <f t="shared" si="57"/>
        <v>5.1740175930401302E-4</v>
      </c>
      <c r="G155" s="338">
        <f t="shared" si="58"/>
        <v>1</v>
      </c>
      <c r="H155" s="339">
        <f t="shared" si="59"/>
        <v>0</v>
      </c>
      <c r="I155" s="337">
        <f t="shared" si="60"/>
        <v>63410.698982157104</v>
      </c>
      <c r="J155" s="340">
        <f t="shared" si="61"/>
        <v>1.5707805565855142</v>
      </c>
      <c r="K155" s="348">
        <f t="shared" si="79"/>
        <v>1.7666893822342646</v>
      </c>
      <c r="L155" s="349">
        <f t="shared" si="80"/>
        <v>0.96911363612115242</v>
      </c>
      <c r="M155" s="337">
        <f t="shared" si="64"/>
        <v>1.0000370342943585</v>
      </c>
      <c r="N155" s="340">
        <f t="shared" si="65"/>
        <v>8.606178181465288E-3</v>
      </c>
      <c r="O155" s="341">
        <f t="shared" si="66"/>
        <v>1.0001456422992738</v>
      </c>
      <c r="P155" s="342">
        <f t="shared" si="67"/>
        <v>2.0747390418840991E-2</v>
      </c>
      <c r="Q155" s="343">
        <f t="shared" si="68"/>
        <v>5.0250550207918572</v>
      </c>
      <c r="R155" s="344">
        <f t="shared" si="69"/>
        <v>-48.579460216542699</v>
      </c>
      <c r="S155" s="346">
        <f t="shared" si="70"/>
        <v>131.42053978345729</v>
      </c>
      <c r="U155" s="319">
        <f t="shared" si="76"/>
        <v>1000000000</v>
      </c>
      <c r="V155" s="319">
        <f t="shared" si="77"/>
        <v>76743294.105625018</v>
      </c>
      <c r="X155" s="345">
        <f t="shared" si="71"/>
        <v>6.6068559000705491</v>
      </c>
      <c r="Y155" s="346">
        <f t="shared" si="72"/>
        <v>-34.966072942731401</v>
      </c>
      <c r="AA155" s="345">
        <f t="shared" si="73"/>
        <v>35.250949278816314</v>
      </c>
      <c r="AB155" s="346">
        <f t="shared" si="74"/>
        <v>-13.613387273811295</v>
      </c>
      <c r="AD155">
        <f t="shared" si="78"/>
        <v>0</v>
      </c>
      <c r="AE155">
        <f t="shared" si="81"/>
        <v>0</v>
      </c>
    </row>
    <row r="156" spans="1:31" x14ac:dyDescent="0.2">
      <c r="A156" s="350">
        <v>8811.0499999999993</v>
      </c>
      <c r="B156" s="364">
        <f t="shared" si="75"/>
        <v>8.8110499999999998</v>
      </c>
      <c r="C156" s="337">
        <f t="shared" si="54"/>
        <v>1.0243752849236436</v>
      </c>
      <c r="D156" s="338">
        <f t="shared" si="55"/>
        <v>0.21858747007925186</v>
      </c>
      <c r="E156" s="338">
        <f t="shared" si="56"/>
        <v>1.0000001354068857</v>
      </c>
      <c r="F156" s="339">
        <f t="shared" si="57"/>
        <v>5.2039767549615882E-4</v>
      </c>
      <c r="G156" s="338">
        <f t="shared" si="58"/>
        <v>1</v>
      </c>
      <c r="H156" s="339">
        <f t="shared" si="59"/>
        <v>0</v>
      </c>
      <c r="I156" s="337">
        <f t="shared" si="60"/>
        <v>63777.866604941897</v>
      </c>
      <c r="J156" s="340">
        <f t="shared" si="61"/>
        <v>1.570780647374225</v>
      </c>
      <c r="K156" s="348">
        <f t="shared" si="79"/>
        <v>1.7736479933822826</v>
      </c>
      <c r="L156" s="349">
        <f t="shared" si="80"/>
        <v>0.97180495189526106</v>
      </c>
      <c r="M156" s="337">
        <f t="shared" si="64"/>
        <v>1.0000374644080878</v>
      </c>
      <c r="N156" s="340">
        <f t="shared" si="65"/>
        <v>8.6560081415777493E-3</v>
      </c>
      <c r="O156" s="341">
        <f t="shared" si="66"/>
        <v>1.0001473337144025</v>
      </c>
      <c r="P156" s="342">
        <f t="shared" si="67"/>
        <v>2.0867506341902767E-2</v>
      </c>
      <c r="Q156" s="343">
        <f t="shared" si="68"/>
        <v>5.0066870312074307</v>
      </c>
      <c r="R156" s="344">
        <f t="shared" si="69"/>
        <v>-48.504675113088268</v>
      </c>
      <c r="S156" s="346">
        <f t="shared" si="70"/>
        <v>131.49532488691173</v>
      </c>
      <c r="U156" s="319">
        <f t="shared" si="76"/>
        <v>1000000000</v>
      </c>
      <c r="V156" s="319">
        <f t="shared" si="77"/>
        <v>77634602.102499992</v>
      </c>
      <c r="X156" s="345">
        <f t="shared" si="71"/>
        <v>6.5908478764616198</v>
      </c>
      <c r="Y156" s="346">
        <f t="shared" si="72"/>
        <v>-34.814732155582774</v>
      </c>
      <c r="AA156" s="345">
        <f t="shared" si="73"/>
        <v>35.248589312840821</v>
      </c>
      <c r="AB156" s="346">
        <f t="shared" si="74"/>
        <v>-13.689942957505492</v>
      </c>
      <c r="AD156">
        <f t="shared" si="78"/>
        <v>0</v>
      </c>
      <c r="AE156">
        <f t="shared" si="81"/>
        <v>0</v>
      </c>
    </row>
    <row r="157" spans="1:31" x14ac:dyDescent="0.2">
      <c r="A157" s="350">
        <v>8861.7749999999996</v>
      </c>
      <c r="B157" s="364">
        <f t="shared" si="75"/>
        <v>8.8617749999999997</v>
      </c>
      <c r="C157" s="337">
        <f t="shared" si="54"/>
        <v>1.0246533621342435</v>
      </c>
      <c r="D157" s="338">
        <f t="shared" si="55"/>
        <v>0.21980583896598144</v>
      </c>
      <c r="E157" s="338">
        <f t="shared" si="56"/>
        <v>1.0000001369704414</v>
      </c>
      <c r="F157" s="339">
        <f t="shared" si="57"/>
        <v>5.2339359167896313E-4</v>
      </c>
      <c r="G157" s="338">
        <f t="shared" si="58"/>
        <v>1</v>
      </c>
      <c r="H157" s="339">
        <f t="shared" si="59"/>
        <v>0</v>
      </c>
      <c r="I157" s="337">
        <f t="shared" si="60"/>
        <v>64145.034227727221</v>
      </c>
      <c r="J157" s="340">
        <f t="shared" si="61"/>
        <v>1.5707807371235825</v>
      </c>
      <c r="K157" s="348">
        <f t="shared" si="79"/>
        <v>1.780619350918706</v>
      </c>
      <c r="L157" s="349">
        <f t="shared" si="80"/>
        <v>0.97447521317847585</v>
      </c>
      <c r="M157" s="337">
        <f t="shared" si="64"/>
        <v>1.0000378970049326</v>
      </c>
      <c r="N157" s="340">
        <f t="shared" si="65"/>
        <v>8.7058380587030082E-3</v>
      </c>
      <c r="O157" s="341">
        <f t="shared" si="66"/>
        <v>1.0001490348928506</v>
      </c>
      <c r="P157" s="342">
        <f t="shared" si="67"/>
        <v>2.0987621954900778E-2</v>
      </c>
      <c r="Q157" s="343">
        <f t="shared" si="68"/>
        <v>4.9885230290017066</v>
      </c>
      <c r="R157" s="344">
        <f t="shared" si="69"/>
        <v>-48.431058456907934</v>
      </c>
      <c r="S157" s="346">
        <f t="shared" si="70"/>
        <v>131.56894154309208</v>
      </c>
      <c r="U157" s="319">
        <f t="shared" si="76"/>
        <v>1000000000</v>
      </c>
      <c r="V157" s="319">
        <f t="shared" si="77"/>
        <v>78531056.15062499</v>
      </c>
      <c r="X157" s="345">
        <f t="shared" si="71"/>
        <v>6.5750561888662205</v>
      </c>
      <c r="Y157" s="346">
        <f t="shared" si="72"/>
        <v>-34.664597639889983</v>
      </c>
      <c r="AA157" s="345">
        <f t="shared" si="73"/>
        <v>35.246216998230494</v>
      </c>
      <c r="AB157" s="346">
        <f t="shared" si="74"/>
        <v>-13.766460817017949</v>
      </c>
      <c r="AD157">
        <f t="shared" si="78"/>
        <v>0</v>
      </c>
      <c r="AE157">
        <f t="shared" si="81"/>
        <v>0</v>
      </c>
    </row>
    <row r="158" spans="1:31" x14ac:dyDescent="0.2">
      <c r="A158" s="347">
        <v>8912.5</v>
      </c>
      <c r="B158" s="364">
        <f t="shared" si="75"/>
        <v>8.9124999999999996</v>
      </c>
      <c r="C158" s="337">
        <f t="shared" si="54"/>
        <v>1.0249329595369396</v>
      </c>
      <c r="D158" s="338">
        <f t="shared" si="55"/>
        <v>0.2210235449276608</v>
      </c>
      <c r="E158" s="338">
        <f t="shared" si="56"/>
        <v>1.0000001385429729</v>
      </c>
      <c r="F158" s="339">
        <f t="shared" si="57"/>
        <v>5.2638950785237207E-4</v>
      </c>
      <c r="G158" s="338">
        <f t="shared" si="58"/>
        <v>1</v>
      </c>
      <c r="H158" s="339">
        <f t="shared" si="59"/>
        <v>0</v>
      </c>
      <c r="I158" s="337">
        <f t="shared" si="60"/>
        <v>64512.201850513055</v>
      </c>
      <c r="J158" s="340">
        <f t="shared" si="61"/>
        <v>1.5707808258513332</v>
      </c>
      <c r="K158" s="348">
        <f t="shared" ref="K158:K214" si="82">SQRT(1+(A158/Zero2)^2)</f>
        <v>1.7876033057171146</v>
      </c>
      <c r="L158" s="349">
        <f t="shared" ref="L158:L214" si="83">ATAN(A158/Zero2)</f>
        <v>0.97712462843973591</v>
      </c>
      <c r="M158" s="337">
        <f t="shared" si="64"/>
        <v>1.0000383320848902</v>
      </c>
      <c r="N158" s="340">
        <f t="shared" si="65"/>
        <v>8.7556679325936585E-3</v>
      </c>
      <c r="O158" s="341">
        <f t="shared" si="66"/>
        <v>1.00015074583458</v>
      </c>
      <c r="P158" s="342">
        <f t="shared" si="67"/>
        <v>2.1107737256051945E-2</v>
      </c>
      <c r="Q158" s="343">
        <f t="shared" si="68"/>
        <v>4.9705593394565755</v>
      </c>
      <c r="R158" s="344">
        <f t="shared" si="69"/>
        <v>-48.358598128121173</v>
      </c>
      <c r="S158" s="346">
        <f t="shared" si="70"/>
        <v>131.64140187187883</v>
      </c>
      <c r="U158" s="319">
        <f t="shared" si="76"/>
        <v>1000000000</v>
      </c>
      <c r="V158" s="319">
        <f t="shared" si="77"/>
        <v>79432656.25</v>
      </c>
      <c r="X158" s="345">
        <f t="shared" si="71"/>
        <v>6.5594771419152673</v>
      </c>
      <c r="Y158" s="346">
        <f t="shared" si="72"/>
        <v>-34.515657452265295</v>
      </c>
      <c r="AA158" s="345">
        <f t="shared" si="73"/>
        <v>35.243832355636322</v>
      </c>
      <c r="AB158" s="346">
        <f t="shared" si="74"/>
        <v>-13.84294067585588</v>
      </c>
      <c r="AD158">
        <f t="shared" si="78"/>
        <v>0</v>
      </c>
      <c r="AE158">
        <f t="shared" si="81"/>
        <v>0</v>
      </c>
    </row>
    <row r="159" spans="1:31" x14ac:dyDescent="0.2">
      <c r="A159" s="347">
        <v>8964.4</v>
      </c>
      <c r="B159" s="364">
        <f t="shared" si="75"/>
        <v>8.9643999999999995</v>
      </c>
      <c r="C159" s="337">
        <f t="shared" si="54"/>
        <v>1.025220605691022</v>
      </c>
      <c r="D159" s="338">
        <f t="shared" si="55"/>
        <v>0.22226876864042211</v>
      </c>
      <c r="E159" s="338">
        <f t="shared" si="56"/>
        <v>1.0000001401612206</v>
      </c>
      <c r="F159" s="339">
        <f t="shared" si="57"/>
        <v>5.2945482177851899E-4</v>
      </c>
      <c r="G159" s="338">
        <f t="shared" si="58"/>
        <v>1</v>
      </c>
      <c r="H159" s="339">
        <f t="shared" si="59"/>
        <v>0</v>
      </c>
      <c r="I159" s="337">
        <f t="shared" si="60"/>
        <v>64887.874588267834</v>
      </c>
      <c r="J159" s="340">
        <f t="shared" si="61"/>
        <v>1.570780915595094</v>
      </c>
      <c r="K159" s="348">
        <f t="shared" si="82"/>
        <v>1.7947619226475779</v>
      </c>
      <c r="L159" s="349">
        <f t="shared" si="83"/>
        <v>0.979814054401695</v>
      </c>
      <c r="M159" s="337">
        <f t="shared" si="64"/>
        <v>1.0000387798131463</v>
      </c>
      <c r="N159" s="340">
        <f t="shared" si="65"/>
        <v>8.8066520266689863E-3</v>
      </c>
      <c r="O159" s="341">
        <f t="shared" si="66"/>
        <v>1.0001525065138661</v>
      </c>
      <c r="P159" s="342">
        <f t="shared" si="67"/>
        <v>2.1230634597857883E-2</v>
      </c>
      <c r="Q159" s="343">
        <f t="shared" si="68"/>
        <v>4.9523831093771964</v>
      </c>
      <c r="R159" s="344">
        <f t="shared" si="69"/>
        <v>-48.285643619195021</v>
      </c>
      <c r="S159" s="346">
        <f t="shared" si="70"/>
        <v>131.71435638080499</v>
      </c>
      <c r="U159" s="319">
        <f t="shared" si="76"/>
        <v>1000000000</v>
      </c>
      <c r="V159" s="319">
        <f t="shared" si="77"/>
        <v>80360467.359999999</v>
      </c>
      <c r="X159" s="345">
        <f t="shared" si="71"/>
        <v>6.5437535305958185</v>
      </c>
      <c r="Y159" s="346">
        <f t="shared" si="72"/>
        <v>-34.364491010510932</v>
      </c>
      <c r="AA159" s="345">
        <f t="shared" si="73"/>
        <v>35.241379736876382</v>
      </c>
      <c r="AB159" s="346">
        <f t="shared" si="74"/>
        <v>-13.921152608684089</v>
      </c>
      <c r="AD159">
        <f t="shared" si="78"/>
        <v>0</v>
      </c>
      <c r="AE159">
        <f t="shared" si="81"/>
        <v>0</v>
      </c>
    </row>
    <row r="160" spans="1:31" x14ac:dyDescent="0.2">
      <c r="A160" s="347">
        <v>9016.2999999999993</v>
      </c>
      <c r="B160" s="364">
        <f t="shared" si="75"/>
        <v>9.0162999999999993</v>
      </c>
      <c r="C160" s="337">
        <f t="shared" si="54"/>
        <v>1.0255098406405954</v>
      </c>
      <c r="D160" s="338">
        <f t="shared" si="55"/>
        <v>0.22351329187584792</v>
      </c>
      <c r="E160" s="338">
        <f t="shared" si="56"/>
        <v>1.0000001417888642</v>
      </c>
      <c r="F160" s="339">
        <f t="shared" si="57"/>
        <v>5.3252013569471607E-4</v>
      </c>
      <c r="G160" s="338">
        <f t="shared" si="58"/>
        <v>1</v>
      </c>
      <c r="H160" s="339">
        <f t="shared" si="59"/>
        <v>0</v>
      </c>
      <c r="I160" s="337">
        <f t="shared" si="60"/>
        <v>65263.547326023116</v>
      </c>
      <c r="J160" s="340">
        <f t="shared" si="61"/>
        <v>1.5707810043056816</v>
      </c>
      <c r="K160" s="348">
        <f t="shared" si="82"/>
        <v>1.8019334179134734</v>
      </c>
      <c r="L160" s="349">
        <f t="shared" si="83"/>
        <v>0.98248209229947281</v>
      </c>
      <c r="M160" s="337">
        <f t="shared" si="64"/>
        <v>1.0000392301408787</v>
      </c>
      <c r="N160" s="340">
        <f t="shared" si="65"/>
        <v>8.8576360749595372E-3</v>
      </c>
      <c r="O160" s="341">
        <f t="shared" si="66"/>
        <v>1.0001542774139056</v>
      </c>
      <c r="P160" s="342">
        <f t="shared" si="67"/>
        <v>2.1353531609425946E-2</v>
      </c>
      <c r="Q160" s="343">
        <f t="shared" si="68"/>
        <v>4.9344090354369792</v>
      </c>
      <c r="R160" s="344">
        <f t="shared" si="69"/>
        <v>-48.213874340944407</v>
      </c>
      <c r="S160" s="346">
        <f t="shared" si="70"/>
        <v>131.78612565905559</v>
      </c>
      <c r="U160" s="319">
        <f t="shared" si="76"/>
        <v>1000000000</v>
      </c>
      <c r="V160" s="319">
        <f t="shared" si="77"/>
        <v>81293665.689999983</v>
      </c>
      <c r="X160" s="345">
        <f t="shared" si="71"/>
        <v>6.5282449371518334</v>
      </c>
      <c r="Y160" s="346">
        <f t="shared" si="72"/>
        <v>-34.214549952747781</v>
      </c>
      <c r="AA160" s="345">
        <f t="shared" si="73"/>
        <v>35.238914256380156</v>
      </c>
      <c r="AB160" s="346">
        <f t="shared" si="74"/>
        <v>-13.999324388196618</v>
      </c>
      <c r="AD160">
        <f t="shared" si="78"/>
        <v>0</v>
      </c>
      <c r="AE160">
        <f t="shared" si="81"/>
        <v>0</v>
      </c>
    </row>
    <row r="161" spans="1:31" x14ac:dyDescent="0.2">
      <c r="A161" s="347">
        <v>9068.2000000000007</v>
      </c>
      <c r="B161" s="364">
        <f t="shared" si="75"/>
        <v>9.0682000000000009</v>
      </c>
      <c r="C161" s="337">
        <f t="shared" si="54"/>
        <v>1.025800663041728</v>
      </c>
      <c r="D161" s="338">
        <f t="shared" si="55"/>
        <v>0.22475711137296556</v>
      </c>
      <c r="E161" s="338">
        <f t="shared" si="56"/>
        <v>1.000000143425904</v>
      </c>
      <c r="F161" s="339">
        <f t="shared" si="57"/>
        <v>5.3558544960090608E-4</v>
      </c>
      <c r="G161" s="338">
        <f t="shared" si="58"/>
        <v>1</v>
      </c>
      <c r="H161" s="339">
        <f t="shared" si="59"/>
        <v>0</v>
      </c>
      <c r="I161" s="337">
        <f t="shared" si="60"/>
        <v>65639.220063778936</v>
      </c>
      <c r="J161" s="340">
        <f t="shared" si="61"/>
        <v>1.5707810920008349</v>
      </c>
      <c r="K161" s="348">
        <f t="shared" si="82"/>
        <v>1.8091176383623762</v>
      </c>
      <c r="L161" s="349">
        <f t="shared" si="83"/>
        <v>0.98512895872527528</v>
      </c>
      <c r="M161" s="337">
        <f t="shared" si="64"/>
        <v>1.0000396830680838</v>
      </c>
      <c r="N161" s="340">
        <f t="shared" si="65"/>
        <v>8.908620077200325E-3</v>
      </c>
      <c r="O161" s="341">
        <f t="shared" si="66"/>
        <v>1.0001560585346565</v>
      </c>
      <c r="P161" s="342">
        <f t="shared" si="67"/>
        <v>2.1476428288846376E-2</v>
      </c>
      <c r="Q161" s="343">
        <f t="shared" si="68"/>
        <v>4.9166334199914941</v>
      </c>
      <c r="R161" s="344">
        <f t="shared" si="69"/>
        <v>-48.143277697601818</v>
      </c>
      <c r="S161" s="346">
        <f t="shared" si="70"/>
        <v>131.85672230239817</v>
      </c>
      <c r="U161" s="319">
        <f t="shared" si="76"/>
        <v>1000000000</v>
      </c>
      <c r="V161" s="319">
        <f t="shared" si="77"/>
        <v>82232251.24000001</v>
      </c>
      <c r="X161" s="345">
        <f t="shared" si="71"/>
        <v>6.512947641559018</v>
      </c>
      <c r="Y161" s="346">
        <f t="shared" si="72"/>
        <v>-34.065821870157734</v>
      </c>
      <c r="AA161" s="345">
        <f t="shared" si="73"/>
        <v>35.236435936527485</v>
      </c>
      <c r="AB161" s="346">
        <f t="shared" si="74"/>
        <v>-14.077455827444076</v>
      </c>
      <c r="AD161">
        <f t="shared" si="78"/>
        <v>0</v>
      </c>
      <c r="AE161">
        <f t="shared" si="81"/>
        <v>0</v>
      </c>
    </row>
    <row r="162" spans="1:31" x14ac:dyDescent="0.2">
      <c r="A162" s="347">
        <v>9120.1</v>
      </c>
      <c r="B162" s="364">
        <f t="shared" si="75"/>
        <v>9.1201000000000008</v>
      </c>
      <c r="C162" s="337">
        <f t="shared" si="54"/>
        <v>1.0260930715446404</v>
      </c>
      <c r="D162" s="338">
        <f t="shared" si="55"/>
        <v>0.22600022388319893</v>
      </c>
      <c r="E162" s="338">
        <f t="shared" si="56"/>
        <v>1.0000001450723401</v>
      </c>
      <c r="F162" s="339">
        <f t="shared" si="57"/>
        <v>5.3865076349703122E-4</v>
      </c>
      <c r="G162" s="338">
        <f t="shared" si="58"/>
        <v>1</v>
      </c>
      <c r="H162" s="339">
        <f t="shared" si="59"/>
        <v>0</v>
      </c>
      <c r="I162" s="337">
        <f t="shared" si="60"/>
        <v>66014.892801535243</v>
      </c>
      <c r="J162" s="340">
        <f t="shared" si="61"/>
        <v>1.57078117869789</v>
      </c>
      <c r="K162" s="348">
        <f t="shared" si="82"/>
        <v>1.8163144329953489</v>
      </c>
      <c r="L162" s="349">
        <f t="shared" si="83"/>
        <v>0.98775486803421664</v>
      </c>
      <c r="M162" s="337">
        <f t="shared" si="64"/>
        <v>1.0000401385947582</v>
      </c>
      <c r="N162" s="340">
        <f t="shared" si="65"/>
        <v>8.9596040331263553E-3</v>
      </c>
      <c r="O162" s="341">
        <f t="shared" si="66"/>
        <v>1.000157849876077</v>
      </c>
      <c r="P162" s="342">
        <f t="shared" si="67"/>
        <v>2.1599324634209445E-2</v>
      </c>
      <c r="Q162" s="343">
        <f t="shared" si="68"/>
        <v>4.8990526420256932</v>
      </c>
      <c r="R162" s="344">
        <f t="shared" si="69"/>
        <v>-48.073841222262843</v>
      </c>
      <c r="S162" s="346">
        <f t="shared" si="70"/>
        <v>131.92615877773716</v>
      </c>
      <c r="U162" s="319">
        <f t="shared" si="76"/>
        <v>1000000000</v>
      </c>
      <c r="V162" s="319">
        <f t="shared" si="77"/>
        <v>83176224.010000005</v>
      </c>
      <c r="X162" s="345">
        <f t="shared" si="71"/>
        <v>6.4978580003359729</v>
      </c>
      <c r="Y162" s="346">
        <f t="shared" si="72"/>
        <v>-33.918294482075495</v>
      </c>
      <c r="AA162" s="345">
        <f t="shared" si="73"/>
        <v>35.23394479978473</v>
      </c>
      <c r="AB162" s="346">
        <f t="shared" si="74"/>
        <v>-14.155546740187349</v>
      </c>
      <c r="AD162">
        <f t="shared" si="78"/>
        <v>0</v>
      </c>
      <c r="AE162">
        <f t="shared" si="81"/>
        <v>0</v>
      </c>
    </row>
    <row r="163" spans="1:31" x14ac:dyDescent="0.2">
      <c r="A163" s="347">
        <v>9173.2000000000007</v>
      </c>
      <c r="B163" s="364">
        <f t="shared" si="75"/>
        <v>9.1732000000000014</v>
      </c>
      <c r="C163" s="337">
        <f t="shared" si="54"/>
        <v>1.0263938810590238</v>
      </c>
      <c r="D163" s="338">
        <f t="shared" si="55"/>
        <v>0.2272713438085974</v>
      </c>
      <c r="E163" s="338">
        <f t="shared" si="56"/>
        <v>1.0000001467665685</v>
      </c>
      <c r="F163" s="339">
        <f t="shared" si="57"/>
        <v>5.4178695169241654E-4</v>
      </c>
      <c r="G163" s="338">
        <f t="shared" si="58"/>
        <v>1</v>
      </c>
      <c r="H163" s="339">
        <f t="shared" si="59"/>
        <v>0</v>
      </c>
      <c r="I163" s="337">
        <f t="shared" si="60"/>
        <v>66399.251614153458</v>
      </c>
      <c r="J163" s="340">
        <f t="shared" si="61"/>
        <v>1.5707812663841882</v>
      </c>
      <c r="K163" s="348">
        <f t="shared" si="82"/>
        <v>1.8236904858927887</v>
      </c>
      <c r="L163" s="349">
        <f t="shared" si="83"/>
        <v>0.99042002367697091</v>
      </c>
      <c r="M163" s="337">
        <f t="shared" si="64"/>
        <v>1.0000406073441568</v>
      </c>
      <c r="N163" s="340">
        <f t="shared" si="65"/>
        <v>9.011766760632792E-3</v>
      </c>
      <c r="O163" s="341">
        <f t="shared" si="66"/>
        <v>1.0001596932136272</v>
      </c>
      <c r="P163" s="342">
        <f t="shared" si="67"/>
        <v>2.172506216584524E-2</v>
      </c>
      <c r="Q163" s="343">
        <f t="shared" si="68"/>
        <v>4.8812633210379071</v>
      </c>
      <c r="R163" s="344">
        <f t="shared" si="69"/>
        <v>-48.003987126818636</v>
      </c>
      <c r="S163" s="346">
        <f t="shared" si="70"/>
        <v>131.99601287318137</v>
      </c>
      <c r="U163" s="319">
        <f t="shared" si="76"/>
        <v>1000000000</v>
      </c>
      <c r="V163" s="319">
        <f t="shared" si="77"/>
        <v>84147598.24000001</v>
      </c>
      <c r="X163" s="345">
        <f t="shared" si="71"/>
        <v>6.4826306559399862</v>
      </c>
      <c r="Y163" s="346">
        <f t="shared" si="72"/>
        <v>-33.768586040017958</v>
      </c>
      <c r="AA163" s="345">
        <f t="shared" si="73"/>
        <v>35.231382823192931</v>
      </c>
      <c r="AB163" s="346">
        <f t="shared" si="74"/>
        <v>-14.235401086800684</v>
      </c>
      <c r="AD163">
        <f t="shared" si="78"/>
        <v>0</v>
      </c>
      <c r="AE163">
        <f t="shared" si="81"/>
        <v>0</v>
      </c>
    </row>
    <row r="164" spans="1:31" x14ac:dyDescent="0.2">
      <c r="A164" s="347">
        <v>9226.2999999999993</v>
      </c>
      <c r="B164" s="364">
        <f t="shared" si="75"/>
        <v>9.2262999999999984</v>
      </c>
      <c r="C164" s="337">
        <f t="shared" si="54"/>
        <v>1.0266963479917366</v>
      </c>
      <c r="D164" s="338">
        <f t="shared" si="55"/>
        <v>0.22854171683631128</v>
      </c>
      <c r="E164" s="338">
        <f t="shared" si="56"/>
        <v>1.0000001484706325</v>
      </c>
      <c r="F164" s="339">
        <f t="shared" si="57"/>
        <v>5.4492313987714405E-4</v>
      </c>
      <c r="G164" s="338">
        <f t="shared" si="58"/>
        <v>1</v>
      </c>
      <c r="H164" s="339">
        <f t="shared" si="59"/>
        <v>0</v>
      </c>
      <c r="I164" s="337">
        <f t="shared" si="60"/>
        <v>66783.610426772182</v>
      </c>
      <c r="J164" s="340">
        <f t="shared" si="61"/>
        <v>1.570781353061167</v>
      </c>
      <c r="K164" s="348">
        <f t="shared" si="82"/>
        <v>1.8310793881477239</v>
      </c>
      <c r="L164" s="349">
        <f t="shared" si="83"/>
        <v>0.99306368871924056</v>
      </c>
      <c r="M164" s="337">
        <f t="shared" si="64"/>
        <v>1.0000410788146135</v>
      </c>
      <c r="N164" s="340">
        <f t="shared" si="65"/>
        <v>9.0639294390968111E-3</v>
      </c>
      <c r="O164" s="341">
        <f t="shared" si="66"/>
        <v>1.0001615472498528</v>
      </c>
      <c r="P164" s="342">
        <f t="shared" si="67"/>
        <v>2.1850799343753134E-2</v>
      </c>
      <c r="Q164" s="343">
        <f t="shared" si="68"/>
        <v>4.8636705209643925</v>
      </c>
      <c r="R164" s="344">
        <f t="shared" si="69"/>
        <v>-47.93532147709152</v>
      </c>
      <c r="S164" s="346">
        <f t="shared" si="70"/>
        <v>132.06467852290848</v>
      </c>
      <c r="U164" s="319">
        <f t="shared" si="76"/>
        <v>1000000000</v>
      </c>
      <c r="V164" s="319">
        <f t="shared" si="77"/>
        <v>85124611.689999983</v>
      </c>
      <c r="X164" s="345">
        <f t="shared" si="71"/>
        <v>6.4676132010359968</v>
      </c>
      <c r="Y164" s="346">
        <f t="shared" si="72"/>
        <v>-33.62010885802912</v>
      </c>
      <c r="AA164" s="345">
        <f t="shared" si="73"/>
        <v>35.228807478023406</v>
      </c>
      <c r="AB164" s="346">
        <f t="shared" si="74"/>
        <v>-14.315212619062406</v>
      </c>
      <c r="AD164">
        <f t="shared" si="78"/>
        <v>0</v>
      </c>
      <c r="AE164">
        <f t="shared" si="81"/>
        <v>0</v>
      </c>
    </row>
    <row r="165" spans="1:31" x14ac:dyDescent="0.2">
      <c r="A165" s="347">
        <v>9279.4</v>
      </c>
      <c r="B165" s="364">
        <f t="shared" si="75"/>
        <v>9.279399999999999</v>
      </c>
      <c r="C165" s="337">
        <f t="shared" si="54"/>
        <v>1.0270004708783755</v>
      </c>
      <c r="D165" s="338">
        <f t="shared" si="55"/>
        <v>0.22981133952769975</v>
      </c>
      <c r="E165" s="338">
        <f t="shared" si="56"/>
        <v>1.0000001501845324</v>
      </c>
      <c r="F165" s="339">
        <f t="shared" si="57"/>
        <v>5.4805932805115237E-4</v>
      </c>
      <c r="G165" s="338">
        <f t="shared" si="58"/>
        <v>1</v>
      </c>
      <c r="H165" s="339">
        <f t="shared" si="59"/>
        <v>0</v>
      </c>
      <c r="I165" s="337">
        <f t="shared" si="60"/>
        <v>67167.969239391416</v>
      </c>
      <c r="J165" s="340">
        <f t="shared" si="61"/>
        <v>1.5707814387461532</v>
      </c>
      <c r="K165" s="348">
        <f t="shared" si="82"/>
        <v>1.8384809848344681</v>
      </c>
      <c r="L165" s="349">
        <f t="shared" si="83"/>
        <v>0.99568608554316673</v>
      </c>
      <c r="M165" s="337">
        <f t="shared" si="64"/>
        <v>1.0000415530061242</v>
      </c>
      <c r="N165" s="340">
        <f t="shared" si="65"/>
        <v>9.1160920682346203E-3</v>
      </c>
      <c r="O165" s="341">
        <f t="shared" si="66"/>
        <v>1.0001634119847083</v>
      </c>
      <c r="P165" s="342">
        <f t="shared" si="67"/>
        <v>2.1976536165887999E-2</v>
      </c>
      <c r="Q165" s="343">
        <f t="shared" si="68"/>
        <v>4.8462706011679613</v>
      </c>
      <c r="R165" s="344">
        <f t="shared" si="69"/>
        <v>-47.867831335363086</v>
      </c>
      <c r="S165" s="346">
        <f t="shared" si="70"/>
        <v>132.13216866463691</v>
      </c>
      <c r="U165" s="319">
        <f t="shared" si="76"/>
        <v>1000000000</v>
      </c>
      <c r="V165" s="319">
        <f t="shared" si="77"/>
        <v>86107264.359999999</v>
      </c>
      <c r="X165" s="345">
        <f t="shared" si="71"/>
        <v>6.4528019706488156</v>
      </c>
      <c r="Y165" s="346">
        <f t="shared" si="72"/>
        <v>-33.47285019552735</v>
      </c>
      <c r="AA165" s="345">
        <f t="shared" si="73"/>
        <v>35.226218788614155</v>
      </c>
      <c r="AB165" s="346">
        <f t="shared" si="74"/>
        <v>-14.394981139835741</v>
      </c>
      <c r="AD165">
        <f t="shared" si="78"/>
        <v>0</v>
      </c>
      <c r="AE165">
        <f t="shared" si="81"/>
        <v>0</v>
      </c>
    </row>
    <row r="166" spans="1:31" x14ac:dyDescent="0.2">
      <c r="A166" s="347">
        <v>9332.5</v>
      </c>
      <c r="B166" s="364">
        <f t="shared" si="75"/>
        <v>9.3324999999999996</v>
      </c>
      <c r="C166" s="337">
        <f t="shared" si="54"/>
        <v>1.0273062482482589</v>
      </c>
      <c r="D166" s="338">
        <f t="shared" si="55"/>
        <v>0.23108020845785859</v>
      </c>
      <c r="E166" s="338">
        <f t="shared" si="56"/>
        <v>1.0000001519082677</v>
      </c>
      <c r="F166" s="339">
        <f t="shared" si="57"/>
        <v>5.511955162143796E-4</v>
      </c>
      <c r="G166" s="338">
        <f t="shared" si="58"/>
        <v>1</v>
      </c>
      <c r="H166" s="339">
        <f t="shared" si="59"/>
        <v>0</v>
      </c>
      <c r="I166" s="337">
        <f t="shared" si="60"/>
        <v>67552.328052011129</v>
      </c>
      <c r="J166" s="340">
        <f t="shared" si="61"/>
        <v>1.5707815234560796</v>
      </c>
      <c r="K166" s="348">
        <f t="shared" si="82"/>
        <v>1.845895123248148</v>
      </c>
      <c r="L166" s="349">
        <f t="shared" si="83"/>
        <v>0.99828743413733378</v>
      </c>
      <c r="M166" s="337">
        <f t="shared" si="64"/>
        <v>1.0000420299186854</v>
      </c>
      <c r="N166" s="340">
        <f t="shared" si="65"/>
        <v>9.1682546477624242E-3</v>
      </c>
      <c r="O166" s="341">
        <f t="shared" si="66"/>
        <v>1.0001652874181468</v>
      </c>
      <c r="P166" s="342">
        <f t="shared" si="67"/>
        <v>2.2102272630204721E-2</v>
      </c>
      <c r="Q166" s="343">
        <f t="shared" si="68"/>
        <v>4.8290599972793782</v>
      </c>
      <c r="R166" s="344">
        <f t="shared" si="69"/>
        <v>-47.80150390182007</v>
      </c>
      <c r="S166" s="346">
        <f t="shared" si="70"/>
        <v>132.19849609817993</v>
      </c>
      <c r="U166" s="319">
        <f t="shared" si="76"/>
        <v>1000000000</v>
      </c>
      <c r="V166" s="319">
        <f t="shared" si="77"/>
        <v>87095556.25</v>
      </c>
      <c r="X166" s="345">
        <f t="shared" si="71"/>
        <v>6.4381933759792584</v>
      </c>
      <c r="Y166" s="346">
        <f t="shared" si="72"/>
        <v>-33.326797449049124</v>
      </c>
      <c r="AA166" s="345">
        <f t="shared" si="73"/>
        <v>35.22361677939513</v>
      </c>
      <c r="AB166" s="346">
        <f t="shared" si="74"/>
        <v>-14.474706452770954</v>
      </c>
      <c r="AD166">
        <f t="shared" si="78"/>
        <v>0</v>
      </c>
      <c r="AE166">
        <f t="shared" si="81"/>
        <v>0</v>
      </c>
    </row>
    <row r="167" spans="1:31" x14ac:dyDescent="0.2">
      <c r="A167" s="347">
        <v>9386.85</v>
      </c>
      <c r="B167" s="364">
        <f t="shared" si="75"/>
        <v>9.3868500000000008</v>
      </c>
      <c r="C167" s="337">
        <f t="shared" si="54"/>
        <v>1.0276209355883059</v>
      </c>
      <c r="D167" s="338">
        <f t="shared" si="55"/>
        <v>0.23237816303782363</v>
      </c>
      <c r="E167" s="338">
        <f t="shared" si="56"/>
        <v>1.0000001536827665</v>
      </c>
      <c r="F167" s="339">
        <f t="shared" si="57"/>
        <v>5.5440553177135005E-4</v>
      </c>
      <c r="G167" s="338">
        <f t="shared" si="58"/>
        <v>1</v>
      </c>
      <c r="H167" s="339">
        <f t="shared" si="59"/>
        <v>0</v>
      </c>
      <c r="I167" s="337">
        <f t="shared" si="60"/>
        <v>67945.734859278702</v>
      </c>
      <c r="J167" s="340">
        <f t="shared" si="61"/>
        <v>1.5707816091676297</v>
      </c>
      <c r="K167" s="348">
        <f t="shared" si="82"/>
        <v>1.853496625085443</v>
      </c>
      <c r="L167" s="349">
        <f t="shared" si="83"/>
        <v>1.0009284495699362</v>
      </c>
      <c r="M167" s="337">
        <f t="shared" si="64"/>
        <v>1.0000425208758843</v>
      </c>
      <c r="N167" s="340">
        <f t="shared" si="65"/>
        <v>9.2216451082816012E-3</v>
      </c>
      <c r="O167" s="341">
        <f t="shared" si="66"/>
        <v>1.0001672180794809</v>
      </c>
      <c r="P167" s="342">
        <f t="shared" si="67"/>
        <v>2.2230968619770759E-2</v>
      </c>
      <c r="Q167" s="343">
        <f t="shared" si="68"/>
        <v>4.8116366585661252</v>
      </c>
      <c r="R167" s="344">
        <f t="shared" si="69"/>
        <v>-47.734805958921392</v>
      </c>
      <c r="S167" s="346">
        <f t="shared" si="70"/>
        <v>132.26519404107862</v>
      </c>
      <c r="U167" s="319">
        <f t="shared" si="76"/>
        <v>1000000000</v>
      </c>
      <c r="V167" s="319">
        <f t="shared" si="77"/>
        <v>88112952.922499999</v>
      </c>
      <c r="X167" s="345">
        <f t="shared" si="71"/>
        <v>6.4234470672950694</v>
      </c>
      <c r="Y167" s="346">
        <f t="shared" si="72"/>
        <v>-33.17854236992676</v>
      </c>
      <c r="AA167" s="345">
        <f t="shared" si="73"/>
        <v>35.220939749366067</v>
      </c>
      <c r="AB167" s="346">
        <f t="shared" si="74"/>
        <v>-14.55626358899463</v>
      </c>
      <c r="AD167">
        <f t="shared" si="78"/>
        <v>0</v>
      </c>
      <c r="AE167">
        <f t="shared" si="81"/>
        <v>0</v>
      </c>
    </row>
    <row r="168" spans="1:31" x14ac:dyDescent="0.2">
      <c r="A168" s="347">
        <v>9441.2000000000007</v>
      </c>
      <c r="B168" s="364">
        <f t="shared" si="75"/>
        <v>9.4412000000000003</v>
      </c>
      <c r="C168" s="337">
        <f t="shared" si="54"/>
        <v>1.0279373530853777</v>
      </c>
      <c r="D168" s="338">
        <f t="shared" si="55"/>
        <v>0.23367532073471903</v>
      </c>
      <c r="E168" s="338">
        <f t="shared" si="56"/>
        <v>1.0000001554675695</v>
      </c>
      <c r="F168" s="339">
        <f t="shared" si="57"/>
        <v>5.5761554731689517E-4</v>
      </c>
      <c r="G168" s="338">
        <f t="shared" si="58"/>
        <v>1</v>
      </c>
      <c r="H168" s="339">
        <f t="shared" si="59"/>
        <v>0</v>
      </c>
      <c r="I168" s="337">
        <f t="shared" si="60"/>
        <v>68339.14166654677</v>
      </c>
      <c r="J168" s="340">
        <f t="shared" si="61"/>
        <v>1.5707816938923513</v>
      </c>
      <c r="K168" s="348">
        <f t="shared" si="82"/>
        <v>1.8611109493333278</v>
      </c>
      <c r="L168" s="349">
        <f t="shared" si="83"/>
        <v>1.0035478728863818</v>
      </c>
      <c r="M168" s="337">
        <f t="shared" si="64"/>
        <v>1.0000430146837429</v>
      </c>
      <c r="N168" s="340">
        <f t="shared" si="65"/>
        <v>9.2750355162259795E-3</v>
      </c>
      <c r="O168" s="341">
        <f t="shared" si="66"/>
        <v>1.0001691599489282</v>
      </c>
      <c r="P168" s="342">
        <f t="shared" si="67"/>
        <v>2.2359664230138587E-2</v>
      </c>
      <c r="Q168" s="343">
        <f t="shared" si="68"/>
        <v>4.7944043345896601</v>
      </c>
      <c r="R168" s="344">
        <f t="shared" si="69"/>
        <v>-47.669299413834743</v>
      </c>
      <c r="S168" s="346">
        <f t="shared" si="70"/>
        <v>132.33070058616525</v>
      </c>
      <c r="U168" s="319">
        <f t="shared" si="76"/>
        <v>1000000000</v>
      </c>
      <c r="V168" s="319">
        <f t="shared" si="77"/>
        <v>89136257.440000013</v>
      </c>
      <c r="X168" s="345">
        <f t="shared" si="71"/>
        <v>6.4089056755664844</v>
      </c>
      <c r="Y168" s="346">
        <f t="shared" si="72"/>
        <v>-33.031524368378939</v>
      </c>
      <c r="AA168" s="345">
        <f t="shared" si="73"/>
        <v>35.21824881711818</v>
      </c>
      <c r="AB168" s="346">
        <f t="shared" si="74"/>
        <v>-14.63777504545579</v>
      </c>
      <c r="AD168">
        <f t="shared" si="78"/>
        <v>0</v>
      </c>
      <c r="AE168">
        <f t="shared" si="81"/>
        <v>0</v>
      </c>
    </row>
    <row r="169" spans="1:31" x14ac:dyDescent="0.2">
      <c r="A169" s="347">
        <v>9495.5499999999993</v>
      </c>
      <c r="B169" s="364">
        <f t="shared" si="75"/>
        <v>9.4955499999999997</v>
      </c>
      <c r="C169" s="337">
        <f t="shared" si="54"/>
        <v>1.0282554991422483</v>
      </c>
      <c r="D169" s="338">
        <f t="shared" si="55"/>
        <v>0.23497167792098242</v>
      </c>
      <c r="E169" s="338">
        <f t="shared" si="56"/>
        <v>1.0000001572626767</v>
      </c>
      <c r="F169" s="339">
        <f t="shared" si="57"/>
        <v>5.6082556285094861E-4</v>
      </c>
      <c r="G169" s="338">
        <f t="shared" si="58"/>
        <v>1</v>
      </c>
      <c r="H169" s="339">
        <f t="shared" si="59"/>
        <v>0</v>
      </c>
      <c r="I169" s="337">
        <f t="shared" si="60"/>
        <v>68732.548473815303</v>
      </c>
      <c r="J169" s="340">
        <f t="shared" si="61"/>
        <v>1.5707817776471895</v>
      </c>
      <c r="K169" s="348">
        <f t="shared" si="82"/>
        <v>1.8687379392539545</v>
      </c>
      <c r="L169" s="349">
        <f t="shared" si="83"/>
        <v>1.0061459322956343</v>
      </c>
      <c r="M169" s="337">
        <f t="shared" si="64"/>
        <v>1.0000435113422568</v>
      </c>
      <c r="N169" s="340">
        <f t="shared" si="65"/>
        <v>9.328425871291254E-3</v>
      </c>
      <c r="O169" s="341">
        <f t="shared" si="66"/>
        <v>1.0001711130264379</v>
      </c>
      <c r="P169" s="342">
        <f t="shared" si="67"/>
        <v>2.2488359459115374E-2</v>
      </c>
      <c r="Q169" s="343">
        <f t="shared" si="68"/>
        <v>4.7773594397864541</v>
      </c>
      <c r="R169" s="344">
        <f t="shared" si="69"/>
        <v>-47.604970984133423</v>
      </c>
      <c r="S169" s="346">
        <f t="shared" si="70"/>
        <v>132.39502901586658</v>
      </c>
      <c r="U169" s="319">
        <f t="shared" si="76"/>
        <v>1000000000</v>
      </c>
      <c r="V169" s="319">
        <f t="shared" si="77"/>
        <v>90165469.80249998</v>
      </c>
      <c r="X169" s="345">
        <f t="shared" si="71"/>
        <v>6.3945655887391819</v>
      </c>
      <c r="Y169" s="346">
        <f t="shared" si="72"/>
        <v>-32.885730369948618</v>
      </c>
      <c r="AA169" s="345">
        <f t="shared" si="73"/>
        <v>35.215544009142278</v>
      </c>
      <c r="AB169" s="346">
        <f t="shared" si="74"/>
        <v>-14.719240614184791</v>
      </c>
      <c r="AD169">
        <f t="shared" si="78"/>
        <v>0</v>
      </c>
      <c r="AE169">
        <f t="shared" si="81"/>
        <v>0</v>
      </c>
    </row>
    <row r="170" spans="1:31" x14ac:dyDescent="0.2">
      <c r="A170" s="347">
        <v>9549.9</v>
      </c>
      <c r="B170" s="364">
        <f t="shared" si="75"/>
        <v>9.5498999999999992</v>
      </c>
      <c r="C170" s="337">
        <f t="shared" si="54"/>
        <v>1.0285753721549489</v>
      </c>
      <c r="D170" s="338">
        <f t="shared" si="55"/>
        <v>0.23626723098428987</v>
      </c>
      <c r="E170" s="338">
        <f t="shared" si="56"/>
        <v>1.000000159068088</v>
      </c>
      <c r="F170" s="339">
        <f t="shared" si="57"/>
        <v>5.6403557837344436E-4</v>
      </c>
      <c r="G170" s="338">
        <f t="shared" si="58"/>
        <v>1</v>
      </c>
      <c r="H170" s="339">
        <f t="shared" si="59"/>
        <v>0</v>
      </c>
      <c r="I170" s="337">
        <f t="shared" si="60"/>
        <v>69125.955281084331</v>
      </c>
      <c r="J170" s="340">
        <f t="shared" si="61"/>
        <v>1.5707818604487034</v>
      </c>
      <c r="K170" s="348">
        <f t="shared" si="82"/>
        <v>1.8763774403992595</v>
      </c>
      <c r="L170" s="349">
        <f t="shared" si="83"/>
        <v>1.008722853453029</v>
      </c>
      <c r="M170" s="337">
        <f t="shared" si="64"/>
        <v>1.0000440108514221</v>
      </c>
      <c r="N170" s="340">
        <f t="shared" si="65"/>
        <v>9.3818161731731228E-3</v>
      </c>
      <c r="O170" s="341">
        <f t="shared" si="66"/>
        <v>1.0001730773119601</v>
      </c>
      <c r="P170" s="342">
        <f t="shared" si="67"/>
        <v>2.2617054304508347E-2</v>
      </c>
      <c r="Q170" s="343">
        <f t="shared" si="68"/>
        <v>4.7604984645479922</v>
      </c>
      <c r="R170" s="344">
        <f t="shared" si="69"/>
        <v>-47.541807534553854</v>
      </c>
      <c r="S170" s="346">
        <f t="shared" si="70"/>
        <v>132.45819246544613</v>
      </c>
      <c r="U170" s="319">
        <f t="shared" si="76"/>
        <v>1000000000</v>
      </c>
      <c r="V170" s="319">
        <f t="shared" si="77"/>
        <v>91200590.00999999</v>
      </c>
      <c r="X170" s="345">
        <f t="shared" si="71"/>
        <v>6.3804232706161184</v>
      </c>
      <c r="Y170" s="346">
        <f t="shared" si="72"/>
        <v>-32.741147446468766</v>
      </c>
      <c r="AA170" s="345">
        <f t="shared" si="73"/>
        <v>35.212825352026883</v>
      </c>
      <c r="AB170" s="346">
        <f t="shared" si="74"/>
        <v>-14.800660088085085</v>
      </c>
      <c r="AD170">
        <f t="shared" si="78"/>
        <v>0</v>
      </c>
      <c r="AE170">
        <f t="shared" si="81"/>
        <v>0</v>
      </c>
    </row>
    <row r="171" spans="1:31" x14ac:dyDescent="0.2">
      <c r="A171" s="347">
        <v>9605.5249999999996</v>
      </c>
      <c r="B171" s="364">
        <f t="shared" si="75"/>
        <v>9.6055250000000001</v>
      </c>
      <c r="C171" s="337">
        <f t="shared" si="54"/>
        <v>1.0289045356076614</v>
      </c>
      <c r="D171" s="338">
        <f t="shared" si="55"/>
        <v>0.23759234011294469</v>
      </c>
      <c r="E171" s="338">
        <f t="shared" si="56"/>
        <v>1.0000001609265221</v>
      </c>
      <c r="F171" s="339">
        <f t="shared" si="57"/>
        <v>5.6732089783590313E-4</v>
      </c>
      <c r="G171" s="338">
        <f t="shared" si="58"/>
        <v>1</v>
      </c>
      <c r="H171" s="339">
        <f t="shared" si="59"/>
        <v>0</v>
      </c>
      <c r="I171" s="337">
        <f t="shared" si="60"/>
        <v>69528.591042894186</v>
      </c>
      <c r="J171" s="340">
        <f t="shared" si="61"/>
        <v>1.5707819442224176</v>
      </c>
      <c r="K171" s="348">
        <f t="shared" si="82"/>
        <v>1.884208953182124</v>
      </c>
      <c r="L171" s="349">
        <f t="shared" si="83"/>
        <v>1.0113385716943102</v>
      </c>
      <c r="M171" s="337">
        <f t="shared" si="64"/>
        <v>1.0000445250303454</v>
      </c>
      <c r="N171" s="340">
        <f t="shared" si="65"/>
        <v>9.4364589060506408E-3</v>
      </c>
      <c r="O171" s="341">
        <f t="shared" si="66"/>
        <v>1.0001750992832144</v>
      </c>
      <c r="P171" s="342">
        <f t="shared" si="67"/>
        <v>2.2748767810736453E-2</v>
      </c>
      <c r="Q171" s="343">
        <f t="shared" si="68"/>
        <v>4.7434288040046235</v>
      </c>
      <c r="R171" s="344">
        <f t="shared" si="69"/>
        <v>-47.478355070254132</v>
      </c>
      <c r="S171" s="346">
        <f t="shared" si="70"/>
        <v>132.52164492974586</v>
      </c>
      <c r="U171" s="319">
        <f t="shared" si="76"/>
        <v>1000000000</v>
      </c>
      <c r="V171" s="319">
        <f t="shared" si="77"/>
        <v>92266110.52562499</v>
      </c>
      <c r="X171" s="345">
        <f t="shared" si="71"/>
        <v>6.366150356766477</v>
      </c>
      <c r="Y171" s="346">
        <f t="shared" si="72"/>
        <v>-32.594413428535503</v>
      </c>
      <c r="AA171" s="345">
        <f t="shared" si="73"/>
        <v>35.210028605333157</v>
      </c>
      <c r="AB171" s="346">
        <f t="shared" si="74"/>
        <v>-14.883941641718616</v>
      </c>
      <c r="AD171">
        <f t="shared" si="78"/>
        <v>0</v>
      </c>
      <c r="AE171">
        <f t="shared" si="81"/>
        <v>0</v>
      </c>
    </row>
    <row r="172" spans="1:31" x14ac:dyDescent="0.2">
      <c r="A172" s="347">
        <v>9661.15</v>
      </c>
      <c r="B172" s="364">
        <f t="shared" si="75"/>
        <v>9.6611499999999992</v>
      </c>
      <c r="C172" s="337">
        <f t="shared" si="54"/>
        <v>1.0292355045710178</v>
      </c>
      <c r="D172" s="338">
        <f t="shared" si="55"/>
        <v>0.23891659934087389</v>
      </c>
      <c r="E172" s="338">
        <f t="shared" si="56"/>
        <v>1.0000001627957498</v>
      </c>
      <c r="F172" s="339">
        <f t="shared" si="57"/>
        <v>5.706062172861154E-4</v>
      </c>
      <c r="G172" s="338">
        <f t="shared" si="58"/>
        <v>1</v>
      </c>
      <c r="H172" s="339">
        <f t="shared" si="59"/>
        <v>0</v>
      </c>
      <c r="I172" s="337">
        <f t="shared" si="60"/>
        <v>69931.226804704522</v>
      </c>
      <c r="J172" s="340">
        <f t="shared" si="61"/>
        <v>1.5707820270314614</v>
      </c>
      <c r="K172" s="348">
        <f t="shared" si="82"/>
        <v>1.8920532509155337</v>
      </c>
      <c r="L172" s="349">
        <f t="shared" si="83"/>
        <v>1.0139326184547008</v>
      </c>
      <c r="M172" s="337">
        <f t="shared" si="64"/>
        <v>1.0000450421952265</v>
      </c>
      <c r="N172" s="340">
        <f t="shared" si="65"/>
        <v>9.491101582575252E-3</v>
      </c>
      <c r="O172" s="341">
        <f t="shared" si="66"/>
        <v>1.0001771329943994</v>
      </c>
      <c r="P172" s="342">
        <f t="shared" si="67"/>
        <v>2.2880480910525157E-2</v>
      </c>
      <c r="Q172" s="343">
        <f t="shared" si="68"/>
        <v>4.7265445906065287</v>
      </c>
      <c r="R172" s="344">
        <f t="shared" si="69"/>
        <v>-47.416095512835106</v>
      </c>
      <c r="S172" s="346">
        <f t="shared" si="70"/>
        <v>132.58390448716489</v>
      </c>
      <c r="U172" s="319">
        <f t="shared" si="76"/>
        <v>1000000000</v>
      </c>
      <c r="V172" s="319">
        <f t="shared" si="77"/>
        <v>93337819.32249999</v>
      </c>
      <c r="X172" s="345">
        <f t="shared" si="71"/>
        <v>6.3520773399340102</v>
      </c>
      <c r="Y172" s="346">
        <f t="shared" si="72"/>
        <v>-32.448921036494156</v>
      </c>
      <c r="AA172" s="345">
        <f t="shared" si="73"/>
        <v>35.207217408767526</v>
      </c>
      <c r="AB172" s="346">
        <f t="shared" si="74"/>
        <v>-14.967174476340947</v>
      </c>
      <c r="AD172">
        <f t="shared" si="78"/>
        <v>0</v>
      </c>
      <c r="AE172">
        <f t="shared" si="81"/>
        <v>0</v>
      </c>
    </row>
    <row r="173" spans="1:31" x14ac:dyDescent="0.2">
      <c r="A173" s="347">
        <v>9716.7749999999996</v>
      </c>
      <c r="B173" s="364">
        <f t="shared" si="75"/>
        <v>9.7167750000000002</v>
      </c>
      <c r="C173" s="337">
        <f t="shared" si="54"/>
        <v>1.0295682773037989</v>
      </c>
      <c r="D173" s="338">
        <f t="shared" si="55"/>
        <v>0.24024000484535538</v>
      </c>
      <c r="E173" s="338">
        <f t="shared" si="56"/>
        <v>1.0000001646757706</v>
      </c>
      <c r="F173" s="339">
        <f t="shared" si="57"/>
        <v>5.7389153672401027E-4</v>
      </c>
      <c r="G173" s="338">
        <f t="shared" si="58"/>
        <v>1</v>
      </c>
      <c r="H173" s="339">
        <f t="shared" si="59"/>
        <v>0</v>
      </c>
      <c r="I173" s="337">
        <f t="shared" si="60"/>
        <v>70333.862566515323</v>
      </c>
      <c r="J173" s="340">
        <f t="shared" si="61"/>
        <v>1.5707821088924021</v>
      </c>
      <c r="K173" s="348">
        <f t="shared" si="82"/>
        <v>1.8999101752410215</v>
      </c>
      <c r="L173" s="349">
        <f t="shared" si="83"/>
        <v>1.0165052274676785</v>
      </c>
      <c r="M173" s="337">
        <f t="shared" si="64"/>
        <v>1.0000455623460613</v>
      </c>
      <c r="N173" s="340">
        <f t="shared" si="65"/>
        <v>9.54574420242074E-3</v>
      </c>
      <c r="O173" s="341">
        <f t="shared" si="66"/>
        <v>1.0001791784454599</v>
      </c>
      <c r="P173" s="342">
        <f t="shared" si="67"/>
        <v>2.3012193601523866E-2</v>
      </c>
      <c r="Q173" s="343">
        <f t="shared" si="68"/>
        <v>4.7098422972496845</v>
      </c>
      <c r="R173" s="344">
        <f t="shared" si="69"/>
        <v>-47.35501525212505</v>
      </c>
      <c r="S173" s="346">
        <f t="shared" si="70"/>
        <v>132.64498474787496</v>
      </c>
      <c r="U173" s="319">
        <f t="shared" si="76"/>
        <v>1000000000</v>
      </c>
      <c r="V173" s="319">
        <f t="shared" si="77"/>
        <v>94415716.40062499</v>
      </c>
      <c r="X173" s="345">
        <f t="shared" si="71"/>
        <v>6.3382006641979416</v>
      </c>
      <c r="Y173" s="346">
        <f t="shared" si="72"/>
        <v>-32.304656879333471</v>
      </c>
      <c r="AA173" s="345">
        <f t="shared" si="73"/>
        <v>35.204391791146755</v>
      </c>
      <c r="AB173" s="346">
        <f t="shared" si="74"/>
        <v>-15.050358372791566</v>
      </c>
      <c r="AD173">
        <f t="shared" si="78"/>
        <v>0</v>
      </c>
      <c r="AE173">
        <f t="shared" si="81"/>
        <v>0</v>
      </c>
    </row>
    <row r="174" spans="1:31" x14ac:dyDescent="0.2">
      <c r="A174" s="347">
        <v>9772.4</v>
      </c>
      <c r="B174" s="364">
        <f t="shared" si="75"/>
        <v>9.7723999999999993</v>
      </c>
      <c r="C174" s="337">
        <f t="shared" si="54"/>
        <v>1.0299028520575522</v>
      </c>
      <c r="D174" s="338">
        <f t="shared" si="55"/>
        <v>0.24156255282055589</v>
      </c>
      <c r="E174" s="338">
        <f t="shared" si="56"/>
        <v>1.0000001665665847</v>
      </c>
      <c r="F174" s="339">
        <f t="shared" si="57"/>
        <v>5.7717685614951651E-4</v>
      </c>
      <c r="G174" s="338">
        <f t="shared" si="58"/>
        <v>1</v>
      </c>
      <c r="H174" s="339">
        <f t="shared" si="59"/>
        <v>0</v>
      </c>
      <c r="I174" s="337">
        <f t="shared" si="60"/>
        <v>70736.498328326619</v>
      </c>
      <c r="J174" s="340">
        <f t="shared" si="61"/>
        <v>1.5707821898214294</v>
      </c>
      <c r="K174" s="348">
        <f t="shared" si="82"/>
        <v>1.9077795701560134</v>
      </c>
      <c r="L174" s="349">
        <f t="shared" si="83"/>
        <v>1.0190566297545722</v>
      </c>
      <c r="M174" s="337">
        <f t="shared" si="64"/>
        <v>1.0000460854828448</v>
      </c>
      <c r="N174" s="340">
        <f t="shared" si="65"/>
        <v>9.6003867652608849E-3</v>
      </c>
      <c r="O174" s="341">
        <f t="shared" si="66"/>
        <v>1.0001812356363402</v>
      </c>
      <c r="P174" s="342">
        <f t="shared" si="67"/>
        <v>2.314390588138206E-2</v>
      </c>
      <c r="Q174" s="343">
        <f t="shared" si="68"/>
        <v>4.6933184723703931</v>
      </c>
      <c r="R174" s="344">
        <f t="shared" si="69"/>
        <v>-47.295100834292803</v>
      </c>
      <c r="S174" s="346">
        <f t="shared" si="70"/>
        <v>132.70489916570719</v>
      </c>
      <c r="U174" s="319">
        <f t="shared" si="76"/>
        <v>1000000000</v>
      </c>
      <c r="V174" s="319">
        <f t="shared" si="77"/>
        <v>95499801.75999999</v>
      </c>
      <c r="X174" s="345">
        <f t="shared" si="71"/>
        <v>6.3245168490741399</v>
      </c>
      <c r="Y174" s="346">
        <f t="shared" si="72"/>
        <v>-32.161607721415201</v>
      </c>
      <c r="AA174" s="345">
        <f t="shared" si="73"/>
        <v>35.20155178139126</v>
      </c>
      <c r="AB174" s="346">
        <f t="shared" si="74"/>
        <v>-15.133493112877607</v>
      </c>
      <c r="AD174">
        <f t="shared" si="78"/>
        <v>0</v>
      </c>
      <c r="AE174">
        <f t="shared" si="81"/>
        <v>0</v>
      </c>
    </row>
    <row r="175" spans="1:31" x14ac:dyDescent="0.2">
      <c r="A175" s="347">
        <v>9829.2999999999993</v>
      </c>
      <c r="B175" s="364">
        <f t="shared" si="75"/>
        <v>9.8292999999999999</v>
      </c>
      <c r="C175" s="337">
        <f t="shared" si="54"/>
        <v>1.0302469583368641</v>
      </c>
      <c r="D175" s="338">
        <f t="shared" si="55"/>
        <v>0.24291452419039963</v>
      </c>
      <c r="E175" s="338">
        <f t="shared" si="56"/>
        <v>1.0000001685119062</v>
      </c>
      <c r="F175" s="339">
        <f t="shared" si="57"/>
        <v>5.8053747951300819E-4</v>
      </c>
      <c r="G175" s="338">
        <f t="shared" si="58"/>
        <v>1</v>
      </c>
      <c r="H175" s="339">
        <f t="shared" si="59"/>
        <v>0</v>
      </c>
      <c r="I175" s="337">
        <f t="shared" si="60"/>
        <v>71148.363044678757</v>
      </c>
      <c r="J175" s="340">
        <f t="shared" si="61"/>
        <v>1.5707822716577544</v>
      </c>
      <c r="K175" s="348">
        <f t="shared" si="82"/>
        <v>1.9158420846320463</v>
      </c>
      <c r="L175" s="349">
        <f t="shared" si="83"/>
        <v>1.0216448102272033</v>
      </c>
      <c r="M175" s="337">
        <f t="shared" si="64"/>
        <v>1.0000466237000201</v>
      </c>
      <c r="N175" s="340">
        <f t="shared" si="65"/>
        <v>9.6562817499963212E-3</v>
      </c>
      <c r="O175" s="341">
        <f t="shared" si="66"/>
        <v>1.000183352127294</v>
      </c>
      <c r="P175" s="342">
        <f t="shared" si="67"/>
        <v>2.3278636756449315E-2</v>
      </c>
      <c r="Q175" s="343">
        <f t="shared" si="68"/>
        <v>4.6765970294543289</v>
      </c>
      <c r="R175" s="344">
        <f t="shared" si="69"/>
        <v>-47.235005466612286</v>
      </c>
      <c r="S175" s="346">
        <f t="shared" si="70"/>
        <v>132.76499453338772</v>
      </c>
      <c r="U175" s="319">
        <f t="shared" si="76"/>
        <v>1000000000</v>
      </c>
      <c r="V175" s="319">
        <f t="shared" si="77"/>
        <v>96615138.48999998</v>
      </c>
      <c r="X175" s="345">
        <f t="shared" si="71"/>
        <v>6.3107153732538404</v>
      </c>
      <c r="Y175" s="346">
        <f t="shared" si="72"/>
        <v>-32.016523139146805</v>
      </c>
      <c r="AA175" s="345">
        <f t="shared" si="73"/>
        <v>35.198631814295496</v>
      </c>
      <c r="AB175" s="346">
        <f t="shared" si="74"/>
        <v>-15.218482327465486</v>
      </c>
      <c r="AD175">
        <f t="shared" si="78"/>
        <v>0</v>
      </c>
      <c r="AE175">
        <f t="shared" si="81"/>
        <v>0</v>
      </c>
    </row>
    <row r="176" spans="1:31" x14ac:dyDescent="0.2">
      <c r="A176" s="347">
        <v>9886.2000000000007</v>
      </c>
      <c r="B176" s="364">
        <f t="shared" si="75"/>
        <v>9.8862000000000005</v>
      </c>
      <c r="C176" s="337">
        <f t="shared" si="54"/>
        <v>1.0305929464694374</v>
      </c>
      <c r="D176" s="338">
        <f t="shared" si="55"/>
        <v>0.24426559026736475</v>
      </c>
      <c r="E176" s="338">
        <f t="shared" si="56"/>
        <v>1.0000001704685215</v>
      </c>
      <c r="F176" s="339">
        <f t="shared" si="57"/>
        <v>5.8389810286338687E-4</v>
      </c>
      <c r="G176" s="338">
        <f t="shared" si="58"/>
        <v>1</v>
      </c>
      <c r="H176" s="339">
        <f t="shared" si="59"/>
        <v>0</v>
      </c>
      <c r="I176" s="337">
        <f t="shared" si="60"/>
        <v>71560.22776103139</v>
      </c>
      <c r="J176" s="340">
        <f t="shared" si="61"/>
        <v>1.5707823525520621</v>
      </c>
      <c r="K176" s="348">
        <f t="shared" si="82"/>
        <v>1.9239173251047006</v>
      </c>
      <c r="L176" s="349">
        <f t="shared" si="83"/>
        <v>1.0242112810796873</v>
      </c>
      <c r="M176" s="337">
        <f t="shared" si="64"/>
        <v>1.000047165041587</v>
      </c>
      <c r="N176" s="340">
        <f t="shared" si="65"/>
        <v>9.7121766743926852E-3</v>
      </c>
      <c r="O176" s="341">
        <f t="shared" si="66"/>
        <v>1.0001854809023016</v>
      </c>
      <c r="P176" s="342">
        <f t="shared" si="67"/>
        <v>2.3413367196336996E-2</v>
      </c>
      <c r="Q176" s="343">
        <f t="shared" si="68"/>
        <v>4.6600552583892982</v>
      </c>
      <c r="R176" s="344">
        <f t="shared" si="69"/>
        <v>-47.17610201671723</v>
      </c>
      <c r="S176" s="346">
        <f t="shared" si="70"/>
        <v>132.82389798328276</v>
      </c>
      <c r="U176" s="319">
        <f t="shared" si="76"/>
        <v>1000000000</v>
      </c>
      <c r="V176" s="319">
        <f t="shared" si="77"/>
        <v>97736950.440000013</v>
      </c>
      <c r="X176" s="345">
        <f t="shared" si="71"/>
        <v>6.297108567210441</v>
      </c>
      <c r="Y176" s="346">
        <f t="shared" si="72"/>
        <v>-31.872682369058296</v>
      </c>
      <c r="AA176" s="345">
        <f t="shared" si="73"/>
        <v>35.195696849273872</v>
      </c>
      <c r="AB176" s="346">
        <f t="shared" si="74"/>
        <v>-15.303419647658933</v>
      </c>
      <c r="AD176">
        <f t="shared" si="78"/>
        <v>0</v>
      </c>
      <c r="AE176">
        <f t="shared" si="81"/>
        <v>0</v>
      </c>
    </row>
    <row r="177" spans="1:31" x14ac:dyDescent="0.2">
      <c r="A177" s="347">
        <v>9943.1</v>
      </c>
      <c r="B177" s="364">
        <f t="shared" si="75"/>
        <v>9.9431000000000012</v>
      </c>
      <c r="C177" s="337">
        <f t="shared" si="54"/>
        <v>1.0309408145605985</v>
      </c>
      <c r="D177" s="338">
        <f t="shared" si="55"/>
        <v>0.24561574703298744</v>
      </c>
      <c r="E177" s="338">
        <f t="shared" si="56"/>
        <v>1.0000001724364305</v>
      </c>
      <c r="F177" s="339">
        <f t="shared" si="57"/>
        <v>5.8725872620057679E-4</v>
      </c>
      <c r="G177" s="338">
        <f t="shared" si="58"/>
        <v>1</v>
      </c>
      <c r="H177" s="339">
        <f t="shared" si="59"/>
        <v>0</v>
      </c>
      <c r="I177" s="337">
        <f t="shared" si="60"/>
        <v>71972.092477384474</v>
      </c>
      <c r="J177" s="340">
        <f t="shared" si="61"/>
        <v>1.5707824325205242</v>
      </c>
      <c r="K177" s="348">
        <f t="shared" si="82"/>
        <v>1.9320051320006737</v>
      </c>
      <c r="L177" s="349">
        <f t="shared" si="83"/>
        <v>1.0267562809333577</v>
      </c>
      <c r="M177" s="337">
        <f t="shared" si="64"/>
        <v>1.0000477095075404</v>
      </c>
      <c r="N177" s="340">
        <f t="shared" si="65"/>
        <v>9.7680715381008136E-3</v>
      </c>
      <c r="O177" s="341">
        <f t="shared" si="66"/>
        <v>1.0001876219613033</v>
      </c>
      <c r="P177" s="342">
        <f t="shared" si="67"/>
        <v>2.354809719852936E-2</v>
      </c>
      <c r="Q177" s="343">
        <f t="shared" si="68"/>
        <v>4.6436896982919187</v>
      </c>
      <c r="R177" s="344">
        <f t="shared" si="69"/>
        <v>-47.118376583133717</v>
      </c>
      <c r="S177" s="346">
        <f t="shared" si="70"/>
        <v>132.88162341686629</v>
      </c>
      <c r="U177" s="319">
        <f t="shared" si="76"/>
        <v>1000000000</v>
      </c>
      <c r="V177" s="319">
        <f t="shared" si="77"/>
        <v>98865237.610000014</v>
      </c>
      <c r="X177" s="345">
        <f t="shared" si="71"/>
        <v>6.2836929387748377</v>
      </c>
      <c r="Y177" s="346">
        <f t="shared" si="72"/>
        <v>-31.730071740060922</v>
      </c>
      <c r="AA177" s="345">
        <f t="shared" si="73"/>
        <v>35.192746917612091</v>
      </c>
      <c r="AB177" s="346">
        <f t="shared" si="74"/>
        <v>-15.388304843072801</v>
      </c>
      <c r="AD177">
        <f t="shared" si="78"/>
        <v>0</v>
      </c>
      <c r="AE177">
        <f t="shared" si="81"/>
        <v>0</v>
      </c>
    </row>
    <row r="178" spans="1:31" x14ac:dyDescent="0.2">
      <c r="A178" s="347">
        <v>10000</v>
      </c>
      <c r="B178" s="364">
        <f t="shared" si="75"/>
        <v>10</v>
      </c>
      <c r="C178" s="337">
        <f t="shared" si="54"/>
        <v>1.0312905607079415</v>
      </c>
      <c r="D178" s="338">
        <f t="shared" si="55"/>
        <v>0.24696499048747209</v>
      </c>
      <c r="E178" s="338">
        <f t="shared" si="56"/>
        <v>1.0000001744156333</v>
      </c>
      <c r="F178" s="339">
        <f t="shared" si="57"/>
        <v>5.9061934952450181E-4</v>
      </c>
      <c r="G178" s="338">
        <f t="shared" si="58"/>
        <v>1</v>
      </c>
      <c r="H178" s="339">
        <f t="shared" si="59"/>
        <v>0</v>
      </c>
      <c r="I178" s="337">
        <f t="shared" si="60"/>
        <v>72383.957193737995</v>
      </c>
      <c r="J178" s="340">
        <f t="shared" si="61"/>
        <v>1.5707825115789456</v>
      </c>
      <c r="K178" s="348">
        <f t="shared" si="82"/>
        <v>1.9401053481612831</v>
      </c>
      <c r="L178" s="349">
        <f t="shared" si="83"/>
        <v>1.0292800455462783</v>
      </c>
      <c r="M178" s="337">
        <f t="shared" si="64"/>
        <v>1.0000482570978753</v>
      </c>
      <c r="N178" s="340">
        <f t="shared" si="65"/>
        <v>9.8239663407715498E-3</v>
      </c>
      <c r="O178" s="341">
        <f t="shared" si="66"/>
        <v>1.0001897753042377</v>
      </c>
      <c r="P178" s="342">
        <f t="shared" si="67"/>
        <v>2.3682826760510752E-2</v>
      </c>
      <c r="Q178" s="343">
        <f t="shared" si="68"/>
        <v>4.6274969631724066</v>
      </c>
      <c r="R178" s="344">
        <f t="shared" si="69"/>
        <v>-47.061815429489705</v>
      </c>
      <c r="S178" s="346">
        <f t="shared" si="70"/>
        <v>132.93818457051029</v>
      </c>
      <c r="U178" s="319">
        <f t="shared" si="76"/>
        <v>1000000000</v>
      </c>
      <c r="V178" s="319">
        <f t="shared" si="77"/>
        <v>100000000</v>
      </c>
      <c r="X178" s="345">
        <f t="shared" si="71"/>
        <v>6.2704650705620608</v>
      </c>
      <c r="Y178" s="346">
        <f t="shared" si="72"/>
        <v>-31.588677745098167</v>
      </c>
      <c r="AA178" s="345">
        <f t="shared" si="73"/>
        <v>35.189782050705354</v>
      </c>
      <c r="AB178" s="346">
        <f t="shared" si="74"/>
        <v>-15.473137684391544</v>
      </c>
      <c r="AD178">
        <f t="shared" si="78"/>
        <v>0</v>
      </c>
      <c r="AE178">
        <f t="shared" si="81"/>
        <v>0</v>
      </c>
    </row>
    <row r="179" spans="1:31" x14ac:dyDescent="0.2">
      <c r="A179" s="347">
        <v>10058.25</v>
      </c>
      <c r="B179" s="364">
        <f t="shared" si="75"/>
        <v>10.058249999999999</v>
      </c>
      <c r="C179" s="337">
        <f t="shared" si="54"/>
        <v>1.0316505483027489</v>
      </c>
      <c r="D179" s="338">
        <f t="shared" si="55"/>
        <v>0.24834529564107413</v>
      </c>
      <c r="E179" s="338">
        <f t="shared" si="56"/>
        <v>1.0000001764534934</v>
      </c>
      <c r="F179" s="339">
        <f t="shared" si="57"/>
        <v>5.9405970642840847E-4</v>
      </c>
      <c r="G179" s="338">
        <f t="shared" si="58"/>
        <v>1</v>
      </c>
      <c r="H179" s="339">
        <f t="shared" si="59"/>
        <v>0</v>
      </c>
      <c r="I179" s="337">
        <f t="shared" si="60"/>
        <v>72805.593744311278</v>
      </c>
      <c r="J179" s="340">
        <f t="shared" si="61"/>
        <v>1.5707825915865341</v>
      </c>
      <c r="K179" s="348">
        <f t="shared" si="82"/>
        <v>1.9484104415101282</v>
      </c>
      <c r="L179" s="349">
        <f t="shared" si="83"/>
        <v>1.0318419347962096</v>
      </c>
      <c r="M179" s="337">
        <f t="shared" si="64"/>
        <v>1.0000488209166962</v>
      </c>
      <c r="N179" s="340">
        <f t="shared" si="65"/>
        <v>9.8811872307051577E-3</v>
      </c>
      <c r="O179" s="341">
        <f t="shared" si="66"/>
        <v>1.000191992461527</v>
      </c>
      <c r="P179" s="342">
        <f t="shared" si="67"/>
        <v>2.3820752435194222E-2</v>
      </c>
      <c r="Q179" s="343">
        <f t="shared" si="68"/>
        <v>4.6110956076698164</v>
      </c>
      <c r="R179" s="344">
        <f t="shared" si="69"/>
        <v>-47.005104188271048</v>
      </c>
      <c r="S179" s="346">
        <f t="shared" si="70"/>
        <v>132.99489581172895</v>
      </c>
      <c r="U179" s="319">
        <f t="shared" si="76"/>
        <v>1000000000</v>
      </c>
      <c r="V179" s="319">
        <f t="shared" si="77"/>
        <v>101168393.0625</v>
      </c>
      <c r="X179" s="345">
        <f t="shared" si="71"/>
        <v>6.2571143639915565</v>
      </c>
      <c r="Y179" s="346">
        <f t="shared" si="72"/>
        <v>-31.445175402923528</v>
      </c>
      <c r="AA179" s="345">
        <f t="shared" si="73"/>
        <v>35.186731401773265</v>
      </c>
      <c r="AB179" s="346">
        <f t="shared" si="74"/>
        <v>-15.559928785347518</v>
      </c>
      <c r="AD179">
        <f t="shared" si="78"/>
        <v>0</v>
      </c>
      <c r="AE179">
        <f t="shared" si="81"/>
        <v>0</v>
      </c>
    </row>
    <row r="180" spans="1:31" x14ac:dyDescent="0.2">
      <c r="A180" s="347">
        <v>10116.5</v>
      </c>
      <c r="B180" s="364">
        <f t="shared" si="75"/>
        <v>10.1165</v>
      </c>
      <c r="C180" s="337">
        <f t="shared" si="54"/>
        <v>1.0320125000684075</v>
      </c>
      <c r="D180" s="338">
        <f t="shared" si="55"/>
        <v>0.24972463520825944</v>
      </c>
      <c r="E180" s="338">
        <f t="shared" si="56"/>
        <v>1.0000001785031893</v>
      </c>
      <c r="F180" s="339">
        <f t="shared" si="57"/>
        <v>5.9750006331825249E-4</v>
      </c>
      <c r="G180" s="338">
        <f t="shared" si="58"/>
        <v>1</v>
      </c>
      <c r="H180" s="339">
        <f t="shared" si="59"/>
        <v>0</v>
      </c>
      <c r="I180" s="337">
        <f t="shared" si="60"/>
        <v>73227.230294885027</v>
      </c>
      <c r="J180" s="340">
        <f t="shared" si="61"/>
        <v>1.5707826706727683</v>
      </c>
      <c r="K180" s="348">
        <f t="shared" si="82"/>
        <v>1.9567282142129423</v>
      </c>
      <c r="L180" s="349">
        <f t="shared" si="83"/>
        <v>1.0343820601478559</v>
      </c>
      <c r="M180" s="337">
        <f t="shared" si="64"/>
        <v>1.0000493880099037</v>
      </c>
      <c r="N180" s="340">
        <f t="shared" si="65"/>
        <v>9.9384080559301678E-3</v>
      </c>
      <c r="O180" s="341">
        <f t="shared" si="66"/>
        <v>1.0001942224924272</v>
      </c>
      <c r="P180" s="342">
        <f t="shared" si="67"/>
        <v>2.3958677643194887E-2</v>
      </c>
      <c r="Q180" s="343">
        <f t="shared" si="68"/>
        <v>4.59486842651184</v>
      </c>
      <c r="R180" s="344">
        <f t="shared" si="69"/>
        <v>-46.949584519309376</v>
      </c>
      <c r="S180" s="346">
        <f t="shared" si="70"/>
        <v>133.05041548069062</v>
      </c>
      <c r="U180" s="319">
        <f t="shared" si="76"/>
        <v>1000000000</v>
      </c>
      <c r="V180" s="319">
        <f t="shared" si="77"/>
        <v>102343572.25</v>
      </c>
      <c r="X180" s="345">
        <f t="shared" si="71"/>
        <v>6.2439534171873454</v>
      </c>
      <c r="Y180" s="346">
        <f t="shared" si="72"/>
        <v>-31.30291998377054</v>
      </c>
      <c r="AA180" s="345">
        <f t="shared" si="73"/>
        <v>35.183665167419505</v>
      </c>
      <c r="AB180" s="346">
        <f t="shared" si="74"/>
        <v>-15.646664535538839</v>
      </c>
      <c r="AD180">
        <f t="shared" si="78"/>
        <v>0</v>
      </c>
      <c r="AE180">
        <f t="shared" si="81"/>
        <v>0</v>
      </c>
    </row>
    <row r="181" spans="1:31" x14ac:dyDescent="0.2">
      <c r="A181" s="347">
        <v>10174.75</v>
      </c>
      <c r="B181" s="364">
        <f t="shared" si="75"/>
        <v>10.17475</v>
      </c>
      <c r="C181" s="337">
        <f t="shared" si="54"/>
        <v>1.0323764139389993</v>
      </c>
      <c r="D181" s="338">
        <f t="shared" si="55"/>
        <v>0.25110300495880289</v>
      </c>
      <c r="E181" s="338">
        <f t="shared" si="56"/>
        <v>1.0000001805647216</v>
      </c>
      <c r="F181" s="339">
        <f t="shared" si="57"/>
        <v>6.0094042019395244E-4</v>
      </c>
      <c r="G181" s="338">
        <f t="shared" si="58"/>
        <v>1</v>
      </c>
      <c r="H181" s="339">
        <f t="shared" si="59"/>
        <v>0</v>
      </c>
      <c r="I181" s="337">
        <f t="shared" si="60"/>
        <v>73648.866845459212</v>
      </c>
      <c r="J181" s="340">
        <f t="shared" si="61"/>
        <v>1.5707827488534718</v>
      </c>
      <c r="K181" s="348">
        <f t="shared" si="82"/>
        <v>1.9650585052608092</v>
      </c>
      <c r="L181" s="349">
        <f t="shared" si="83"/>
        <v>1.0369006653979511</v>
      </c>
      <c r="M181" s="337">
        <f t="shared" si="64"/>
        <v>1.000049958377492</v>
      </c>
      <c r="N181" s="340">
        <f t="shared" si="65"/>
        <v>9.9956288160719838E-3</v>
      </c>
      <c r="O181" s="341">
        <f t="shared" si="66"/>
        <v>1.0001964653968716</v>
      </c>
      <c r="P181" s="342">
        <f t="shared" si="67"/>
        <v>2.4096602381813947E-2</v>
      </c>
      <c r="Q181" s="343">
        <f t="shared" si="68"/>
        <v>4.5788120189656212</v>
      </c>
      <c r="R181" s="344">
        <f t="shared" si="69"/>
        <v>-46.895242212437317</v>
      </c>
      <c r="S181" s="346">
        <f t="shared" si="70"/>
        <v>133.10475778756268</v>
      </c>
      <c r="U181" s="319">
        <f t="shared" si="76"/>
        <v>1000000000</v>
      </c>
      <c r="V181" s="319">
        <f t="shared" si="77"/>
        <v>103525537.5625</v>
      </c>
      <c r="X181" s="345">
        <f t="shared" si="71"/>
        <v>6.2309787953835851</v>
      </c>
      <c r="Y181" s="346">
        <f t="shared" si="72"/>
        <v>-31.161897520000466</v>
      </c>
      <c r="AA181" s="345">
        <f t="shared" si="73"/>
        <v>35.180583381677046</v>
      </c>
      <c r="AB181" s="346">
        <f t="shared" si="74"/>
        <v>-15.733344692436848</v>
      </c>
      <c r="AD181">
        <f t="shared" si="78"/>
        <v>0</v>
      </c>
      <c r="AE181">
        <f t="shared" si="81"/>
        <v>0</v>
      </c>
    </row>
    <row r="182" spans="1:31" x14ac:dyDescent="0.2">
      <c r="A182" s="347">
        <v>10233</v>
      </c>
      <c r="B182" s="364">
        <f t="shared" si="75"/>
        <v>10.233000000000001</v>
      </c>
      <c r="C182" s="337">
        <f t="shared" si="54"/>
        <v>1.0327422878403263</v>
      </c>
      <c r="D182" s="338">
        <f t="shared" si="55"/>
        <v>0.25248040068316641</v>
      </c>
      <c r="E182" s="338">
        <f t="shared" si="56"/>
        <v>1.0000001826380895</v>
      </c>
      <c r="F182" s="339">
        <f t="shared" si="57"/>
        <v>6.043807770554268E-4</v>
      </c>
      <c r="G182" s="338">
        <f t="shared" si="58"/>
        <v>1</v>
      </c>
      <c r="H182" s="339">
        <f t="shared" si="59"/>
        <v>0</v>
      </c>
      <c r="I182" s="337">
        <f t="shared" si="60"/>
        <v>74070.503396033862</v>
      </c>
      <c r="J182" s="340">
        <f t="shared" si="61"/>
        <v>1.5707828261441088</v>
      </c>
      <c r="K182" s="348">
        <f t="shared" si="82"/>
        <v>1.9734011561231841</v>
      </c>
      <c r="L182" s="349">
        <f t="shared" si="83"/>
        <v>1.0393979913219604</v>
      </c>
      <c r="M182" s="337">
        <f t="shared" si="64"/>
        <v>1.0000505320194553</v>
      </c>
      <c r="N182" s="340">
        <f t="shared" si="65"/>
        <v>1.0052849510756011E-2</v>
      </c>
      <c r="O182" s="341">
        <f t="shared" si="66"/>
        <v>1.0001987211747931</v>
      </c>
      <c r="P182" s="342">
        <f t="shared" si="67"/>
        <v>2.4234526648352652E-2</v>
      </c>
      <c r="Q182" s="343">
        <f t="shared" si="68"/>
        <v>4.5629230587073462</v>
      </c>
      <c r="R182" s="344">
        <f t="shared" si="69"/>
        <v>-46.842063231758004</v>
      </c>
      <c r="S182" s="346">
        <f t="shared" si="70"/>
        <v>133.157936768242</v>
      </c>
      <c r="U182" s="319">
        <f t="shared" si="76"/>
        <v>1000000000</v>
      </c>
      <c r="V182" s="319">
        <f t="shared" si="77"/>
        <v>104714289</v>
      </c>
      <c r="X182" s="345">
        <f t="shared" si="71"/>
        <v>6.2181871381078171</v>
      </c>
      <c r="Y182" s="346">
        <f t="shared" si="72"/>
        <v>-31.022094217059859</v>
      </c>
      <c r="AA182" s="345">
        <f t="shared" si="73"/>
        <v>35.177486078694542</v>
      </c>
      <c r="AB182" s="346">
        <f t="shared" si="74"/>
        <v>-15.819969014698147</v>
      </c>
      <c r="AD182">
        <f t="shared" si="78"/>
        <v>0</v>
      </c>
      <c r="AE182">
        <f t="shared" si="81"/>
        <v>0</v>
      </c>
    </row>
    <row r="183" spans="1:31" x14ac:dyDescent="0.2">
      <c r="A183" s="347">
        <v>10292.5</v>
      </c>
      <c r="B183" s="364">
        <f t="shared" si="75"/>
        <v>10.2925</v>
      </c>
      <c r="C183" s="337">
        <f t="shared" si="54"/>
        <v>1.0331180345207183</v>
      </c>
      <c r="D183" s="338">
        <f t="shared" si="55"/>
        <v>0.25388634429704626</v>
      </c>
      <c r="E183" s="338">
        <f t="shared" si="56"/>
        <v>1.0000001847681705</v>
      </c>
      <c r="F183" s="339">
        <f t="shared" si="57"/>
        <v>6.0789496130259069E-4</v>
      </c>
      <c r="G183" s="338">
        <f t="shared" si="58"/>
        <v>1</v>
      </c>
      <c r="H183" s="339">
        <f t="shared" si="59"/>
        <v>0</v>
      </c>
      <c r="I183" s="337">
        <f t="shared" si="60"/>
        <v>74501.187941256474</v>
      </c>
      <c r="J183" s="340">
        <f t="shared" si="61"/>
        <v>1.5707829041901347</v>
      </c>
      <c r="K183" s="348">
        <f t="shared" si="82"/>
        <v>1.9819354320424558</v>
      </c>
      <c r="L183" s="349">
        <f t="shared" si="83"/>
        <v>1.0419271859827246</v>
      </c>
      <c r="M183" s="337">
        <f t="shared" si="64"/>
        <v>1.0000511213518537</v>
      </c>
      <c r="N183" s="340">
        <f t="shared" si="65"/>
        <v>1.0111298049373756E-2</v>
      </c>
      <c r="O183" s="341">
        <f t="shared" si="66"/>
        <v>1.0002010386507203</v>
      </c>
      <c r="P183" s="342">
        <f t="shared" si="67"/>
        <v>2.4375410172909479E-2</v>
      </c>
      <c r="Q183" s="343">
        <f t="shared" si="68"/>
        <v>4.5468626265330663</v>
      </c>
      <c r="R183" s="344">
        <f t="shared" si="69"/>
        <v>-46.788929697100812</v>
      </c>
      <c r="S183" s="346">
        <f t="shared" si="70"/>
        <v>133.2110703028992</v>
      </c>
      <c r="U183" s="319">
        <f t="shared" si="76"/>
        <v>1000000000</v>
      </c>
      <c r="V183" s="319">
        <f t="shared" si="77"/>
        <v>105935556.25</v>
      </c>
      <c r="X183" s="345">
        <f t="shared" si="71"/>
        <v>6.2053064593125296</v>
      </c>
      <c r="Y183" s="346">
        <f t="shared" si="72"/>
        <v>-30.8805353635587</v>
      </c>
      <c r="AA183" s="345">
        <f t="shared" si="73"/>
        <v>35.174306325315541</v>
      </c>
      <c r="AB183" s="346">
        <f t="shared" si="74"/>
        <v>-15.908394333542114</v>
      </c>
      <c r="AD183">
        <f t="shared" si="78"/>
        <v>0</v>
      </c>
      <c r="AE183">
        <f t="shared" si="81"/>
        <v>0</v>
      </c>
    </row>
    <row r="184" spans="1:31" x14ac:dyDescent="0.2">
      <c r="A184" s="347">
        <v>10352</v>
      </c>
      <c r="B184" s="364">
        <f t="shared" si="75"/>
        <v>10.352</v>
      </c>
      <c r="C184" s="337">
        <f t="shared" si="54"/>
        <v>1.0334958218549566</v>
      </c>
      <c r="D184" s="338">
        <f t="shared" si="55"/>
        <v>0.25529126282015113</v>
      </c>
      <c r="E184" s="338">
        <f t="shared" si="56"/>
        <v>1.0000001869106008</v>
      </c>
      <c r="F184" s="339">
        <f t="shared" si="57"/>
        <v>6.1140914553474001E-4</v>
      </c>
      <c r="G184" s="338">
        <f t="shared" si="58"/>
        <v>1</v>
      </c>
      <c r="H184" s="339">
        <f t="shared" si="59"/>
        <v>0</v>
      </c>
      <c r="I184" s="337">
        <f t="shared" si="60"/>
        <v>74931.872486479537</v>
      </c>
      <c r="J184" s="340">
        <f t="shared" si="61"/>
        <v>1.5707829813389933</v>
      </c>
      <c r="K184" s="348">
        <f t="shared" si="82"/>
        <v>1.9904822772943003</v>
      </c>
      <c r="L184" s="349">
        <f t="shared" si="83"/>
        <v>1.0444346765711172</v>
      </c>
      <c r="M184" s="337">
        <f t="shared" si="64"/>
        <v>1.0000517141006546</v>
      </c>
      <c r="N184" s="340">
        <f t="shared" si="65"/>
        <v>1.0169746518904156E-2</v>
      </c>
      <c r="O184" s="341">
        <f t="shared" si="66"/>
        <v>1.0002033695584207</v>
      </c>
      <c r="P184" s="342">
        <f t="shared" si="67"/>
        <v>2.4516293199215753E-2</v>
      </c>
      <c r="Q184" s="343">
        <f t="shared" si="68"/>
        <v>4.5309701191370291</v>
      </c>
      <c r="R184" s="344">
        <f t="shared" si="69"/>
        <v>-46.736980896905976</v>
      </c>
      <c r="S184" s="346">
        <f t="shared" si="70"/>
        <v>133.26301910309402</v>
      </c>
      <c r="U184" s="319">
        <f t="shared" si="76"/>
        <v>1000000000</v>
      </c>
      <c r="V184" s="319">
        <f t="shared" si="77"/>
        <v>107163904</v>
      </c>
      <c r="X184" s="345">
        <f t="shared" si="71"/>
        <v>6.1926098232685831</v>
      </c>
      <c r="Y184" s="346">
        <f t="shared" si="72"/>
        <v>-30.740220006441774</v>
      </c>
      <c r="AA184" s="345">
        <f t="shared" si="73"/>
        <v>35.17111045396345</v>
      </c>
      <c r="AB184" s="346">
        <f t="shared" si="74"/>
        <v>-15.996760890464198</v>
      </c>
      <c r="AD184">
        <f t="shared" si="78"/>
        <v>0</v>
      </c>
      <c r="AE184">
        <f t="shared" si="81"/>
        <v>0</v>
      </c>
    </row>
    <row r="185" spans="1:31" x14ac:dyDescent="0.2">
      <c r="A185" s="347">
        <v>10411.5</v>
      </c>
      <c r="B185" s="364">
        <f t="shared" si="75"/>
        <v>10.4115</v>
      </c>
      <c r="C185" s="337">
        <f t="shared" si="54"/>
        <v>1.0338756476060225</v>
      </c>
      <c r="D185" s="338">
        <f t="shared" si="55"/>
        <v>0.25669515183321884</v>
      </c>
      <c r="E185" s="338">
        <f t="shared" si="56"/>
        <v>1.0000001890653807</v>
      </c>
      <c r="F185" s="339">
        <f t="shared" si="57"/>
        <v>6.1492332975178823E-4</v>
      </c>
      <c r="G185" s="338">
        <f t="shared" si="58"/>
        <v>1</v>
      </c>
      <c r="H185" s="339">
        <f t="shared" si="59"/>
        <v>0</v>
      </c>
      <c r="I185" s="337">
        <f t="shared" si="60"/>
        <v>75362.557031703051</v>
      </c>
      <c r="J185" s="340">
        <f t="shared" si="61"/>
        <v>1.5707830576060657</v>
      </c>
      <c r="K185" s="348">
        <f t="shared" si="82"/>
        <v>1.9990415306592513</v>
      </c>
      <c r="L185" s="349">
        <f t="shared" si="83"/>
        <v>1.0469207101415465</v>
      </c>
      <c r="M185" s="337">
        <f t="shared" si="64"/>
        <v>1.0000523102658514</v>
      </c>
      <c r="N185" s="340">
        <f t="shared" si="65"/>
        <v>1.0228194918947988E-2</v>
      </c>
      <c r="O185" s="341">
        <f t="shared" si="66"/>
        <v>1.000205713897822</v>
      </c>
      <c r="P185" s="342">
        <f t="shared" si="67"/>
        <v>2.4657175724395471E-2</v>
      </c>
      <c r="Q185" s="343">
        <f t="shared" si="68"/>
        <v>4.5152422200556481</v>
      </c>
      <c r="R185" s="344">
        <f t="shared" si="69"/>
        <v>-46.68620242348711</v>
      </c>
      <c r="S185" s="346">
        <f t="shared" si="70"/>
        <v>133.31379757651288</v>
      </c>
      <c r="U185" s="319">
        <f t="shared" si="76"/>
        <v>1000000000</v>
      </c>
      <c r="V185" s="319">
        <f t="shared" si="77"/>
        <v>108399332.25</v>
      </c>
      <c r="X185" s="345">
        <f t="shared" si="71"/>
        <v>6.1800938767515685</v>
      </c>
      <c r="Y185" s="346">
        <f t="shared" si="72"/>
        <v>-30.601133991392576</v>
      </c>
      <c r="AA185" s="345">
        <f t="shared" si="73"/>
        <v>35.167898501399087</v>
      </c>
      <c r="AB185" s="346">
        <f t="shared" si="74"/>
        <v>-16.085068432094545</v>
      </c>
      <c r="AD185">
        <f t="shared" si="78"/>
        <v>0</v>
      </c>
      <c r="AE185">
        <f t="shared" si="81"/>
        <v>0</v>
      </c>
    </row>
    <row r="186" spans="1:31" x14ac:dyDescent="0.2">
      <c r="A186" s="347">
        <v>10471</v>
      </c>
      <c r="B186" s="364">
        <f t="shared" si="75"/>
        <v>10.471</v>
      </c>
      <c r="C186" s="337">
        <f t="shared" si="54"/>
        <v>1.0342575095281215</v>
      </c>
      <c r="D186" s="338">
        <f t="shared" si="55"/>
        <v>0.25809800693969392</v>
      </c>
      <c r="E186" s="338">
        <f t="shared" si="56"/>
        <v>1.0000001912325098</v>
      </c>
      <c r="F186" s="339">
        <f t="shared" si="57"/>
        <v>6.1843751395364863E-4</v>
      </c>
      <c r="G186" s="338">
        <f t="shared" si="58"/>
        <v>1</v>
      </c>
      <c r="H186" s="339">
        <f t="shared" si="59"/>
        <v>0</v>
      </c>
      <c r="I186" s="337">
        <f t="shared" si="60"/>
        <v>75793.241576926986</v>
      </c>
      <c r="J186" s="340">
        <f t="shared" si="61"/>
        <v>1.5707831330063844</v>
      </c>
      <c r="K186" s="348">
        <f t="shared" si="82"/>
        <v>2.0076130334351419</v>
      </c>
      <c r="L186" s="349">
        <f t="shared" si="83"/>
        <v>1.0493855305993092</v>
      </c>
      <c r="M186" s="337">
        <f t="shared" si="64"/>
        <v>1.0000529098474384</v>
      </c>
      <c r="N186" s="340">
        <f t="shared" si="65"/>
        <v>1.0286643249106031E-2</v>
      </c>
      <c r="O186" s="341">
        <f t="shared" si="66"/>
        <v>1.0002080716688511</v>
      </c>
      <c r="P186" s="342">
        <f t="shared" si="67"/>
        <v>2.4798057745572678E-2</v>
      </c>
      <c r="Q186" s="343">
        <f t="shared" si="68"/>
        <v>4.4996756860298381</v>
      </c>
      <c r="R186" s="344">
        <f t="shared" si="69"/>
        <v>-46.636580050869711</v>
      </c>
      <c r="S186" s="346">
        <f t="shared" si="70"/>
        <v>133.36341994913028</v>
      </c>
      <c r="U186" s="319">
        <f t="shared" si="76"/>
        <v>1000000000</v>
      </c>
      <c r="V186" s="319">
        <f t="shared" si="77"/>
        <v>109641841</v>
      </c>
      <c r="X186" s="345">
        <f t="shared" si="71"/>
        <v>6.1677553396207516</v>
      </c>
      <c r="Y186" s="346">
        <f t="shared" si="72"/>
        <v>-30.463263344505407</v>
      </c>
      <c r="AA186" s="345">
        <f t="shared" si="73"/>
        <v>35.164670504504095</v>
      </c>
      <c r="AB186" s="346">
        <f t="shared" si="74"/>
        <v>-16.173316706364314</v>
      </c>
      <c r="AD186">
        <f t="shared" si="78"/>
        <v>0</v>
      </c>
      <c r="AE186">
        <f t="shared" si="81"/>
        <v>0</v>
      </c>
    </row>
    <row r="187" spans="1:31" x14ac:dyDescent="0.2">
      <c r="A187" s="347">
        <v>10532</v>
      </c>
      <c r="B187" s="364">
        <f t="shared" si="75"/>
        <v>10.532</v>
      </c>
      <c r="C187" s="337">
        <f t="shared" si="54"/>
        <v>1.0346511096773008</v>
      </c>
      <c r="D187" s="338">
        <f t="shared" si="55"/>
        <v>0.25953515023024487</v>
      </c>
      <c r="E187" s="338">
        <f t="shared" si="56"/>
        <v>1.000000193467093</v>
      </c>
      <c r="F187" s="339">
        <f t="shared" si="57"/>
        <v>6.2204029101868932E-4</v>
      </c>
      <c r="G187" s="338">
        <f t="shared" si="58"/>
        <v>1</v>
      </c>
      <c r="H187" s="339">
        <f t="shared" si="59"/>
        <v>0</v>
      </c>
      <c r="I187" s="337">
        <f t="shared" si="60"/>
        <v>76234.783715728452</v>
      </c>
      <c r="J187" s="340">
        <f t="shared" si="61"/>
        <v>1.5707832094231238</v>
      </c>
      <c r="K187" s="348">
        <f t="shared" si="82"/>
        <v>2.0164131774999503</v>
      </c>
      <c r="L187" s="349">
        <f t="shared" si="83"/>
        <v>1.0518907194118097</v>
      </c>
      <c r="M187" s="337">
        <f t="shared" si="64"/>
        <v>1.0000535280911882</v>
      </c>
      <c r="N187" s="340">
        <f t="shared" si="65"/>
        <v>1.0346564993610322E-2</v>
      </c>
      <c r="O187" s="341">
        <f t="shared" si="66"/>
        <v>1.000210502823224</v>
      </c>
      <c r="P187" s="342">
        <f t="shared" si="67"/>
        <v>2.4942490888110382E-2</v>
      </c>
      <c r="Q187" s="343">
        <f t="shared" si="68"/>
        <v>4.4838809166943907</v>
      </c>
      <c r="R187" s="344">
        <f t="shared" si="69"/>
        <v>-46.586892177064058</v>
      </c>
      <c r="S187" s="346">
        <f t="shared" si="70"/>
        <v>133.41310782293596</v>
      </c>
      <c r="U187" s="319">
        <f t="shared" si="76"/>
        <v>1000000000</v>
      </c>
      <c r="V187" s="319">
        <f t="shared" si="77"/>
        <v>110923024</v>
      </c>
      <c r="X187" s="345">
        <f t="shared" si="71"/>
        <v>6.155286562665033</v>
      </c>
      <c r="Y187" s="346">
        <f t="shared" si="72"/>
        <v>-30.323164239923461</v>
      </c>
      <c r="AA187" s="345">
        <f t="shared" si="73"/>
        <v>35.161344512124366</v>
      </c>
      <c r="AB187" s="346">
        <f t="shared" si="74"/>
        <v>-16.263727937140601</v>
      </c>
      <c r="AD187">
        <f t="shared" si="78"/>
        <v>0</v>
      </c>
      <c r="AE187">
        <f t="shared" si="81"/>
        <v>0</v>
      </c>
    </row>
    <row r="188" spans="1:31" x14ac:dyDescent="0.2">
      <c r="A188" s="347">
        <v>10593</v>
      </c>
      <c r="B188" s="364">
        <f t="shared" si="75"/>
        <v>10.593</v>
      </c>
      <c r="C188" s="337">
        <f t="shared" si="54"/>
        <v>1.0350468451472354</v>
      </c>
      <c r="D188" s="338">
        <f t="shared" si="55"/>
        <v>0.2609711975422182</v>
      </c>
      <c r="E188" s="338">
        <f t="shared" si="56"/>
        <v>1.0000001957146563</v>
      </c>
      <c r="F188" s="339">
        <f t="shared" si="57"/>
        <v>6.2564306806758201E-4</v>
      </c>
      <c r="G188" s="338">
        <f t="shared" si="58"/>
        <v>1</v>
      </c>
      <c r="H188" s="339">
        <f t="shared" si="59"/>
        <v>0</v>
      </c>
      <c r="I188" s="337">
        <f t="shared" si="60"/>
        <v>76676.32585453034</v>
      </c>
      <c r="J188" s="340">
        <f t="shared" si="61"/>
        <v>1.5707832849597685</v>
      </c>
      <c r="K188" s="348">
        <f t="shared" si="82"/>
        <v>2.0252258664910205</v>
      </c>
      <c r="L188" s="349">
        <f t="shared" si="83"/>
        <v>1.0543741212403677</v>
      </c>
      <c r="M188" s="337">
        <f t="shared" si="64"/>
        <v>1.0000541499257412</v>
      </c>
      <c r="N188" s="340">
        <f t="shared" si="65"/>
        <v>1.040648666381098E-2</v>
      </c>
      <c r="O188" s="341">
        <f t="shared" si="66"/>
        <v>1.0002129480948299</v>
      </c>
      <c r="P188" s="342">
        <f t="shared" si="67"/>
        <v>2.508692349479185E-2</v>
      </c>
      <c r="Q188" s="343">
        <f t="shared" si="68"/>
        <v>4.46824907552916</v>
      </c>
      <c r="R188" s="344">
        <f t="shared" si="69"/>
        <v>-46.538389725156684</v>
      </c>
      <c r="S188" s="346">
        <f t="shared" si="70"/>
        <v>133.46161027484331</v>
      </c>
      <c r="U188" s="319">
        <f t="shared" si="76"/>
        <v>1000000000</v>
      </c>
      <c r="V188" s="319">
        <f t="shared" si="77"/>
        <v>112211649</v>
      </c>
      <c r="X188" s="345">
        <f t="shared" si="71"/>
        <v>6.1429974984743421</v>
      </c>
      <c r="Y188" s="346">
        <f t="shared" si="72"/>
        <v>-30.184313382888167</v>
      </c>
      <c r="AA188" s="345">
        <f t="shared" si="73"/>
        <v>35.158001735149831</v>
      </c>
      <c r="AB188" s="346">
        <f t="shared" si="74"/>
        <v>-16.354076342268513</v>
      </c>
      <c r="AD188">
        <f t="shared" si="78"/>
        <v>0</v>
      </c>
      <c r="AE188">
        <f t="shared" si="81"/>
        <v>0</v>
      </c>
    </row>
    <row r="189" spans="1:31" x14ac:dyDescent="0.2">
      <c r="A189" s="347">
        <v>10654</v>
      </c>
      <c r="B189" s="364">
        <f t="shared" si="75"/>
        <v>10.654</v>
      </c>
      <c r="C189" s="337">
        <f t="shared" si="54"/>
        <v>1.0354447134896376</v>
      </c>
      <c r="D189" s="338">
        <f t="shared" si="55"/>
        <v>0.26240614421270952</v>
      </c>
      <c r="E189" s="338">
        <f t="shared" si="56"/>
        <v>1.0000001979751993</v>
      </c>
      <c r="F189" s="339">
        <f t="shared" si="57"/>
        <v>6.2924584510023281E-4</v>
      </c>
      <c r="G189" s="338">
        <f t="shared" si="58"/>
        <v>1</v>
      </c>
      <c r="H189" s="339">
        <f t="shared" si="59"/>
        <v>0</v>
      </c>
      <c r="I189" s="337">
        <f t="shared" si="60"/>
        <v>77117.867993332678</v>
      </c>
      <c r="J189" s="340">
        <f t="shared" si="61"/>
        <v>1.5707833596314358</v>
      </c>
      <c r="K189" s="348">
        <f t="shared" si="82"/>
        <v>2.0340509373526583</v>
      </c>
      <c r="L189" s="349">
        <f t="shared" si="83"/>
        <v>1.0568359888324206</v>
      </c>
      <c r="M189" s="337">
        <f t="shared" si="64"/>
        <v>1.0000547753510907</v>
      </c>
      <c r="N189" s="340">
        <f t="shared" si="65"/>
        <v>1.0466408259277837E-2</v>
      </c>
      <c r="O189" s="341">
        <f t="shared" si="66"/>
        <v>1.0002154074835887</v>
      </c>
      <c r="P189" s="342">
        <f t="shared" si="67"/>
        <v>2.5231355562518338E-2</v>
      </c>
      <c r="Q189" s="343">
        <f t="shared" si="68"/>
        <v>4.4527768954741633</v>
      </c>
      <c r="R189" s="344">
        <f t="shared" si="69"/>
        <v>-46.491057947285327</v>
      </c>
      <c r="S189" s="346">
        <f t="shared" si="70"/>
        <v>133.50894205271467</v>
      </c>
      <c r="U189" s="319">
        <f t="shared" si="76"/>
        <v>1000000000</v>
      </c>
      <c r="V189" s="319">
        <f t="shared" si="77"/>
        <v>113507716</v>
      </c>
      <c r="X189" s="345">
        <f t="shared" si="71"/>
        <v>6.1308848398597355</v>
      </c>
      <c r="Y189" s="346">
        <f t="shared" si="72"/>
        <v>-30.046696292879577</v>
      </c>
      <c r="AA189" s="345">
        <f t="shared" si="73"/>
        <v>35.154642213709437</v>
      </c>
      <c r="AB189" s="346">
        <f t="shared" si="74"/>
        <v>-16.444361654405757</v>
      </c>
      <c r="AD189">
        <f t="shared" si="78"/>
        <v>0</v>
      </c>
      <c r="AE189">
        <f t="shared" si="81"/>
        <v>0</v>
      </c>
    </row>
    <row r="190" spans="1:31" x14ac:dyDescent="0.2">
      <c r="A190" s="347">
        <v>10715</v>
      </c>
      <c r="B190" s="364">
        <f t="shared" si="75"/>
        <v>10.715</v>
      </c>
      <c r="C190" s="337">
        <f t="shared" si="54"/>
        <v>1.035844712246796</v>
      </c>
      <c r="D190" s="338">
        <f t="shared" si="55"/>
        <v>0.26383998560408967</v>
      </c>
      <c r="E190" s="338">
        <f t="shared" si="56"/>
        <v>1.0000002002487227</v>
      </c>
      <c r="F190" s="339">
        <f t="shared" si="57"/>
        <v>6.3284862211654847E-4</v>
      </c>
      <c r="G190" s="338">
        <f t="shared" si="58"/>
        <v>1</v>
      </c>
      <c r="H190" s="339">
        <f t="shared" si="59"/>
        <v>0</v>
      </c>
      <c r="I190" s="337">
        <f t="shared" si="60"/>
        <v>77559.410132135439</v>
      </c>
      <c r="J190" s="340">
        <f t="shared" si="61"/>
        <v>1.5707834334528983</v>
      </c>
      <c r="K190" s="348">
        <f t="shared" si="82"/>
        <v>2.0428882296195789</v>
      </c>
      <c r="L190" s="349">
        <f t="shared" si="83"/>
        <v>1.0592765716153172</v>
      </c>
      <c r="M190" s="337">
        <f t="shared" si="64"/>
        <v>1.0000554043672298</v>
      </c>
      <c r="N190" s="340">
        <f t="shared" si="65"/>
        <v>1.0526329779580722E-2</v>
      </c>
      <c r="O190" s="341">
        <f t="shared" si="66"/>
        <v>1.0002178809894204</v>
      </c>
      <c r="P190" s="342">
        <f t="shared" si="67"/>
        <v>2.5375787088191205E-2</v>
      </c>
      <c r="Q190" s="343">
        <f t="shared" si="68"/>
        <v>4.4374611824768673</v>
      </c>
      <c r="R190" s="344">
        <f t="shared" si="69"/>
        <v>-46.444882287243281</v>
      </c>
      <c r="S190" s="346">
        <f t="shared" si="70"/>
        <v>133.55511771275673</v>
      </c>
      <c r="U190" s="319">
        <f t="shared" si="76"/>
        <v>1000000000</v>
      </c>
      <c r="V190" s="319">
        <f t="shared" si="77"/>
        <v>114811225</v>
      </c>
      <c r="X190" s="345">
        <f t="shared" si="71"/>
        <v>6.1189453525119921</v>
      </c>
      <c r="Y190" s="346">
        <f t="shared" si="72"/>
        <v>-29.910298679585061</v>
      </c>
      <c r="AA190" s="345">
        <f t="shared" si="73"/>
        <v>35.151265988059883</v>
      </c>
      <c r="AB190" s="346">
        <f t="shared" si="74"/>
        <v>-16.534583607658227</v>
      </c>
      <c r="AD190">
        <f t="shared" si="78"/>
        <v>0</v>
      </c>
      <c r="AE190">
        <f t="shared" si="81"/>
        <v>0</v>
      </c>
    </row>
    <row r="191" spans="1:31" x14ac:dyDescent="0.2">
      <c r="A191" s="347">
        <v>10777.5</v>
      </c>
      <c r="B191" s="364">
        <f t="shared" si="75"/>
        <v>10.7775</v>
      </c>
      <c r="C191" s="337">
        <f t="shared" si="54"/>
        <v>1.0362567540988561</v>
      </c>
      <c r="D191" s="338">
        <f t="shared" si="55"/>
        <v>0.26530793418569043</v>
      </c>
      <c r="E191" s="338">
        <f t="shared" si="56"/>
        <v>1.000000202591615</v>
      </c>
      <c r="F191" s="339">
        <f t="shared" si="57"/>
        <v>6.3653999199327397E-4</v>
      </c>
      <c r="G191" s="338">
        <f t="shared" si="58"/>
        <v>1</v>
      </c>
      <c r="H191" s="339">
        <f t="shared" si="59"/>
        <v>0</v>
      </c>
      <c r="I191" s="337">
        <f t="shared" si="60"/>
        <v>78011.809864515744</v>
      </c>
      <c r="J191" s="340">
        <f t="shared" si="61"/>
        <v>1.5707835082229167</v>
      </c>
      <c r="K191" s="348">
        <f t="shared" si="82"/>
        <v>2.0519553431217838</v>
      </c>
      <c r="L191" s="349">
        <f t="shared" si="83"/>
        <v>1.0617553497618502</v>
      </c>
      <c r="M191" s="337">
        <f t="shared" si="64"/>
        <v>1.0000560525752946</v>
      </c>
      <c r="N191" s="340">
        <f t="shared" si="65"/>
        <v>1.0587724701482098E-2</v>
      </c>
      <c r="O191" s="341">
        <f t="shared" si="66"/>
        <v>1.0002204299611339</v>
      </c>
      <c r="P191" s="342">
        <f t="shared" si="67"/>
        <v>2.5523769643306236E-2</v>
      </c>
      <c r="Q191" s="343">
        <f t="shared" si="68"/>
        <v>4.4219278741451689</v>
      </c>
      <c r="R191" s="344">
        <f t="shared" si="69"/>
        <v>-46.398755249162988</v>
      </c>
      <c r="S191" s="346">
        <f t="shared" si="70"/>
        <v>133.601244750837</v>
      </c>
      <c r="U191" s="319">
        <f t="shared" si="76"/>
        <v>1000000000</v>
      </c>
      <c r="V191" s="319">
        <f t="shared" si="77"/>
        <v>116154506.25</v>
      </c>
      <c r="X191" s="345">
        <f t="shared" si="71"/>
        <v>6.106888574941566</v>
      </c>
      <c r="Y191" s="346">
        <f t="shared" si="72"/>
        <v>-29.771797107196164</v>
      </c>
      <c r="AA191" s="345">
        <f t="shared" si="73"/>
        <v>35.147789457298607</v>
      </c>
      <c r="AB191" s="346">
        <f t="shared" si="74"/>
        <v>-16.626958141966817</v>
      </c>
      <c r="AD191">
        <f t="shared" si="78"/>
        <v>0</v>
      </c>
      <c r="AE191">
        <f t="shared" si="81"/>
        <v>0</v>
      </c>
    </row>
    <row r="192" spans="1:31" x14ac:dyDescent="0.2">
      <c r="A192" s="347">
        <v>10840</v>
      </c>
      <c r="B192" s="364">
        <f t="shared" si="75"/>
        <v>10.84</v>
      </c>
      <c r="C192" s="337">
        <f t="shared" si="54"/>
        <v>1.0366710271747646</v>
      </c>
      <c r="D192" s="338">
        <f t="shared" si="55"/>
        <v>0.26677471268665343</v>
      </c>
      <c r="E192" s="338">
        <f t="shared" si="56"/>
        <v>1.0000002049481334</v>
      </c>
      <c r="F192" s="339">
        <f t="shared" si="57"/>
        <v>6.4023136185265234E-4</v>
      </c>
      <c r="G192" s="338">
        <f t="shared" si="58"/>
        <v>1</v>
      </c>
      <c r="H192" s="339">
        <f t="shared" si="59"/>
        <v>0</v>
      </c>
      <c r="I192" s="337">
        <f t="shared" si="60"/>
        <v>78464.209596896471</v>
      </c>
      <c r="J192" s="340">
        <f t="shared" si="61"/>
        <v>1.570783582130735</v>
      </c>
      <c r="K192" s="348">
        <f t="shared" si="82"/>
        <v>2.0610349535605614</v>
      </c>
      <c r="L192" s="349">
        <f t="shared" si="83"/>
        <v>1.0642123030511321</v>
      </c>
      <c r="M192" s="337">
        <f t="shared" si="64"/>
        <v>1.0000567045529023</v>
      </c>
      <c r="N192" s="340">
        <f t="shared" si="65"/>
        <v>1.0649119543563203E-2</v>
      </c>
      <c r="O192" s="341">
        <f t="shared" si="66"/>
        <v>1.0002229937525662</v>
      </c>
      <c r="P192" s="342">
        <f t="shared" si="67"/>
        <v>2.5671751622795953E-2</v>
      </c>
      <c r="Q192" s="343">
        <f t="shared" si="68"/>
        <v>4.406552261026361</v>
      </c>
      <c r="R192" s="344">
        <f t="shared" si="69"/>
        <v>-46.353811555657046</v>
      </c>
      <c r="S192" s="346">
        <f t="shared" si="70"/>
        <v>133.64618844434295</v>
      </c>
      <c r="U192" s="319">
        <f t="shared" si="76"/>
        <v>1000000000</v>
      </c>
      <c r="V192" s="319">
        <f t="shared" si="77"/>
        <v>117505600</v>
      </c>
      <c r="X192" s="345">
        <f t="shared" si="71"/>
        <v>6.0950069424465712</v>
      </c>
      <c r="Y192" s="346">
        <f t="shared" si="72"/>
        <v>-29.634545953043872</v>
      </c>
      <c r="AA192" s="345">
        <f t="shared" si="73"/>
        <v>35.144295476674799</v>
      </c>
      <c r="AB192" s="346">
        <f t="shared" si="74"/>
        <v>-16.719265602613184</v>
      </c>
      <c r="AD192">
        <f t="shared" si="78"/>
        <v>0</v>
      </c>
      <c r="AE192">
        <f t="shared" si="81"/>
        <v>0</v>
      </c>
    </row>
    <row r="193" spans="1:31" x14ac:dyDescent="0.2">
      <c r="A193" s="347">
        <v>10902.5</v>
      </c>
      <c r="B193" s="364">
        <f t="shared" si="75"/>
        <v>10.9025</v>
      </c>
      <c r="C193" s="337">
        <f t="shared" si="54"/>
        <v>1.0370875288006798</v>
      </c>
      <c r="D193" s="338">
        <f t="shared" si="55"/>
        <v>0.26824031620159949</v>
      </c>
      <c r="E193" s="338">
        <f t="shared" si="56"/>
        <v>1.0000002073182781</v>
      </c>
      <c r="F193" s="339">
        <f t="shared" si="57"/>
        <v>6.4392273169458275E-4</v>
      </c>
      <c r="G193" s="338">
        <f t="shared" si="58"/>
        <v>1</v>
      </c>
      <c r="H193" s="339">
        <f t="shared" si="59"/>
        <v>0</v>
      </c>
      <c r="I193" s="337">
        <f t="shared" si="60"/>
        <v>78916.609329277635</v>
      </c>
      <c r="J193" s="340">
        <f t="shared" si="61"/>
        <v>1.5707836551911807</v>
      </c>
      <c r="K193" s="348">
        <f t="shared" si="82"/>
        <v>2.0701268965006139</v>
      </c>
      <c r="L193" s="349">
        <f t="shared" si="83"/>
        <v>1.0666476891859655</v>
      </c>
      <c r="M193" s="337">
        <f t="shared" si="64"/>
        <v>1.0000573603000451</v>
      </c>
      <c r="N193" s="340">
        <f t="shared" si="65"/>
        <v>1.071051430536136E-2</v>
      </c>
      <c r="O193" s="341">
        <f t="shared" si="66"/>
        <v>1.0002255723636297</v>
      </c>
      <c r="P193" s="342">
        <f t="shared" si="67"/>
        <v>2.5819733023327716E-2</v>
      </c>
      <c r="Q193" s="343">
        <f t="shared" si="68"/>
        <v>4.3913311340940044</v>
      </c>
      <c r="R193" s="344">
        <f t="shared" si="69"/>
        <v>-46.310036161017123</v>
      </c>
      <c r="S193" s="346">
        <f t="shared" si="70"/>
        <v>133.68996383898286</v>
      </c>
      <c r="U193" s="319">
        <f t="shared" si="76"/>
        <v>1000000000</v>
      </c>
      <c r="V193" s="319">
        <f t="shared" si="77"/>
        <v>118864506.25</v>
      </c>
      <c r="X193" s="345">
        <f t="shared" si="71"/>
        <v>6.0832972022928811</v>
      </c>
      <c r="Y193" s="346">
        <f t="shared" si="72"/>
        <v>-29.498530452668255</v>
      </c>
      <c r="AA193" s="345">
        <f t="shared" si="73"/>
        <v>35.14078408989613</v>
      </c>
      <c r="AB193" s="346">
        <f t="shared" si="74"/>
        <v>-16.811505708348879</v>
      </c>
      <c r="AD193">
        <f t="shared" si="78"/>
        <v>0</v>
      </c>
      <c r="AE193">
        <f t="shared" si="81"/>
        <v>0</v>
      </c>
    </row>
    <row r="194" spans="1:31" x14ac:dyDescent="0.2">
      <c r="A194" s="347">
        <v>10965</v>
      </c>
      <c r="B194" s="364">
        <f t="shared" si="75"/>
        <v>10.965</v>
      </c>
      <c r="C194" s="337">
        <f t="shared" si="54"/>
        <v>1.0375062562926813</v>
      </c>
      <c r="D194" s="338">
        <f t="shared" si="55"/>
        <v>0.26970473985319632</v>
      </c>
      <c r="E194" s="338">
        <f t="shared" si="56"/>
        <v>1.0000002097020488</v>
      </c>
      <c r="F194" s="339">
        <f t="shared" si="57"/>
        <v>6.476141015189647E-4</v>
      </c>
      <c r="G194" s="338">
        <f t="shared" si="58"/>
        <v>1</v>
      </c>
      <c r="H194" s="339">
        <f t="shared" si="59"/>
        <v>0</v>
      </c>
      <c r="I194" s="337">
        <f t="shared" si="60"/>
        <v>79369.009061659206</v>
      </c>
      <c r="J194" s="340">
        <f t="shared" si="61"/>
        <v>1.5707837274187439</v>
      </c>
      <c r="K194" s="348">
        <f t="shared" si="82"/>
        <v>2.0792310101613691</v>
      </c>
      <c r="L194" s="349">
        <f t="shared" si="83"/>
        <v>1.0690617623881802</v>
      </c>
      <c r="M194" s="337">
        <f t="shared" si="64"/>
        <v>1.0000580198167162</v>
      </c>
      <c r="N194" s="340">
        <f t="shared" si="65"/>
        <v>1.0771908986413892E-2</v>
      </c>
      <c r="O194" s="341">
        <f t="shared" si="66"/>
        <v>1.0002281657942358</v>
      </c>
      <c r="P194" s="342">
        <f t="shared" si="67"/>
        <v>2.5967713841568998E-2</v>
      </c>
      <c r="Q194" s="343">
        <f t="shared" si="68"/>
        <v>4.3762613568703221</v>
      </c>
      <c r="R194" s="344">
        <f t="shared" si="69"/>
        <v>-46.267414220567488</v>
      </c>
      <c r="S194" s="346">
        <f t="shared" si="70"/>
        <v>133.7325857794325</v>
      </c>
      <c r="U194" s="319">
        <f t="shared" si="76"/>
        <v>1000000000</v>
      </c>
      <c r="V194" s="319">
        <f t="shared" si="77"/>
        <v>120231225</v>
      </c>
      <c r="X194" s="345">
        <f t="shared" si="71"/>
        <v>6.071756174160754</v>
      </c>
      <c r="Y194" s="346">
        <f t="shared" si="72"/>
        <v>-29.363736041035093</v>
      </c>
      <c r="AA194" s="345">
        <f t="shared" si="73"/>
        <v>35.137255340804579</v>
      </c>
      <c r="AB194" s="346">
        <f t="shared" si="74"/>
        <v>-16.903678179532388</v>
      </c>
      <c r="AD194">
        <f t="shared" si="78"/>
        <v>0</v>
      </c>
      <c r="AE194">
        <f t="shared" si="81"/>
        <v>0</v>
      </c>
    </row>
    <row r="195" spans="1:31" x14ac:dyDescent="0.2">
      <c r="A195" s="347">
        <v>11028.75</v>
      </c>
      <c r="B195" s="364">
        <f t="shared" si="75"/>
        <v>11.02875</v>
      </c>
      <c r="C195" s="337">
        <f t="shared" si="54"/>
        <v>1.0379356486279341</v>
      </c>
      <c r="D195" s="338">
        <f t="shared" si="55"/>
        <v>0.27119723145375618</v>
      </c>
      <c r="E195" s="338">
        <f t="shared" si="56"/>
        <v>1.0000002121475329</v>
      </c>
      <c r="F195" s="339">
        <f t="shared" si="57"/>
        <v>6.5137929872165158E-4</v>
      </c>
      <c r="G195" s="338">
        <f t="shared" si="58"/>
        <v>1</v>
      </c>
      <c r="H195" s="339">
        <f t="shared" si="59"/>
        <v>0</v>
      </c>
      <c r="I195" s="337">
        <f t="shared" si="60"/>
        <v>79830.45678868884</v>
      </c>
      <c r="J195" s="340">
        <f t="shared" si="61"/>
        <v>1.5707838002475079</v>
      </c>
      <c r="K195" s="348">
        <f t="shared" si="82"/>
        <v>2.088529579310717</v>
      </c>
      <c r="L195" s="349">
        <f t="shared" si="83"/>
        <v>1.0715024205351795</v>
      </c>
      <c r="M195" s="337">
        <f t="shared" si="64"/>
        <v>1.0000586964070808</v>
      </c>
      <c r="N195" s="340">
        <f t="shared" si="65"/>
        <v>1.083453147742351E-2</v>
      </c>
      <c r="O195" s="341">
        <f t="shared" si="66"/>
        <v>1.0002308263604547</v>
      </c>
      <c r="P195" s="342">
        <f t="shared" si="67"/>
        <v>2.6118653672843491E-2</v>
      </c>
      <c r="Q195" s="343">
        <f t="shared" si="68"/>
        <v>4.3610429254993885</v>
      </c>
      <c r="R195" s="344">
        <f t="shared" si="69"/>
        <v>-46.225112941734601</v>
      </c>
      <c r="S195" s="346">
        <f t="shared" si="70"/>
        <v>133.77488705826539</v>
      </c>
      <c r="U195" s="319">
        <f t="shared" si="76"/>
        <v>1000000000</v>
      </c>
      <c r="V195" s="319">
        <f t="shared" si="77"/>
        <v>121633326.5625</v>
      </c>
      <c r="X195" s="345">
        <f t="shared" si="71"/>
        <v>6.0601549079126338</v>
      </c>
      <c r="Y195" s="346">
        <f t="shared" si="72"/>
        <v>-29.227488807040373</v>
      </c>
      <c r="AA195" s="345">
        <f t="shared" si="73"/>
        <v>35.13363817568176</v>
      </c>
      <c r="AB195" s="346">
        <f t="shared" si="74"/>
        <v>-16.997624134694242</v>
      </c>
      <c r="AD195">
        <f t="shared" si="78"/>
        <v>0</v>
      </c>
      <c r="AE195">
        <f t="shared" si="81"/>
        <v>0</v>
      </c>
    </row>
    <row r="196" spans="1:31" x14ac:dyDescent="0.2">
      <c r="A196" s="347">
        <v>11092.5</v>
      </c>
      <c r="B196" s="364">
        <f t="shared" si="75"/>
        <v>11.092499999999999</v>
      </c>
      <c r="C196" s="337">
        <f t="shared" si="54"/>
        <v>1.0383673510820275</v>
      </c>
      <c r="D196" s="338">
        <f t="shared" si="55"/>
        <v>0.27268848536353912</v>
      </c>
      <c r="E196" s="338">
        <f t="shared" si="56"/>
        <v>1.0000002146071936</v>
      </c>
      <c r="F196" s="339">
        <f t="shared" si="57"/>
        <v>6.5514449590586962E-4</v>
      </c>
      <c r="G196" s="338">
        <f t="shared" si="58"/>
        <v>1</v>
      </c>
      <c r="H196" s="339">
        <f t="shared" si="59"/>
        <v>0</v>
      </c>
      <c r="I196" s="337">
        <f t="shared" si="60"/>
        <v>80291.904515718881</v>
      </c>
      <c r="J196" s="340">
        <f t="shared" si="61"/>
        <v>1.5707838722391596</v>
      </c>
      <c r="K196" s="348">
        <f t="shared" si="82"/>
        <v>2.097840479107532</v>
      </c>
      <c r="L196" s="349">
        <f t="shared" si="83"/>
        <v>1.0739214281127307</v>
      </c>
      <c r="M196" s="337">
        <f t="shared" si="64"/>
        <v>1.0000593769192465</v>
      </c>
      <c r="N196" s="340">
        <f t="shared" si="65"/>
        <v>1.0897153883453036E-2</v>
      </c>
      <c r="O196" s="341">
        <f t="shared" si="66"/>
        <v>1.0002335023447382</v>
      </c>
      <c r="P196" s="342">
        <f t="shared" si="67"/>
        <v>2.6269592891299588E-2</v>
      </c>
      <c r="Q196" s="343">
        <f t="shared" si="68"/>
        <v>4.3459755893307701</v>
      </c>
      <c r="R196" s="344">
        <f t="shared" si="69"/>
        <v>-46.183981146755805</v>
      </c>
      <c r="S196" s="346">
        <f t="shared" si="70"/>
        <v>133.8160188532442</v>
      </c>
      <c r="U196" s="319">
        <f t="shared" si="76"/>
        <v>1000000000</v>
      </c>
      <c r="V196" s="319">
        <f t="shared" si="77"/>
        <v>123043556.25</v>
      </c>
      <c r="X196" s="345">
        <f t="shared" si="71"/>
        <v>6.0487227080590102</v>
      </c>
      <c r="Y196" s="346">
        <f t="shared" si="72"/>
        <v>-29.092482006468511</v>
      </c>
      <c r="AA196" s="345">
        <f t="shared" si="73"/>
        <v>35.13000303936677</v>
      </c>
      <c r="AB196" s="346">
        <f t="shared" si="74"/>
        <v>-17.091499140287301</v>
      </c>
      <c r="AD196">
        <f t="shared" si="78"/>
        <v>0</v>
      </c>
      <c r="AE196">
        <f t="shared" si="81"/>
        <v>0</v>
      </c>
    </row>
    <row r="197" spans="1:31" x14ac:dyDescent="0.2">
      <c r="A197" s="347">
        <v>11156.25</v>
      </c>
      <c r="B197" s="364">
        <f t="shared" si="75"/>
        <v>11.15625</v>
      </c>
      <c r="C197" s="337">
        <f t="shared" si="54"/>
        <v>1.0388013607748616</v>
      </c>
      <c r="D197" s="338">
        <f t="shared" si="55"/>
        <v>0.27417849649714904</v>
      </c>
      <c r="E197" s="338">
        <f t="shared" si="56"/>
        <v>1.0000002170810312</v>
      </c>
      <c r="F197" s="339">
        <f t="shared" si="57"/>
        <v>6.5890969307151202E-4</v>
      </c>
      <c r="G197" s="338">
        <f t="shared" si="58"/>
        <v>1</v>
      </c>
      <c r="H197" s="339">
        <f t="shared" si="59"/>
        <v>0</v>
      </c>
      <c r="I197" s="337">
        <f t="shared" si="60"/>
        <v>80753.352242749344</v>
      </c>
      <c r="J197" s="340">
        <f t="shared" si="61"/>
        <v>1.5707839434080495</v>
      </c>
      <c r="K197" s="348">
        <f t="shared" si="82"/>
        <v>2.1071635460959408</v>
      </c>
      <c r="L197" s="349">
        <f t="shared" si="83"/>
        <v>1.0763190439982628</v>
      </c>
      <c r="M197" s="337">
        <f t="shared" si="64"/>
        <v>1.0000600613532054</v>
      </c>
      <c r="N197" s="340">
        <f t="shared" si="65"/>
        <v>1.0959776204011484E-2</v>
      </c>
      <c r="O197" s="341">
        <f t="shared" si="66"/>
        <v>1.000236193746991</v>
      </c>
      <c r="P197" s="342">
        <f t="shared" si="67"/>
        <v>2.6420531493401088E-2</v>
      </c>
      <c r="Q197" s="343">
        <f t="shared" si="68"/>
        <v>4.3310562413600149</v>
      </c>
      <c r="R197" s="344">
        <f t="shared" si="69"/>
        <v>-46.144003712266702</v>
      </c>
      <c r="S197" s="346">
        <f t="shared" si="70"/>
        <v>133.85599628773329</v>
      </c>
      <c r="U197" s="319">
        <f t="shared" si="76"/>
        <v>1000000000</v>
      </c>
      <c r="V197" s="319">
        <f t="shared" si="77"/>
        <v>124461914.0625</v>
      </c>
      <c r="X197" s="345">
        <f t="shared" si="71"/>
        <v>6.0374564206489083</v>
      </c>
      <c r="Y197" s="346">
        <f t="shared" si="72"/>
        <v>-28.958700807529471</v>
      </c>
      <c r="AA197" s="345">
        <f t="shared" si="73"/>
        <v>35.126349978806111</v>
      </c>
      <c r="AB197" s="346">
        <f t="shared" si="74"/>
        <v>-17.185302904737231</v>
      </c>
      <c r="AD197">
        <f t="shared" si="78"/>
        <v>0</v>
      </c>
      <c r="AE197">
        <f t="shared" si="81"/>
        <v>0</v>
      </c>
    </row>
    <row r="198" spans="1:31" x14ac:dyDescent="0.2">
      <c r="A198" s="347">
        <v>11220</v>
      </c>
      <c r="B198" s="364">
        <f t="shared" si="75"/>
        <v>11.22</v>
      </c>
      <c r="C198" s="337">
        <f t="shared" si="54"/>
        <v>1.0392376748157675</v>
      </c>
      <c r="D198" s="338">
        <f t="shared" si="55"/>
        <v>0.27566725979973539</v>
      </c>
      <c r="E198" s="338">
        <f t="shared" si="56"/>
        <v>1.0000002195690452</v>
      </c>
      <c r="F198" s="339">
        <f t="shared" si="57"/>
        <v>6.626748902184721E-4</v>
      </c>
      <c r="G198" s="338">
        <f t="shared" si="58"/>
        <v>1</v>
      </c>
      <c r="H198" s="339">
        <f t="shared" si="59"/>
        <v>0</v>
      </c>
      <c r="I198" s="337">
        <f t="shared" si="60"/>
        <v>81214.799969780201</v>
      </c>
      <c r="J198" s="340">
        <f t="shared" si="61"/>
        <v>1.5707840137682021</v>
      </c>
      <c r="K198" s="348">
        <f t="shared" si="82"/>
        <v>2.1164986194884006</v>
      </c>
      <c r="L198" s="349">
        <f t="shared" si="83"/>
        <v>1.0786955234946896</v>
      </c>
      <c r="M198" s="337">
        <f t="shared" si="64"/>
        <v>1.0000607497089495</v>
      </c>
      <c r="N198" s="340">
        <f t="shared" si="65"/>
        <v>1.1022398438607877E-2</v>
      </c>
      <c r="O198" s="341">
        <f t="shared" si="66"/>
        <v>1.0002389005671168</v>
      </c>
      <c r="P198" s="342">
        <f t="shared" si="67"/>
        <v>2.6571469475611901E-2</v>
      </c>
      <c r="Q198" s="343">
        <f t="shared" si="68"/>
        <v>4.3162818453272429</v>
      </c>
      <c r="R198" s="344">
        <f t="shared" si="69"/>
        <v>-46.105165721439043</v>
      </c>
      <c r="S198" s="346">
        <f t="shared" si="70"/>
        <v>133.89483427856095</v>
      </c>
      <c r="U198" s="319">
        <f t="shared" si="76"/>
        <v>1000000000</v>
      </c>
      <c r="V198" s="319">
        <f t="shared" si="77"/>
        <v>125888400</v>
      </c>
      <c r="X198" s="345">
        <f t="shared" si="71"/>
        <v>6.0263529623377838</v>
      </c>
      <c r="Y198" s="346">
        <f t="shared" si="72"/>
        <v>-28.826130583219207</v>
      </c>
      <c r="AA198" s="345">
        <f t="shared" si="73"/>
        <v>35.122679041084467</v>
      </c>
      <c r="AB198" s="346">
        <f t="shared" si="74"/>
        <v>-17.279035138219839</v>
      </c>
      <c r="AD198">
        <f t="shared" si="78"/>
        <v>0</v>
      </c>
      <c r="AE198">
        <f t="shared" si="81"/>
        <v>0</v>
      </c>
    </row>
    <row r="199" spans="1:31" x14ac:dyDescent="0.2">
      <c r="A199" s="347">
        <v>11285.5</v>
      </c>
      <c r="B199" s="364">
        <f t="shared" si="75"/>
        <v>11.285500000000001</v>
      </c>
      <c r="C199" s="337">
        <f t="shared" si="54"/>
        <v>1.0396883631566471</v>
      </c>
      <c r="D199" s="338">
        <f t="shared" si="55"/>
        <v>0.27719558615139328</v>
      </c>
      <c r="E199" s="338">
        <f t="shared" si="56"/>
        <v>1.0000002221401236</v>
      </c>
      <c r="F199" s="339">
        <f t="shared" si="57"/>
        <v>6.6654344569891518E-4</v>
      </c>
      <c r="G199" s="338">
        <f t="shared" si="58"/>
        <v>1</v>
      </c>
      <c r="H199" s="339">
        <f t="shared" si="59"/>
        <v>0</v>
      </c>
      <c r="I199" s="337">
        <f t="shared" si="60"/>
        <v>81688.914889318214</v>
      </c>
      <c r="J199" s="340">
        <f t="shared" si="61"/>
        <v>1.570784085231872</v>
      </c>
      <c r="K199" s="348">
        <f t="shared" si="82"/>
        <v>2.1261022888768344</v>
      </c>
      <c r="L199" s="349">
        <f t="shared" si="83"/>
        <v>1.0811154896214694</v>
      </c>
      <c r="M199" s="337">
        <f t="shared" si="64"/>
        <v>1.0000614610454734</v>
      </c>
      <c r="N199" s="340">
        <f t="shared" si="65"/>
        <v>1.1086739624888176E-2</v>
      </c>
      <c r="O199" s="341">
        <f t="shared" si="66"/>
        <v>1.0002416977505435</v>
      </c>
      <c r="P199" s="342">
        <f t="shared" si="67"/>
        <v>2.6726550204047027E-2</v>
      </c>
      <c r="Q199" s="343">
        <f t="shared" si="68"/>
        <v>4.3012497343637355</v>
      </c>
      <c r="R199" s="344">
        <f t="shared" si="69"/>
        <v>-46.066432917745004</v>
      </c>
      <c r="S199" s="346">
        <f t="shared" si="70"/>
        <v>133.933567082255</v>
      </c>
      <c r="U199" s="319">
        <f t="shared" si="76"/>
        <v>1000000000</v>
      </c>
      <c r="V199" s="319">
        <f t="shared" si="77"/>
        <v>127362510.25</v>
      </c>
      <c r="X199" s="345">
        <f t="shared" si="71"/>
        <v>6.0151111303162477</v>
      </c>
      <c r="Y199" s="346">
        <f t="shared" si="72"/>
        <v>-28.691167310425275</v>
      </c>
      <c r="AA199" s="345">
        <f t="shared" si="73"/>
        <v>35.118888762142497</v>
      </c>
      <c r="AB199" s="346">
        <f t="shared" si="74"/>
        <v>-17.375265607319726</v>
      </c>
      <c r="AD199">
        <f t="shared" si="78"/>
        <v>0</v>
      </c>
      <c r="AE199">
        <f t="shared" si="81"/>
        <v>0</v>
      </c>
    </row>
    <row r="200" spans="1:31" x14ac:dyDescent="0.2">
      <c r="A200" s="347">
        <v>11351</v>
      </c>
      <c r="B200" s="364">
        <f t="shared" si="75"/>
        <v>11.351000000000001</v>
      </c>
      <c r="C200" s="337">
        <f t="shared" si="54"/>
        <v>1.0401414778744968</v>
      </c>
      <c r="D200" s="338">
        <f t="shared" si="55"/>
        <v>0.27872258450379828</v>
      </c>
      <c r="E200" s="338">
        <f t="shared" si="56"/>
        <v>1.0000002247261677</v>
      </c>
      <c r="F200" s="339">
        <f t="shared" si="57"/>
        <v>6.7041200115940764E-4</v>
      </c>
      <c r="G200" s="338">
        <f t="shared" si="58"/>
        <v>1</v>
      </c>
      <c r="H200" s="339">
        <f t="shared" si="59"/>
        <v>0</v>
      </c>
      <c r="I200" s="337">
        <f t="shared" si="60"/>
        <v>82163.029808856634</v>
      </c>
      <c r="J200" s="340">
        <f t="shared" si="61"/>
        <v>1.5707841558707918</v>
      </c>
      <c r="K200" s="348">
        <f t="shared" si="82"/>
        <v>2.1357182972035766</v>
      </c>
      <c r="L200" s="349">
        <f t="shared" si="83"/>
        <v>1.0835136780359589</v>
      </c>
      <c r="M200" s="337">
        <f t="shared" si="64"/>
        <v>1.0000621765220339</v>
      </c>
      <c r="N200" s="340">
        <f t="shared" si="65"/>
        <v>1.1151080719371336E-2</v>
      </c>
      <c r="O200" s="341">
        <f t="shared" si="66"/>
        <v>1.000244511209726</v>
      </c>
      <c r="P200" s="342">
        <f t="shared" si="67"/>
        <v>2.6881630270523194E-2</v>
      </c>
      <c r="Q200" s="343">
        <f t="shared" si="68"/>
        <v>4.2863643658765236</v>
      </c>
      <c r="R200" s="344">
        <f t="shared" si="69"/>
        <v>-46.028871705861015</v>
      </c>
      <c r="S200" s="346">
        <f t="shared" si="70"/>
        <v>133.97112829413899</v>
      </c>
      <c r="U200" s="319">
        <f t="shared" si="76"/>
        <v>1000000000</v>
      </c>
      <c r="V200" s="319">
        <f t="shared" si="77"/>
        <v>128845201</v>
      </c>
      <c r="X200" s="345">
        <f t="shared" si="71"/>
        <v>6.0040348116794595</v>
      </c>
      <c r="Y200" s="346">
        <f t="shared" si="72"/>
        <v>-28.55745175612018</v>
      </c>
      <c r="AA200" s="345">
        <f t="shared" si="73"/>
        <v>35.115079712292072</v>
      </c>
      <c r="AB200" s="346">
        <f t="shared" si="74"/>
        <v>-17.471419949740831</v>
      </c>
      <c r="AD200">
        <f t="shared" si="78"/>
        <v>0</v>
      </c>
      <c r="AE200">
        <f t="shared" si="81"/>
        <v>0</v>
      </c>
    </row>
    <row r="201" spans="1:31" x14ac:dyDescent="0.2">
      <c r="A201" s="347">
        <v>11416.5</v>
      </c>
      <c r="B201" s="364">
        <f t="shared" si="75"/>
        <v>11.416499999999999</v>
      </c>
      <c r="C201" s="337">
        <f t="shared" si="54"/>
        <v>1.040597015799712</v>
      </c>
      <c r="D201" s="338">
        <f t="shared" si="55"/>
        <v>0.28024824947532212</v>
      </c>
      <c r="E201" s="338">
        <f t="shared" si="56"/>
        <v>1.0000002273271775</v>
      </c>
      <c r="F201" s="339">
        <f t="shared" si="57"/>
        <v>6.7428055659983358E-4</v>
      </c>
      <c r="G201" s="338">
        <f t="shared" si="58"/>
        <v>1</v>
      </c>
      <c r="H201" s="339">
        <f t="shared" si="59"/>
        <v>0</v>
      </c>
      <c r="I201" s="337">
        <f t="shared" si="60"/>
        <v>82637.144728395448</v>
      </c>
      <c r="J201" s="340">
        <f t="shared" si="61"/>
        <v>1.5707842256991569</v>
      </c>
      <c r="K201" s="348">
        <f t="shared" si="82"/>
        <v>2.1453464785495129</v>
      </c>
      <c r="L201" s="349">
        <f t="shared" si="83"/>
        <v>1.0858903541770368</v>
      </c>
      <c r="M201" s="337">
        <f t="shared" si="64"/>
        <v>1.0000628961386224</v>
      </c>
      <c r="N201" s="340">
        <f t="shared" si="65"/>
        <v>1.121542172152484E-2</v>
      </c>
      <c r="O201" s="341">
        <f t="shared" si="66"/>
        <v>1.000247340944558</v>
      </c>
      <c r="P201" s="342">
        <f t="shared" si="67"/>
        <v>2.7036709671205392E-2</v>
      </c>
      <c r="Q201" s="343">
        <f t="shared" si="68"/>
        <v>4.2716226680492948</v>
      </c>
      <c r="R201" s="344">
        <f t="shared" si="69"/>
        <v>-45.992466569478076</v>
      </c>
      <c r="S201" s="346">
        <f t="shared" si="70"/>
        <v>134.00753343052193</v>
      </c>
      <c r="U201" s="319">
        <f t="shared" si="76"/>
        <v>1000000000</v>
      </c>
      <c r="V201" s="319">
        <f t="shared" si="77"/>
        <v>130336472.25</v>
      </c>
      <c r="X201" s="345">
        <f t="shared" si="71"/>
        <v>5.9931208830978395</v>
      </c>
      <c r="Y201" s="346">
        <f t="shared" si="72"/>
        <v>-28.424968712559235</v>
      </c>
      <c r="AA201" s="345">
        <f t="shared" si="73"/>
        <v>35.111251943046462</v>
      </c>
      <c r="AB201" s="346">
        <f t="shared" si="74"/>
        <v>-17.567497856918838</v>
      </c>
      <c r="AD201">
        <f t="shared" si="78"/>
        <v>0</v>
      </c>
      <c r="AE201">
        <f t="shared" si="81"/>
        <v>0</v>
      </c>
    </row>
    <row r="202" spans="1:31" x14ac:dyDescent="0.2">
      <c r="A202" s="347">
        <v>11482</v>
      </c>
      <c r="B202" s="364">
        <f t="shared" si="75"/>
        <v>11.481999999999999</v>
      </c>
      <c r="C202" s="337">
        <f t="shared" si="54"/>
        <v>1.0410549737512993</v>
      </c>
      <c r="D202" s="338">
        <f t="shared" si="55"/>
        <v>0.2817725757185599</v>
      </c>
      <c r="E202" s="338">
        <f t="shared" si="56"/>
        <v>1.0000002299431532</v>
      </c>
      <c r="F202" s="339">
        <f t="shared" si="57"/>
        <v>6.7814911202007742E-4</v>
      </c>
      <c r="G202" s="338">
        <f t="shared" si="58"/>
        <v>1</v>
      </c>
      <c r="H202" s="339">
        <f t="shared" si="59"/>
        <v>0</v>
      </c>
      <c r="I202" s="337">
        <f t="shared" si="60"/>
        <v>83111.259647934668</v>
      </c>
      <c r="J202" s="340">
        <f t="shared" si="61"/>
        <v>1.5707842947308386</v>
      </c>
      <c r="K202" s="348">
        <f t="shared" si="82"/>
        <v>2.1549866697525686</v>
      </c>
      <c r="L202" s="349">
        <f t="shared" si="83"/>
        <v>1.0882457797150229</v>
      </c>
      <c r="M202" s="337">
        <f t="shared" si="64"/>
        <v>1.00006361989523</v>
      </c>
      <c r="N202" s="340">
        <f t="shared" si="65"/>
        <v>1.1279762630816174E-2</v>
      </c>
      <c r="O202" s="341">
        <f t="shared" si="66"/>
        <v>1.0002501869549334</v>
      </c>
      <c r="P202" s="342">
        <f t="shared" si="67"/>
        <v>2.719178840225871E-2</v>
      </c>
      <c r="Q202" s="343">
        <f t="shared" si="68"/>
        <v>4.2570216400137761</v>
      </c>
      <c r="R202" s="344">
        <f t="shared" si="69"/>
        <v>-45.957202210152055</v>
      </c>
      <c r="S202" s="346">
        <f t="shared" si="70"/>
        <v>134.04279778984795</v>
      </c>
      <c r="U202" s="319">
        <f t="shared" si="76"/>
        <v>1000000000</v>
      </c>
      <c r="V202" s="319">
        <f t="shared" si="77"/>
        <v>131836324</v>
      </c>
      <c r="X202" s="345">
        <f t="shared" si="71"/>
        <v>5.9823662920440812</v>
      </c>
      <c r="Y202" s="346">
        <f t="shared" si="72"/>
        <v>-28.293703187901752</v>
      </c>
      <c r="AA202" s="345">
        <f t="shared" si="73"/>
        <v>35.107405506064701</v>
      </c>
      <c r="AB202" s="346">
        <f t="shared" si="74"/>
        <v>-17.663499022250299</v>
      </c>
      <c r="AD202">
        <f t="shared" si="78"/>
        <v>0</v>
      </c>
      <c r="AE202">
        <f t="shared" si="81"/>
        <v>0</v>
      </c>
    </row>
    <row r="203" spans="1:31" x14ac:dyDescent="0.2">
      <c r="A203" s="347">
        <v>11548.75</v>
      </c>
      <c r="B203" s="364">
        <f t="shared" si="75"/>
        <v>11.54875</v>
      </c>
      <c r="C203" s="337">
        <f t="shared" si="54"/>
        <v>1.0415241577958787</v>
      </c>
      <c r="D203" s="338">
        <f t="shared" si="55"/>
        <v>0.28332460936203363</v>
      </c>
      <c r="E203" s="338">
        <f t="shared" si="56"/>
        <v>1.0000002326244488</v>
      </c>
      <c r="F203" s="339">
        <f t="shared" si="57"/>
        <v>6.8209149481295386E-4</v>
      </c>
      <c r="G203" s="338">
        <f t="shared" si="58"/>
        <v>1</v>
      </c>
      <c r="H203" s="339">
        <f t="shared" si="59"/>
        <v>0</v>
      </c>
      <c r="I203" s="337">
        <f t="shared" si="60"/>
        <v>83594.422562121996</v>
      </c>
      <c r="J203" s="340">
        <f t="shared" si="61"/>
        <v>1.5707843642743196</v>
      </c>
      <c r="K203" s="348">
        <f t="shared" si="82"/>
        <v>2.1648230237912434</v>
      </c>
      <c r="L203" s="349">
        <f t="shared" si="83"/>
        <v>1.0906245603868479</v>
      </c>
      <c r="M203" s="337">
        <f t="shared" si="64"/>
        <v>1.0000643617232619</v>
      </c>
      <c r="N203" s="340">
        <f t="shared" si="65"/>
        <v>1.1345331323967131E-2</v>
      </c>
      <c r="O203" s="341">
        <f t="shared" si="66"/>
        <v>1.0002531040227827</v>
      </c>
      <c r="P203" s="342">
        <f t="shared" si="67"/>
        <v>2.7349825958190296E-2</v>
      </c>
      <c r="Q203" s="343">
        <f t="shared" si="68"/>
        <v>4.242283653532251</v>
      </c>
      <c r="R203" s="344">
        <f t="shared" si="69"/>
        <v>-45.922422891660688</v>
      </c>
      <c r="S203" s="346">
        <f t="shared" si="70"/>
        <v>134.07757710833931</v>
      </c>
      <c r="U203" s="319">
        <f t="shared" si="76"/>
        <v>1000000000</v>
      </c>
      <c r="V203" s="319">
        <f t="shared" si="77"/>
        <v>133373626.5625</v>
      </c>
      <c r="X203" s="345">
        <f t="shared" si="71"/>
        <v>5.9715672997126914</v>
      </c>
      <c r="Y203" s="346">
        <f t="shared" si="72"/>
        <v>-28.161169888801137</v>
      </c>
      <c r="AA203" s="345">
        <f t="shared" si="73"/>
        <v>35.103466511914569</v>
      </c>
      <c r="AB203" s="346">
        <f t="shared" si="74"/>
        <v>-17.761253002859544</v>
      </c>
      <c r="AD203">
        <f t="shared" si="78"/>
        <v>0</v>
      </c>
      <c r="AE203">
        <f t="shared" si="81"/>
        <v>0</v>
      </c>
    </row>
    <row r="204" spans="1:31" x14ac:dyDescent="0.2">
      <c r="A204" s="347">
        <v>11615.5</v>
      </c>
      <c r="B204" s="364">
        <f t="shared" si="75"/>
        <v>11.615500000000001</v>
      </c>
      <c r="C204" s="337">
        <f t="shared" si="54"/>
        <v>1.0419958484097807</v>
      </c>
      <c r="D204" s="338">
        <f t="shared" si="55"/>
        <v>0.28487524158889194</v>
      </c>
      <c r="E204" s="338">
        <f t="shared" si="56"/>
        <v>1.0000002353212867</v>
      </c>
      <c r="F204" s="339">
        <f t="shared" si="57"/>
        <v>6.8603387758462764E-4</v>
      </c>
      <c r="G204" s="338">
        <f t="shared" si="58"/>
        <v>1</v>
      </c>
      <c r="H204" s="339">
        <f t="shared" si="59"/>
        <v>0</v>
      </c>
      <c r="I204" s="337">
        <f t="shared" si="60"/>
        <v>84077.58547630973</v>
      </c>
      <c r="J204" s="340">
        <f t="shared" si="61"/>
        <v>1.570784433018519</v>
      </c>
      <c r="K204" s="348">
        <f t="shared" si="82"/>
        <v>2.174671516836014</v>
      </c>
      <c r="L204" s="349">
        <f t="shared" si="83"/>
        <v>1.0929818086016856</v>
      </c>
      <c r="M204" s="337">
        <f t="shared" si="64"/>
        <v>1.0000651078508176</v>
      </c>
      <c r="N204" s="340">
        <f t="shared" si="65"/>
        <v>1.1410899919561138E-2</v>
      </c>
      <c r="O204" s="341">
        <f t="shared" si="66"/>
        <v>1.0002560379930814</v>
      </c>
      <c r="P204" s="342">
        <f t="shared" si="67"/>
        <v>2.7507862810649819E-2</v>
      </c>
      <c r="Q204" s="343">
        <f t="shared" si="68"/>
        <v>4.2276856816628952</v>
      </c>
      <c r="R204" s="344">
        <f t="shared" si="69"/>
        <v>-45.888796905131315</v>
      </c>
      <c r="S204" s="346">
        <f t="shared" si="70"/>
        <v>134.1112030948687</v>
      </c>
      <c r="U204" s="319">
        <f t="shared" si="76"/>
        <v>1000000000</v>
      </c>
      <c r="V204" s="319">
        <f t="shared" si="77"/>
        <v>134919840.25</v>
      </c>
      <c r="X204" s="345">
        <f t="shared" si="71"/>
        <v>5.9609276002612575</v>
      </c>
      <c r="Y204" s="346">
        <f t="shared" si="72"/>
        <v>-28.029870257224793</v>
      </c>
      <c r="AA204" s="345">
        <f t="shared" si="73"/>
        <v>35.09950823949665</v>
      </c>
      <c r="AB204" s="346">
        <f t="shared" si="74"/>
        <v>-17.858926647906525</v>
      </c>
      <c r="AD204">
        <f t="shared" si="78"/>
        <v>0</v>
      </c>
      <c r="AE204">
        <f t="shared" si="81"/>
        <v>0</v>
      </c>
    </row>
    <row r="205" spans="1:31" x14ac:dyDescent="0.2">
      <c r="A205" s="347">
        <v>11682.25</v>
      </c>
      <c r="B205" s="364">
        <f t="shared" si="75"/>
        <v>11.68225</v>
      </c>
      <c r="C205" s="337">
        <f t="shared" ref="C205:C268" si="84">SQRT(1+(A205/pole1)^2)</f>
        <v>1.0424700421905329</v>
      </c>
      <c r="D205" s="338">
        <f t="shared" ref="D205:D268" si="85">ATAN(A205/pole1)</f>
        <v>0.28642446684966022</v>
      </c>
      <c r="E205" s="338">
        <f t="shared" ref="E205:E268" si="86">SQRT(1+(A205/Zero1)^2)</f>
        <v>1.000000238033667</v>
      </c>
      <c r="F205" s="339">
        <f t="shared" ref="F205:F268" si="87">ATAN(A205/Zero1)</f>
        <v>6.8997626033497626E-4</v>
      </c>
      <c r="G205" s="338">
        <f t="shared" ref="G205:G268" si="88">IF(VIN_nom&gt;Vout, 1, SQRT(1+(A205/z_RHP)^2))</f>
        <v>1</v>
      </c>
      <c r="H205" s="339">
        <f t="shared" ref="H205:H268" si="89">IF(VIN_nom&gt;Vout, 0, -ATAN(A205/z_RHP))</f>
        <v>0</v>
      </c>
      <c r="I205" s="337">
        <f t="shared" ref="I205:I268" si="90">SQRT(1+(A205/Pole2)^2)</f>
        <v>84560.748390497844</v>
      </c>
      <c r="J205" s="340">
        <f t="shared" ref="J205:J268" si="91">ATAN(A205/Pole2)</f>
        <v>1.5707845009771377</v>
      </c>
      <c r="K205" s="348">
        <f t="shared" si="82"/>
        <v>2.1845319847085842</v>
      </c>
      <c r="L205" s="349">
        <f t="shared" si="83"/>
        <v>1.0953177895619559</v>
      </c>
      <c r="M205" s="337">
        <f t="shared" ref="M205:M268" si="92">SQRT(1+(A205/pole4)^2)</f>
        <v>1.0000658582778879</v>
      </c>
      <c r="N205" s="340">
        <f t="shared" ref="N205:N268" si="93">ATAN(A205/pole4)</f>
        <v>1.1476468417034622E-2</v>
      </c>
      <c r="O205" s="341">
        <f t="shared" ref="O205:O268" si="94">SQRT((1-(V205/pterm2))^2+(A205/pterm1)^2)</f>
        <v>1.0002589888657143</v>
      </c>
      <c r="P205" s="342">
        <f t="shared" ref="P205:P268" si="95">IF((ATAN((A205/pterm1)/(1-A205^2/pterm2))&gt;0),ATAN((A205/pterm1)/(1-A205^2/pterm2)),PI()+ATAN((A205/pterm1)/(1-A205^2/pterm2)))</f>
        <v>2.7665898955578999E-2</v>
      </c>
      <c r="Q205" s="343">
        <f t="shared" ref="Q205:Q268" si="96">20*LOG10(((E205*K205*G205)/(C205*I205*O205*M205))*Adc)</f>
        <v>4.2132247640946217</v>
      </c>
      <c r="R205" s="344">
        <f t="shared" ref="R205:R268" si="97">((F205+L205+H205)-(D205+J205+P205+N205))*radconv</f>
        <v>-45.856308738143277</v>
      </c>
      <c r="S205" s="346">
        <f t="shared" ref="S205:S268" si="98">IF(R205&gt;0,R205,R205+180)</f>
        <v>134.14369126185673</v>
      </c>
      <c r="U205" s="319">
        <f t="shared" si="76"/>
        <v>1000000000</v>
      </c>
      <c r="V205" s="319">
        <f t="shared" si="77"/>
        <v>136474965.0625</v>
      </c>
      <c r="X205" s="345">
        <f t="shared" ref="X205:X268" si="99">20*LOG10((K205/(I205*M205))*AEA)</f>
        <v>5.9504441782513506</v>
      </c>
      <c r="Y205" s="346">
        <f t="shared" ref="Y205:Y268" si="100">(L205-(J205+N205))*radconv</f>
        <v>-27.89978909894602</v>
      </c>
      <c r="AA205" s="345">
        <f t="shared" ref="AA205:AA268" si="101">20*LOG10((E205*G205/(C205*O205))*Acs*Am)</f>
        <v>35.095530743938276</v>
      </c>
      <c r="AB205" s="346">
        <f t="shared" ref="AB205:AB268" si="102">(F205+H205-(D205+P205))*radconv</f>
        <v>-17.956519639197257</v>
      </c>
      <c r="AD205">
        <f t="shared" si="78"/>
        <v>0</v>
      </c>
      <c r="AE205">
        <f t="shared" si="81"/>
        <v>0</v>
      </c>
    </row>
    <row r="206" spans="1:31" x14ac:dyDescent="0.2">
      <c r="A206" s="347">
        <v>11749</v>
      </c>
      <c r="B206" s="364">
        <f t="shared" ref="B206:B269" si="103">A206/1000</f>
        <v>11.749000000000001</v>
      </c>
      <c r="C206" s="337">
        <f t="shared" si="84"/>
        <v>1.0429467357238109</v>
      </c>
      <c r="D206" s="338">
        <f t="shared" si="85"/>
        <v>0.28797227963194466</v>
      </c>
      <c r="E206" s="338">
        <f t="shared" si="86"/>
        <v>1.0000002407615898</v>
      </c>
      <c r="F206" s="339">
        <f t="shared" si="87"/>
        <v>6.9391864306387718E-4</v>
      </c>
      <c r="G206" s="338">
        <f t="shared" si="88"/>
        <v>1</v>
      </c>
      <c r="H206" s="339">
        <f t="shared" si="89"/>
        <v>0</v>
      </c>
      <c r="I206" s="337">
        <f t="shared" si="90"/>
        <v>85043.911304686335</v>
      </c>
      <c r="J206" s="340">
        <f t="shared" si="91"/>
        <v>1.570784568163565</v>
      </c>
      <c r="K206" s="348">
        <f t="shared" si="82"/>
        <v>2.1944042659837302</v>
      </c>
      <c r="L206" s="349">
        <f t="shared" si="83"/>
        <v>1.0976327646347817</v>
      </c>
      <c r="M206" s="337">
        <f t="shared" si="92"/>
        <v>1.0000666130044624</v>
      </c>
      <c r="N206" s="340">
        <f t="shared" si="93"/>
        <v>1.1542036815824016E-2</v>
      </c>
      <c r="O206" s="341">
        <f t="shared" si="94"/>
        <v>1.0002619566405666</v>
      </c>
      <c r="P206" s="342">
        <f t="shared" si="95"/>
        <v>2.7823934388919686E-2</v>
      </c>
      <c r="Q206" s="343">
        <f t="shared" si="96"/>
        <v>4.1988980093102359</v>
      </c>
      <c r="R206" s="344">
        <f t="shared" si="97"/>
        <v>-45.824943100128976</v>
      </c>
      <c r="S206" s="346">
        <f t="shared" si="98"/>
        <v>134.17505689987104</v>
      </c>
      <c r="U206" s="319">
        <f t="shared" ref="U206:U269" si="104">IF(Q206&lt;0,A206,1000000000)</f>
        <v>1000000000</v>
      </c>
      <c r="V206" s="319">
        <f t="shared" ref="V206:V269" si="105">A206^2</f>
        <v>138039001</v>
      </c>
      <c r="X206" s="345">
        <f t="shared" si="99"/>
        <v>5.9401140868902234</v>
      </c>
      <c r="Y206" s="346">
        <f t="shared" si="100"/>
        <v>-27.770911439466648</v>
      </c>
      <c r="AA206" s="345">
        <f t="shared" si="101"/>
        <v>35.091534080515025</v>
      </c>
      <c r="AB206" s="346">
        <f t="shared" si="102"/>
        <v>-18.054031660662332</v>
      </c>
      <c r="AD206">
        <f t="shared" ref="AD206:AD269" si="106">SUM((Q207&lt;0)*(Q206&gt;0))*A206</f>
        <v>0</v>
      </c>
      <c r="AE206">
        <f t="shared" si="81"/>
        <v>0</v>
      </c>
    </row>
    <row r="207" spans="1:31" x14ac:dyDescent="0.2">
      <c r="A207" s="347">
        <v>11817.5</v>
      </c>
      <c r="B207" s="364">
        <f t="shared" si="103"/>
        <v>11.817500000000001</v>
      </c>
      <c r="C207" s="337">
        <f t="shared" si="84"/>
        <v>1.0434385221636662</v>
      </c>
      <c r="D207" s="338">
        <f t="shared" si="85"/>
        <v>0.28955919752277448</v>
      </c>
      <c r="E207" s="338">
        <f t="shared" si="86"/>
        <v>1.0000002435771902</v>
      </c>
      <c r="F207" s="339">
        <f t="shared" si="87"/>
        <v>6.9796438411904855E-4</v>
      </c>
      <c r="G207" s="338">
        <f t="shared" si="88"/>
        <v>1</v>
      </c>
      <c r="H207" s="339">
        <f t="shared" si="89"/>
        <v>0</v>
      </c>
      <c r="I207" s="337">
        <f t="shared" si="90"/>
        <v>85539.741411382056</v>
      </c>
      <c r="J207" s="340">
        <f t="shared" si="91"/>
        <v>1.5707846363223334</v>
      </c>
      <c r="K207" s="348">
        <f t="shared" si="82"/>
        <v>2.2045474867016219</v>
      </c>
      <c r="L207" s="349">
        <f t="shared" si="83"/>
        <v>1.0999868628786029</v>
      </c>
      <c r="M207" s="337">
        <f t="shared" si="92"/>
        <v>1.0000673919879295</v>
      </c>
      <c r="N207" s="340">
        <f t="shared" si="93"/>
        <v>1.1609324133114642E-2</v>
      </c>
      <c r="O207" s="341">
        <f t="shared" si="94"/>
        <v>1.0002650197948502</v>
      </c>
      <c r="P207" s="342">
        <f t="shared" si="95"/>
        <v>2.798611232924901E-2</v>
      </c>
      <c r="Q207" s="343">
        <f t="shared" si="96"/>
        <v>4.1843321698872025</v>
      </c>
      <c r="R207" s="344">
        <f t="shared" si="97"/>
        <v>-45.793906395870557</v>
      </c>
      <c r="S207" s="346">
        <f t="shared" si="98"/>
        <v>134.20609360412945</v>
      </c>
      <c r="U207" s="319">
        <f t="shared" si="104"/>
        <v>1000000000</v>
      </c>
      <c r="V207" s="319">
        <f t="shared" si="105"/>
        <v>139653306.25</v>
      </c>
      <c r="X207" s="345">
        <f t="shared" si="99"/>
        <v>5.9296695624486615</v>
      </c>
      <c r="Y207" s="346">
        <f t="shared" si="100"/>
        <v>-27.639890729892084</v>
      </c>
      <c r="AA207" s="345">
        <f t="shared" si="101"/>
        <v>35.08741276553355</v>
      </c>
      <c r="AB207" s="346">
        <f t="shared" si="102"/>
        <v>-18.154015665978463</v>
      </c>
      <c r="AD207">
        <f t="shared" si="106"/>
        <v>0</v>
      </c>
      <c r="AE207">
        <f t="shared" si="81"/>
        <v>0</v>
      </c>
    </row>
    <row r="208" spans="1:31" x14ac:dyDescent="0.2">
      <c r="A208" s="347">
        <v>11886</v>
      </c>
      <c r="B208" s="364">
        <f t="shared" si="103"/>
        <v>11.885999999999999</v>
      </c>
      <c r="C208" s="337">
        <f t="shared" si="84"/>
        <v>1.0439329338238836</v>
      </c>
      <c r="D208" s="338">
        <f t="shared" si="85"/>
        <v>0.2911446162591374</v>
      </c>
      <c r="E208" s="338">
        <f t="shared" si="86"/>
        <v>1.0000002464091584</v>
      </c>
      <c r="F208" s="339">
        <f t="shared" si="87"/>
        <v>7.0201012515137145E-4</v>
      </c>
      <c r="G208" s="338">
        <f t="shared" si="88"/>
        <v>1</v>
      </c>
      <c r="H208" s="339">
        <f t="shared" si="89"/>
        <v>0</v>
      </c>
      <c r="I208" s="337">
        <f t="shared" si="90"/>
        <v>86035.571518078155</v>
      </c>
      <c r="J208" s="340">
        <f t="shared" si="91"/>
        <v>1.5707847036954927</v>
      </c>
      <c r="K208" s="348">
        <f t="shared" si="82"/>
        <v>2.2147028125867245</v>
      </c>
      <c r="L208" s="349">
        <f t="shared" si="83"/>
        <v>1.102319384927325</v>
      </c>
      <c r="M208" s="337">
        <f t="shared" si="92"/>
        <v>1.000068175499278</v>
      </c>
      <c r="N208" s="340">
        <f t="shared" si="93"/>
        <v>1.1676611345276349E-2</v>
      </c>
      <c r="O208" s="341">
        <f t="shared" si="94"/>
        <v>1.0002681007489809</v>
      </c>
      <c r="P208" s="342">
        <f t="shared" si="95"/>
        <v>2.8148289511529919E-2</v>
      </c>
      <c r="Q208" s="343">
        <f t="shared" si="96"/>
        <v>4.1699016647805855</v>
      </c>
      <c r="R208" s="344">
        <f t="shared" si="97"/>
        <v>-45.764019926839595</v>
      </c>
      <c r="S208" s="346">
        <f t="shared" si="98"/>
        <v>134.23598007316042</v>
      </c>
      <c r="U208" s="319">
        <f t="shared" si="104"/>
        <v>1000000000</v>
      </c>
      <c r="V208" s="319">
        <f t="shared" si="105"/>
        <v>141276996</v>
      </c>
      <c r="X208" s="345">
        <f t="shared" si="99"/>
        <v>5.9193804400004701</v>
      </c>
      <c r="Y208" s="346">
        <f t="shared" si="100"/>
        <v>-27.510106194200556</v>
      </c>
      <c r="AA208" s="345">
        <f t="shared" si="101"/>
        <v>35.083271382875125</v>
      </c>
      <c r="AB208" s="346">
        <f t="shared" si="102"/>
        <v>-18.253913732639038</v>
      </c>
      <c r="AD208">
        <f t="shared" si="106"/>
        <v>0</v>
      </c>
      <c r="AE208">
        <f t="shared" si="81"/>
        <v>0</v>
      </c>
    </row>
    <row r="209" spans="1:31" x14ac:dyDescent="0.2">
      <c r="A209" s="347">
        <v>11954.5</v>
      </c>
      <c r="B209" s="364">
        <f t="shared" si="103"/>
        <v>11.954499999999999</v>
      </c>
      <c r="C209" s="337">
        <f t="shared" si="84"/>
        <v>1.0444299669762878</v>
      </c>
      <c r="D209" s="338">
        <f t="shared" si="85"/>
        <v>0.29272853000565252</v>
      </c>
      <c r="E209" s="338">
        <f t="shared" si="86"/>
        <v>1.0000002492574949</v>
      </c>
      <c r="F209" s="339">
        <f t="shared" si="87"/>
        <v>7.0605586616071339E-4</v>
      </c>
      <c r="G209" s="338">
        <f t="shared" si="88"/>
        <v>1</v>
      </c>
      <c r="H209" s="339">
        <f t="shared" si="89"/>
        <v>0</v>
      </c>
      <c r="I209" s="337">
        <f t="shared" si="90"/>
        <v>86531.401624774633</v>
      </c>
      <c r="J209" s="340">
        <f t="shared" si="91"/>
        <v>1.5707847702965476</v>
      </c>
      <c r="K209" s="348">
        <f t="shared" si="82"/>
        <v>2.2248700778784647</v>
      </c>
      <c r="L209" s="349">
        <f t="shared" si="83"/>
        <v>1.1046306010232763</v>
      </c>
      <c r="M209" s="337">
        <f t="shared" si="92"/>
        <v>1.0000689635384967</v>
      </c>
      <c r="N209" s="340">
        <f t="shared" si="93"/>
        <v>1.1743898451700091E-2</v>
      </c>
      <c r="O209" s="341">
        <f t="shared" si="94"/>
        <v>1.0002711995028319</v>
      </c>
      <c r="P209" s="342">
        <f t="shared" si="95"/>
        <v>2.8310465931377073E-2</v>
      </c>
      <c r="Q209" s="343">
        <f t="shared" si="96"/>
        <v>4.1556035832341447</v>
      </c>
      <c r="R209" s="344">
        <f t="shared" si="97"/>
        <v>-45.735267875436122</v>
      </c>
      <c r="S209" s="346">
        <f t="shared" si="98"/>
        <v>134.26473212456386</v>
      </c>
      <c r="U209" s="319">
        <f t="shared" si="104"/>
        <v>1000000000</v>
      </c>
      <c r="V209" s="319">
        <f t="shared" si="105"/>
        <v>142910070.25</v>
      </c>
      <c r="X209" s="345">
        <f t="shared" si="99"/>
        <v>5.9092437485794838</v>
      </c>
      <c r="Y209" s="346">
        <f t="shared" si="100"/>
        <v>-27.381542349386013</v>
      </c>
      <c r="AA209" s="345">
        <f t="shared" si="101"/>
        <v>35.079109992749672</v>
      </c>
      <c r="AB209" s="346">
        <f t="shared" si="102"/>
        <v>-18.353725526050106</v>
      </c>
      <c r="AD209">
        <f t="shared" si="106"/>
        <v>0</v>
      </c>
      <c r="AE209">
        <f t="shared" si="81"/>
        <v>0</v>
      </c>
    </row>
    <row r="210" spans="1:31" x14ac:dyDescent="0.2">
      <c r="A210" s="347">
        <v>12023</v>
      </c>
      <c r="B210" s="364">
        <f t="shared" si="103"/>
        <v>12.023</v>
      </c>
      <c r="C210" s="337">
        <f t="shared" si="84"/>
        <v>1.0449296178800469</v>
      </c>
      <c r="D210" s="338">
        <f t="shared" si="85"/>
        <v>0.29431093296821736</v>
      </c>
      <c r="E210" s="338">
        <f t="shared" si="86"/>
        <v>1.0000002521221991</v>
      </c>
      <c r="F210" s="339">
        <f t="shared" si="87"/>
        <v>7.1010160714694186E-4</v>
      </c>
      <c r="G210" s="338">
        <f t="shared" si="88"/>
        <v>1</v>
      </c>
      <c r="H210" s="339">
        <f t="shared" si="89"/>
        <v>0</v>
      </c>
      <c r="I210" s="337">
        <f t="shared" si="90"/>
        <v>87027.231731471504</v>
      </c>
      <c r="J210" s="340">
        <f t="shared" si="91"/>
        <v>1.5707848361386949</v>
      </c>
      <c r="K210" s="348">
        <f t="shared" si="82"/>
        <v>2.2350491196393363</v>
      </c>
      <c r="L210" s="349">
        <f t="shared" si="83"/>
        <v>1.1069207774049181</v>
      </c>
      <c r="M210" s="337">
        <f t="shared" si="92"/>
        <v>1.0000697561055754</v>
      </c>
      <c r="N210" s="340">
        <f t="shared" si="93"/>
        <v>1.181118545177683E-2</v>
      </c>
      <c r="O210" s="341">
        <f t="shared" si="94"/>
        <v>1.0002743160562755</v>
      </c>
      <c r="P210" s="342">
        <f t="shared" si="95"/>
        <v>2.8472641584405302E-2</v>
      </c>
      <c r="Q210" s="343">
        <f t="shared" si="96"/>
        <v>4.1414350830204931</v>
      </c>
      <c r="R210" s="344">
        <f t="shared" si="97"/>
        <v>-45.707634655812321</v>
      </c>
      <c r="S210" s="346">
        <f t="shared" si="98"/>
        <v>134.29236534418769</v>
      </c>
      <c r="U210" s="319">
        <f t="shared" si="104"/>
        <v>1000000000</v>
      </c>
      <c r="V210" s="319">
        <f t="shared" si="105"/>
        <v>144552529</v>
      </c>
      <c r="X210" s="345">
        <f t="shared" si="99"/>
        <v>5.8992565855941361</v>
      </c>
      <c r="Y210" s="346">
        <f t="shared" si="100"/>
        <v>-27.254183941829517</v>
      </c>
      <c r="AA210" s="345">
        <f t="shared" si="101"/>
        <v>35.074928655521369</v>
      </c>
      <c r="AB210" s="346">
        <f t="shared" si="102"/>
        <v>-18.453450713982804</v>
      </c>
      <c r="AD210">
        <f t="shared" si="106"/>
        <v>0</v>
      </c>
      <c r="AE210">
        <f t="shared" si="81"/>
        <v>0</v>
      </c>
    </row>
    <row r="211" spans="1:31" x14ac:dyDescent="0.2">
      <c r="A211" s="347">
        <v>12093</v>
      </c>
      <c r="B211" s="364">
        <f t="shared" si="103"/>
        <v>12.093</v>
      </c>
      <c r="C211" s="337">
        <f t="shared" si="84"/>
        <v>1.0454429105020622</v>
      </c>
      <c r="D211" s="338">
        <f t="shared" si="85"/>
        <v>0.29592642033380961</v>
      </c>
      <c r="E211" s="338">
        <f t="shared" si="86"/>
        <v>1.0000002550665439</v>
      </c>
      <c r="F211" s="339">
        <f t="shared" si="87"/>
        <v>7.1423594097746578E-4</v>
      </c>
      <c r="G211" s="338">
        <f t="shared" si="88"/>
        <v>1</v>
      </c>
      <c r="H211" s="339">
        <f t="shared" si="89"/>
        <v>0</v>
      </c>
      <c r="I211" s="337">
        <f t="shared" si="90"/>
        <v>87533.919431746064</v>
      </c>
      <c r="J211" s="340">
        <f t="shared" si="91"/>
        <v>1.5707849026520442</v>
      </c>
      <c r="K211" s="348">
        <f t="shared" si="82"/>
        <v>2.2454630595743583</v>
      </c>
      <c r="L211" s="349">
        <f t="shared" si="83"/>
        <v>1.1092396407203668</v>
      </c>
      <c r="M211" s="337">
        <f t="shared" si="92"/>
        <v>1.0000705707057969</v>
      </c>
      <c r="N211" s="340">
        <f t="shared" si="93"/>
        <v>1.1879945779312021E-2</v>
      </c>
      <c r="O211" s="341">
        <f t="shared" si="94"/>
        <v>1.0002775192437994</v>
      </c>
      <c r="P211" s="342">
        <f t="shared" si="95"/>
        <v>2.8638367732352239E-2</v>
      </c>
      <c r="Q211" s="343">
        <f t="shared" si="96"/>
        <v>4.1270873044887662</v>
      </c>
      <c r="R211" s="344">
        <f t="shared" si="97"/>
        <v>-45.680536198896206</v>
      </c>
      <c r="S211" s="346">
        <f t="shared" si="98"/>
        <v>134.31946380110378</v>
      </c>
      <c r="U211" s="319">
        <f t="shared" si="104"/>
        <v>1000000000</v>
      </c>
      <c r="V211" s="319">
        <f t="shared" si="105"/>
        <v>146240649</v>
      </c>
      <c r="X211" s="345">
        <f t="shared" si="99"/>
        <v>5.8892022505266244</v>
      </c>
      <c r="Y211" s="346">
        <f t="shared" si="100"/>
        <v>-27.125266347939178</v>
      </c>
      <c r="AA211" s="345">
        <f t="shared" si="101"/>
        <v>35.070635212057148</v>
      </c>
      <c r="AB211" s="346">
        <f t="shared" si="102"/>
        <v>-18.555269850957025</v>
      </c>
      <c r="AD211">
        <f t="shared" si="106"/>
        <v>0</v>
      </c>
      <c r="AE211">
        <f t="shared" si="81"/>
        <v>0</v>
      </c>
    </row>
    <row r="212" spans="1:31" x14ac:dyDescent="0.2">
      <c r="A212" s="347">
        <v>12163</v>
      </c>
      <c r="B212" s="364">
        <f t="shared" si="103"/>
        <v>12.163</v>
      </c>
      <c r="C212" s="337">
        <f t="shared" si="84"/>
        <v>1.0459589288383766</v>
      </c>
      <c r="D212" s="338">
        <f t="shared" si="85"/>
        <v>0.29754031792350621</v>
      </c>
      <c r="E212" s="338">
        <f t="shared" si="86"/>
        <v>1.0000002580279814</v>
      </c>
      <c r="F212" s="339">
        <f t="shared" si="87"/>
        <v>7.1837027478357314E-4</v>
      </c>
      <c r="G212" s="338">
        <f t="shared" si="88"/>
        <v>1</v>
      </c>
      <c r="H212" s="339">
        <f t="shared" si="89"/>
        <v>0</v>
      </c>
      <c r="I212" s="337">
        <f t="shared" si="90"/>
        <v>88040.607132020989</v>
      </c>
      <c r="J212" s="340">
        <f t="shared" si="91"/>
        <v>1.5707849683998039</v>
      </c>
      <c r="K212" s="348">
        <f t="shared" si="82"/>
        <v>2.2558889621353657</v>
      </c>
      <c r="L212" s="349">
        <f t="shared" si="83"/>
        <v>1.1115370824000459</v>
      </c>
      <c r="M212" s="337">
        <f t="shared" si="92"/>
        <v>1.000071390034327</v>
      </c>
      <c r="N212" s="340">
        <f t="shared" si="93"/>
        <v>1.1948705994505752E-2</v>
      </c>
      <c r="O212" s="341">
        <f t="shared" si="94"/>
        <v>1.0002807410187236</v>
      </c>
      <c r="P212" s="342">
        <f t="shared" si="95"/>
        <v>2.8804093070270768E-2</v>
      </c>
      <c r="Q212" s="343">
        <f t="shared" si="96"/>
        <v>4.112869054522502</v>
      </c>
      <c r="R212" s="344">
        <f t="shared" si="97"/>
        <v>-45.654573927140518</v>
      </c>
      <c r="S212" s="346">
        <f t="shared" si="98"/>
        <v>134.34542607285948</v>
      </c>
      <c r="U212" s="319">
        <f t="shared" si="104"/>
        <v>1000000000</v>
      </c>
      <c r="V212" s="319">
        <f t="shared" si="105"/>
        <v>147938569</v>
      </c>
      <c r="X212" s="345">
        <f t="shared" si="99"/>
        <v>5.879298146352447</v>
      </c>
      <c r="Y212" s="346">
        <f t="shared" si="100"/>
        <v>-26.997576073068377</v>
      </c>
      <c r="AA212" s="345">
        <f t="shared" si="101"/>
        <v>35.066321066265061</v>
      </c>
      <c r="AB212" s="346">
        <f t="shared" si="102"/>
        <v>-18.656997854072142</v>
      </c>
      <c r="AD212">
        <f t="shared" si="106"/>
        <v>0</v>
      </c>
      <c r="AE212">
        <f t="shared" si="81"/>
        <v>0</v>
      </c>
    </row>
    <row r="213" spans="1:31" x14ac:dyDescent="0.2">
      <c r="A213" s="347">
        <v>12233</v>
      </c>
      <c r="B213" s="364">
        <f t="shared" si="103"/>
        <v>12.233000000000001</v>
      </c>
      <c r="C213" s="337">
        <f t="shared" si="84"/>
        <v>1.0464776688568396</v>
      </c>
      <c r="D213" s="338">
        <f t="shared" si="85"/>
        <v>0.2991526196879768</v>
      </c>
      <c r="E213" s="338">
        <f t="shared" si="86"/>
        <v>1.0000002610065115</v>
      </c>
      <c r="F213" s="339">
        <f t="shared" si="87"/>
        <v>7.2250460856512289E-4</v>
      </c>
      <c r="G213" s="338">
        <f t="shared" si="88"/>
        <v>1</v>
      </c>
      <c r="H213" s="339">
        <f t="shared" si="89"/>
        <v>0</v>
      </c>
      <c r="I213" s="337">
        <f t="shared" si="90"/>
        <v>88547.294832296306</v>
      </c>
      <c r="J213" s="340">
        <f t="shared" si="91"/>
        <v>1.5707850333951161</v>
      </c>
      <c r="K213" s="348">
        <f t="shared" si="82"/>
        <v>2.2663266622254588</v>
      </c>
      <c r="L213" s="349">
        <f t="shared" si="83"/>
        <v>1.1138133739982781</v>
      </c>
      <c r="M213" s="337">
        <f t="shared" si="92"/>
        <v>1.0000722140911542</v>
      </c>
      <c r="N213" s="340">
        <f t="shared" si="93"/>
        <v>1.2017466096708113E-2</v>
      </c>
      <c r="O213" s="341">
        <f t="shared" si="94"/>
        <v>1.0002839813809095</v>
      </c>
      <c r="P213" s="342">
        <f t="shared" si="95"/>
        <v>2.8969817593481783E-2</v>
      </c>
      <c r="Q213" s="343">
        <f t="shared" si="96"/>
        <v>4.0987775101857951</v>
      </c>
      <c r="R213" s="344">
        <f t="shared" si="97"/>
        <v>-45.629731935475185</v>
      </c>
      <c r="S213" s="346">
        <f t="shared" si="98"/>
        <v>134.37026806452482</v>
      </c>
      <c r="U213" s="319">
        <f t="shared" si="104"/>
        <v>1000000000</v>
      </c>
      <c r="V213" s="319">
        <f t="shared" si="105"/>
        <v>149646289</v>
      </c>
      <c r="X213" s="345">
        <f t="shared" si="99"/>
        <v>5.8695413852360678</v>
      </c>
      <c r="Y213" s="346">
        <f t="shared" si="100"/>
        <v>-26.871097559016217</v>
      </c>
      <c r="AA213" s="345">
        <f t="shared" si="101"/>
        <v>35.061986283044739</v>
      </c>
      <c r="AB213" s="346">
        <f t="shared" si="102"/>
        <v>-18.758634376458964</v>
      </c>
      <c r="AD213">
        <f t="shared" si="106"/>
        <v>0</v>
      </c>
      <c r="AE213">
        <f t="shared" si="81"/>
        <v>0</v>
      </c>
    </row>
    <row r="214" spans="1:31" x14ac:dyDescent="0.2">
      <c r="A214" s="347">
        <v>12303</v>
      </c>
      <c r="B214" s="364">
        <f t="shared" si="103"/>
        <v>12.303000000000001</v>
      </c>
      <c r="C214" s="337">
        <f t="shared" si="84"/>
        <v>1.0469991265120451</v>
      </c>
      <c r="D214" s="338">
        <f t="shared" si="85"/>
        <v>0.30076331962303482</v>
      </c>
      <c r="E214" s="338">
        <f t="shared" si="86"/>
        <v>1.0000002640021344</v>
      </c>
      <c r="F214" s="339">
        <f t="shared" si="87"/>
        <v>7.2663894232197343E-4</v>
      </c>
      <c r="G214" s="338">
        <f t="shared" si="88"/>
        <v>1</v>
      </c>
      <c r="H214" s="339">
        <f t="shared" si="89"/>
        <v>0</v>
      </c>
      <c r="I214" s="337">
        <f t="shared" si="90"/>
        <v>89053.982532571987</v>
      </c>
      <c r="J214" s="340">
        <f t="shared" si="91"/>
        <v>1.5707850976508249</v>
      </c>
      <c r="K214" s="348">
        <f t="shared" si="82"/>
        <v>2.2767759975901174</v>
      </c>
      <c r="L214" s="349">
        <f t="shared" si="83"/>
        <v>1.116068782969339</v>
      </c>
      <c r="M214" s="337">
        <f t="shared" si="92"/>
        <v>1.0000730428762665</v>
      </c>
      <c r="N214" s="340">
        <f t="shared" si="93"/>
        <v>1.2086226085269195E-2</v>
      </c>
      <c r="O214" s="341">
        <f t="shared" si="94"/>
        <v>1.0002872403302174</v>
      </c>
      <c r="P214" s="342">
        <f t="shared" si="95"/>
        <v>2.9135541297306323E-2</v>
      </c>
      <c r="Q214" s="343">
        <f t="shared" si="96"/>
        <v>4.0848099155942919</v>
      </c>
      <c r="R214" s="344">
        <f t="shared" si="97"/>
        <v>-45.605994556315039</v>
      </c>
      <c r="S214" s="346">
        <f t="shared" si="98"/>
        <v>134.39400544368496</v>
      </c>
      <c r="U214" s="319">
        <f t="shared" si="104"/>
        <v>1000000000</v>
      </c>
      <c r="V214" s="319">
        <f t="shared" si="105"/>
        <v>151363809</v>
      </c>
      <c r="X214" s="345">
        <f t="shared" si="99"/>
        <v>5.8599291462365608</v>
      </c>
      <c r="Y214" s="346">
        <f t="shared" si="100"/>
        <v>-26.745815482480172</v>
      </c>
      <c r="AA214" s="345">
        <f t="shared" si="101"/>
        <v>35.057630927452742</v>
      </c>
      <c r="AB214" s="346">
        <f t="shared" si="102"/>
        <v>-18.860179073834871</v>
      </c>
      <c r="AD214">
        <f t="shared" si="106"/>
        <v>0</v>
      </c>
      <c r="AE214">
        <f t="shared" si="81"/>
        <v>0</v>
      </c>
    </row>
    <row r="215" spans="1:31" x14ac:dyDescent="0.2">
      <c r="A215" s="347">
        <v>12374.5</v>
      </c>
      <c r="B215" s="364">
        <f t="shared" si="103"/>
        <v>12.374499999999999</v>
      </c>
      <c r="C215" s="337">
        <f t="shared" si="84"/>
        <v>1.0475345596532537</v>
      </c>
      <c r="D215" s="338">
        <f t="shared" si="85"/>
        <v>0.30240687467653277</v>
      </c>
      <c r="E215" s="338">
        <f t="shared" si="86"/>
        <v>1.0000002670795951</v>
      </c>
      <c r="F215" s="339">
        <f t="shared" si="87"/>
        <v>7.3086186891939647E-4</v>
      </c>
      <c r="G215" s="338">
        <f t="shared" si="88"/>
        <v>1</v>
      </c>
      <c r="H215" s="339">
        <f t="shared" si="89"/>
        <v>0</v>
      </c>
      <c r="I215" s="337">
        <f t="shared" si="90"/>
        <v>89571.527826425387</v>
      </c>
      <c r="J215" s="340">
        <f t="shared" si="91"/>
        <v>1.5707851625329454</v>
      </c>
      <c r="K215" s="348">
        <f t="shared" ref="K215:K278" si="107">SQRT(1+(A215/Zero2)^2)</f>
        <v>2.2874610934291715</v>
      </c>
      <c r="L215" s="349">
        <f t="shared" ref="L215:L278" si="108">ATAN(A215/Zero2)</f>
        <v>1.1183512373509186</v>
      </c>
      <c r="M215" s="337">
        <f t="shared" si="92"/>
        <v>1.000073894302399</v>
      </c>
      <c r="N215" s="340">
        <f t="shared" si="93"/>
        <v>1.2156459384160727E-2</v>
      </c>
      <c r="O215" s="341">
        <f t="shared" si="94"/>
        <v>1.0002905883028406</v>
      </c>
      <c r="P215" s="342">
        <f t="shared" si="95"/>
        <v>2.9304815372578917E-2</v>
      </c>
      <c r="Q215" s="343">
        <f t="shared" si="96"/>
        <v>4.0706681804889762</v>
      </c>
      <c r="R215" s="344">
        <f t="shared" si="97"/>
        <v>-45.582872844558111</v>
      </c>
      <c r="S215" s="346">
        <f t="shared" si="98"/>
        <v>134.4171271554419</v>
      </c>
      <c r="U215" s="319">
        <f t="shared" si="104"/>
        <v>1000000000</v>
      </c>
      <c r="V215" s="319">
        <f t="shared" si="105"/>
        <v>153128250.25</v>
      </c>
      <c r="X215" s="345">
        <f t="shared" si="99"/>
        <v>5.8502572663179722</v>
      </c>
      <c r="Y215" s="346">
        <f t="shared" si="100"/>
        <v>-26.619068268419127</v>
      </c>
      <c r="AA215" s="345">
        <f t="shared" si="101"/>
        <v>35.053161072266008</v>
      </c>
      <c r="AB215" s="346">
        <f t="shared" si="102"/>
        <v>-18.963804576138983</v>
      </c>
      <c r="AD215">
        <f t="shared" si="106"/>
        <v>0</v>
      </c>
      <c r="AE215">
        <f t="shared" si="81"/>
        <v>0</v>
      </c>
    </row>
    <row r="216" spans="1:31" x14ac:dyDescent="0.2">
      <c r="A216" s="347">
        <v>12446</v>
      </c>
      <c r="B216" s="364">
        <f t="shared" si="103"/>
        <v>12.446</v>
      </c>
      <c r="C216" s="337">
        <f t="shared" si="84"/>
        <v>1.048072819575836</v>
      </c>
      <c r="D216" s="338">
        <f t="shared" si="85"/>
        <v>0.30404874599659676</v>
      </c>
      <c r="E216" s="338">
        <f t="shared" si="86"/>
        <v>1.0000002701748891</v>
      </c>
      <c r="F216" s="339">
        <f t="shared" si="87"/>
        <v>7.3508479549075248E-4</v>
      </c>
      <c r="G216" s="338">
        <f t="shared" si="88"/>
        <v>1</v>
      </c>
      <c r="H216" s="339">
        <f t="shared" si="89"/>
        <v>0</v>
      </c>
      <c r="I216" s="337">
        <f t="shared" si="90"/>
        <v>90089.07312027915</v>
      </c>
      <c r="J216" s="340">
        <f t="shared" si="91"/>
        <v>1.5707852266695941</v>
      </c>
      <c r="K216" s="348">
        <f t="shared" si="107"/>
        <v>2.2981579951730375</v>
      </c>
      <c r="L216" s="349">
        <f t="shared" si="108"/>
        <v>1.1206124558045323</v>
      </c>
      <c r="M216" s="337">
        <f t="shared" si="92"/>
        <v>1.0000747506616041</v>
      </c>
      <c r="N216" s="340">
        <f t="shared" si="93"/>
        <v>1.2226692563117822E-2</v>
      </c>
      <c r="O216" s="341">
        <f t="shared" si="94"/>
        <v>1.0002939556674155</v>
      </c>
      <c r="P216" s="342">
        <f t="shared" si="95"/>
        <v>2.94740885831049E-2</v>
      </c>
      <c r="Q216" s="343">
        <f t="shared" si="96"/>
        <v>4.0566501582941479</v>
      </c>
      <c r="R216" s="344">
        <f t="shared" si="97"/>
        <v>-45.560871291900391</v>
      </c>
      <c r="S216" s="346">
        <f t="shared" si="98"/>
        <v>134.43912870809962</v>
      </c>
      <c r="U216" s="319">
        <f t="shared" si="104"/>
        <v>1000000000</v>
      </c>
      <c r="V216" s="319">
        <f t="shared" si="105"/>
        <v>154902916</v>
      </c>
      <c r="X216" s="345">
        <f t="shared" si="99"/>
        <v>5.8407304251090952</v>
      </c>
      <c r="Y216" s="346">
        <f t="shared" si="100"/>
        <v>-26.493537733821832</v>
      </c>
      <c r="AA216" s="345">
        <f t="shared" si="101"/>
        <v>35.048669891280056</v>
      </c>
      <c r="AB216" s="346">
        <f t="shared" si="102"/>
        <v>-19.067333558078563</v>
      </c>
      <c r="AD216">
        <f t="shared" si="106"/>
        <v>0</v>
      </c>
      <c r="AE216">
        <f t="shared" si="81"/>
        <v>0</v>
      </c>
    </row>
    <row r="217" spans="1:31" x14ac:dyDescent="0.2">
      <c r="A217" s="347">
        <v>12517.5</v>
      </c>
      <c r="B217" s="364">
        <f t="shared" si="103"/>
        <v>12.5175</v>
      </c>
      <c r="C217" s="337">
        <f t="shared" si="84"/>
        <v>1.0486139019267795</v>
      </c>
      <c r="D217" s="338">
        <f t="shared" si="85"/>
        <v>0.30568892733075642</v>
      </c>
      <c r="E217" s="338">
        <f t="shared" si="86"/>
        <v>1.0000002732880162</v>
      </c>
      <c r="F217" s="339">
        <f t="shared" si="87"/>
        <v>7.3930772203589085E-4</v>
      </c>
      <c r="G217" s="338">
        <f t="shared" si="88"/>
        <v>1</v>
      </c>
      <c r="H217" s="339">
        <f t="shared" si="89"/>
        <v>0</v>
      </c>
      <c r="I217" s="337">
        <f t="shared" si="90"/>
        <v>90606.618414133307</v>
      </c>
      <c r="J217" s="340">
        <f t="shared" si="91"/>
        <v>1.5707852900735453</v>
      </c>
      <c r="K217" s="348">
        <f t="shared" si="107"/>
        <v>2.3088665387326301</v>
      </c>
      <c r="L217" s="349">
        <f t="shared" si="108"/>
        <v>1.1228527105218415</v>
      </c>
      <c r="M217" s="337">
        <f t="shared" si="92"/>
        <v>1.0000756119538687</v>
      </c>
      <c r="N217" s="340">
        <f t="shared" si="93"/>
        <v>1.2296925621447918E-2</v>
      </c>
      <c r="O217" s="341">
        <f t="shared" si="94"/>
        <v>1.0002973424237911</v>
      </c>
      <c r="P217" s="342">
        <f t="shared" si="95"/>
        <v>2.9643360923898601E-2</v>
      </c>
      <c r="Q217" s="343">
        <f t="shared" si="96"/>
        <v>4.0427531173210687</v>
      </c>
      <c r="R217" s="344">
        <f t="shared" si="97"/>
        <v>-45.539973945074877</v>
      </c>
      <c r="S217" s="346">
        <f t="shared" si="98"/>
        <v>134.46002605492512</v>
      </c>
      <c r="U217" s="319">
        <f t="shared" si="104"/>
        <v>1000000000</v>
      </c>
      <c r="V217" s="319">
        <f t="shared" si="105"/>
        <v>156687806.25</v>
      </c>
      <c r="X217" s="345">
        <f t="shared" si="99"/>
        <v>5.8313458211035822</v>
      </c>
      <c r="Y217" s="346">
        <f t="shared" si="100"/>
        <v>-26.369208283947096</v>
      </c>
      <c r="AA217" s="345">
        <f t="shared" si="101"/>
        <v>35.044157454312497</v>
      </c>
      <c r="AB217" s="346">
        <f t="shared" si="102"/>
        <v>-19.170765661127781</v>
      </c>
      <c r="AD217">
        <f t="shared" si="106"/>
        <v>0</v>
      </c>
      <c r="AE217">
        <f t="shared" si="81"/>
        <v>0</v>
      </c>
    </row>
    <row r="218" spans="1:31" x14ac:dyDescent="0.2">
      <c r="A218" s="347">
        <v>12589</v>
      </c>
      <c r="B218" s="364">
        <f t="shared" si="103"/>
        <v>12.589</v>
      </c>
      <c r="C218" s="337">
        <f t="shared" si="84"/>
        <v>1.0491578023392496</v>
      </c>
      <c r="D218" s="338">
        <f t="shared" si="85"/>
        <v>0.30732741247577672</v>
      </c>
      <c r="E218" s="338">
        <f t="shared" si="86"/>
        <v>1.0000002764189764</v>
      </c>
      <c r="F218" s="339">
        <f t="shared" si="87"/>
        <v>7.4353064855466077E-4</v>
      </c>
      <c r="G218" s="338">
        <f t="shared" si="88"/>
        <v>1</v>
      </c>
      <c r="H218" s="339">
        <f t="shared" si="89"/>
        <v>0</v>
      </c>
      <c r="I218" s="337">
        <f t="shared" si="90"/>
        <v>91124.163707987798</v>
      </c>
      <c r="J218" s="340">
        <f t="shared" si="91"/>
        <v>1.5707853527572833</v>
      </c>
      <c r="K218" s="348">
        <f t="shared" si="107"/>
        <v>2.3195865628720358</v>
      </c>
      <c r="L218" s="349">
        <f t="shared" si="108"/>
        <v>1.1250722695126618</v>
      </c>
      <c r="M218" s="337">
        <f t="shared" si="92"/>
        <v>1.0000764781791802</v>
      </c>
      <c r="N218" s="340">
        <f t="shared" si="93"/>
        <v>1.2367158558458448E-2</v>
      </c>
      <c r="O218" s="341">
        <f t="shared" si="94"/>
        <v>1.0003007485718154</v>
      </c>
      <c r="P218" s="342">
        <f t="shared" si="95"/>
        <v>2.9812632389974517E-2</v>
      </c>
      <c r="Q218" s="343">
        <f t="shared" si="96"/>
        <v>4.0289743913144358</v>
      </c>
      <c r="R218" s="344">
        <f t="shared" si="97"/>
        <v>-45.520165093221031</v>
      </c>
      <c r="S218" s="346">
        <f t="shared" si="98"/>
        <v>134.47983490677896</v>
      </c>
      <c r="U218" s="319">
        <f t="shared" si="104"/>
        <v>1000000000</v>
      </c>
      <c r="V218" s="319">
        <f t="shared" si="105"/>
        <v>158482921</v>
      </c>
      <c r="X218" s="345">
        <f t="shared" si="99"/>
        <v>5.8221007180701569</v>
      </c>
      <c r="Y218" s="346">
        <f t="shared" si="100"/>
        <v>-26.246064563639198</v>
      </c>
      <c r="AA218" s="345">
        <f t="shared" si="101"/>
        <v>35.039623831339284</v>
      </c>
      <c r="AB218" s="346">
        <f t="shared" si="102"/>
        <v>-19.274100529581826</v>
      </c>
      <c r="AD218">
        <f t="shared" si="106"/>
        <v>0</v>
      </c>
      <c r="AE218">
        <f t="shared" ref="AE218:AE281" si="109">IF(AD218&gt;0,S218,0)</f>
        <v>0</v>
      </c>
    </row>
    <row r="219" spans="1:31" x14ac:dyDescent="0.2">
      <c r="A219" s="347">
        <v>12662.25</v>
      </c>
      <c r="B219" s="364">
        <f t="shared" si="103"/>
        <v>12.66225</v>
      </c>
      <c r="C219" s="337">
        <f t="shared" si="84"/>
        <v>1.0497179327857</v>
      </c>
      <c r="D219" s="338">
        <f t="shared" si="85"/>
        <v>0.30900423500068785</v>
      </c>
      <c r="E219" s="338">
        <f t="shared" si="86"/>
        <v>1.0000002796450616</v>
      </c>
      <c r="F219" s="339">
        <f t="shared" si="87"/>
        <v>7.4785693338729766E-4</v>
      </c>
      <c r="G219" s="338">
        <f t="shared" si="88"/>
        <v>1</v>
      </c>
      <c r="H219" s="339">
        <f t="shared" si="89"/>
        <v>0</v>
      </c>
      <c r="I219" s="337">
        <f t="shared" si="90"/>
        <v>91654.376194349592</v>
      </c>
      <c r="J219" s="340">
        <f t="shared" si="91"/>
        <v>1.5707854162411234</v>
      </c>
      <c r="K219" s="348">
        <f t="shared" si="107"/>
        <v>2.3305807051054956</v>
      </c>
      <c r="L219" s="349">
        <f t="shared" si="108"/>
        <v>1.1273249675112027</v>
      </c>
      <c r="M219" s="337">
        <f t="shared" si="92"/>
        <v>1.0000773707214301</v>
      </c>
      <c r="N219" s="340">
        <f t="shared" si="93"/>
        <v>1.2439110356903779E-2</v>
      </c>
      <c r="O219" s="341">
        <f t="shared" si="94"/>
        <v>1.0003042581963273</v>
      </c>
      <c r="P219" s="342">
        <f t="shared" si="95"/>
        <v>2.9986045951655833E-2</v>
      </c>
      <c r="Q219" s="343">
        <f t="shared" si="96"/>
        <v>4.0149783973608564</v>
      </c>
      <c r="R219" s="344">
        <f t="shared" si="97"/>
        <v>-45.500984018103225</v>
      </c>
      <c r="S219" s="346">
        <f t="shared" si="98"/>
        <v>134.49901598189678</v>
      </c>
      <c r="U219" s="319">
        <f t="shared" si="104"/>
        <v>1000000000</v>
      </c>
      <c r="V219" s="319">
        <f t="shared" si="105"/>
        <v>160332575.0625</v>
      </c>
      <c r="X219" s="345">
        <f t="shared" si="99"/>
        <v>5.8127712067278487</v>
      </c>
      <c r="Y219" s="346">
        <f t="shared" si="100"/>
        <v>-26.12112064739787</v>
      </c>
      <c r="AA219" s="345">
        <f t="shared" si="101"/>
        <v>35.034957348728014</v>
      </c>
      <c r="AB219" s="346">
        <f t="shared" si="102"/>
        <v>-19.379863370705348</v>
      </c>
      <c r="AD219">
        <f t="shared" si="106"/>
        <v>0</v>
      </c>
      <c r="AE219">
        <f t="shared" si="109"/>
        <v>0</v>
      </c>
    </row>
    <row r="220" spans="1:31" x14ac:dyDescent="0.2">
      <c r="A220" s="347">
        <v>12735.5</v>
      </c>
      <c r="B220" s="364">
        <f t="shared" si="103"/>
        <v>12.7355</v>
      </c>
      <c r="C220" s="337">
        <f t="shared" si="84"/>
        <v>1.0502810116064971</v>
      </c>
      <c r="D220" s="338">
        <f t="shared" si="85"/>
        <v>0.31067926426804116</v>
      </c>
      <c r="E220" s="338">
        <f t="shared" si="86"/>
        <v>1.0000002828898635</v>
      </c>
      <c r="F220" s="339">
        <f t="shared" si="87"/>
        <v>7.5218321819193947E-4</v>
      </c>
      <c r="G220" s="338">
        <f t="shared" si="88"/>
        <v>1</v>
      </c>
      <c r="H220" s="339">
        <f t="shared" si="89"/>
        <v>0</v>
      </c>
      <c r="I220" s="337">
        <f t="shared" si="90"/>
        <v>92184.588680711749</v>
      </c>
      <c r="J220" s="340">
        <f t="shared" si="91"/>
        <v>1.5707854789946913</v>
      </c>
      <c r="K220" s="348">
        <f t="shared" si="107"/>
        <v>2.3415865631231338</v>
      </c>
      <c r="L220" s="349">
        <f t="shared" si="108"/>
        <v>1.1295565006124177</v>
      </c>
      <c r="M220" s="337">
        <f t="shared" si="92"/>
        <v>1.0000782684411325</v>
      </c>
      <c r="N220" s="340">
        <f t="shared" si="93"/>
        <v>1.2511062026546621E-2</v>
      </c>
      <c r="O220" s="341">
        <f t="shared" si="94"/>
        <v>1.0003077881730205</v>
      </c>
      <c r="P220" s="342">
        <f t="shared" si="95"/>
        <v>3.0159458584684485E-2</v>
      </c>
      <c r="Q220" s="343">
        <f t="shared" si="96"/>
        <v>4.0011011186224419</v>
      </c>
      <c r="R220" s="344">
        <f t="shared" si="97"/>
        <v>-45.482912753760004</v>
      </c>
      <c r="S220" s="346">
        <f t="shared" si="98"/>
        <v>134.51708724624001</v>
      </c>
      <c r="U220" s="319">
        <f t="shared" si="104"/>
        <v>1000000000</v>
      </c>
      <c r="V220" s="319">
        <f t="shared" si="105"/>
        <v>162192960.25</v>
      </c>
      <c r="X220" s="345">
        <f t="shared" si="99"/>
        <v>5.8035824971949186</v>
      </c>
      <c r="Y220" s="346">
        <f t="shared" si="100"/>
        <v>-25.99738934122718</v>
      </c>
      <c r="AA220" s="345">
        <f t="shared" si="101"/>
        <v>35.03026877952253</v>
      </c>
      <c r="AB220" s="346">
        <f t="shared" si="102"/>
        <v>-19.485523412532832</v>
      </c>
      <c r="AD220">
        <f t="shared" si="106"/>
        <v>0</v>
      </c>
      <c r="AE220">
        <f t="shared" si="109"/>
        <v>0</v>
      </c>
    </row>
    <row r="221" spans="1:31" x14ac:dyDescent="0.2">
      <c r="A221" s="347">
        <v>12808.75</v>
      </c>
      <c r="B221" s="364">
        <f t="shared" si="103"/>
        <v>12.80875</v>
      </c>
      <c r="C221" s="337">
        <f t="shared" si="84"/>
        <v>1.0508470340621292</v>
      </c>
      <c r="D221" s="338">
        <f t="shared" si="85"/>
        <v>0.31235249376874102</v>
      </c>
      <c r="E221" s="338">
        <f t="shared" si="86"/>
        <v>1.0000002861533823</v>
      </c>
      <c r="F221" s="339">
        <f t="shared" si="87"/>
        <v>7.5650950296842444E-4</v>
      </c>
      <c r="G221" s="338">
        <f t="shared" si="88"/>
        <v>1</v>
      </c>
      <c r="H221" s="339">
        <f t="shared" si="89"/>
        <v>0</v>
      </c>
      <c r="I221" s="337">
        <f t="shared" si="90"/>
        <v>92714.801167074256</v>
      </c>
      <c r="J221" s="340">
        <f t="shared" si="91"/>
        <v>1.5707855410305156</v>
      </c>
      <c r="K221" s="348">
        <f t="shared" si="107"/>
        <v>2.3526039725000141</v>
      </c>
      <c r="L221" s="349">
        <f t="shared" si="108"/>
        <v>1.1317671437843468</v>
      </c>
      <c r="M221" s="337">
        <f t="shared" si="92"/>
        <v>1.0000791713382735</v>
      </c>
      <c r="N221" s="340">
        <f t="shared" si="93"/>
        <v>1.2583013566642331E-2</v>
      </c>
      <c r="O221" s="341">
        <f t="shared" si="94"/>
        <v>1.0003113385017286</v>
      </c>
      <c r="P221" s="342">
        <f t="shared" si="95"/>
        <v>3.0332870283700516E-2</v>
      </c>
      <c r="Q221" s="343">
        <f t="shared" si="96"/>
        <v>3.9873398904821795</v>
      </c>
      <c r="R221" s="344">
        <f t="shared" si="97"/>
        <v>-45.465935173107532</v>
      </c>
      <c r="S221" s="346">
        <f t="shared" si="98"/>
        <v>134.53406482689246</v>
      </c>
      <c r="U221" s="319">
        <f t="shared" si="104"/>
        <v>1000000000</v>
      </c>
      <c r="V221" s="319">
        <f t="shared" si="105"/>
        <v>164064076.5625</v>
      </c>
      <c r="X221" s="345">
        <f t="shared" si="99"/>
        <v>5.7945318491170363</v>
      </c>
      <c r="Y221" s="346">
        <f t="shared" si="100"/>
        <v>-25.874854891294063</v>
      </c>
      <c r="AA221" s="345">
        <f t="shared" si="101"/>
        <v>35.02555819946015</v>
      </c>
      <c r="AB221" s="346">
        <f t="shared" si="102"/>
        <v>-19.591080281813479</v>
      </c>
      <c r="AD221">
        <f t="shared" si="106"/>
        <v>0</v>
      </c>
      <c r="AE221">
        <f t="shared" si="109"/>
        <v>0</v>
      </c>
    </row>
    <row r="222" spans="1:31" x14ac:dyDescent="0.2">
      <c r="A222" s="347">
        <v>12882</v>
      </c>
      <c r="B222" s="364">
        <f t="shared" si="103"/>
        <v>12.882</v>
      </c>
      <c r="C222" s="337">
        <f t="shared" si="84"/>
        <v>1.0514159953985405</v>
      </c>
      <c r="D222" s="338">
        <f t="shared" si="85"/>
        <v>0.31402391704798199</v>
      </c>
      <c r="E222" s="338">
        <f t="shared" si="86"/>
        <v>1.0000002894356177</v>
      </c>
      <c r="F222" s="339">
        <f t="shared" si="87"/>
        <v>7.6083578771659059E-4</v>
      </c>
      <c r="G222" s="338">
        <f t="shared" si="88"/>
        <v>1</v>
      </c>
      <c r="H222" s="339">
        <f t="shared" si="89"/>
        <v>0</v>
      </c>
      <c r="I222" s="337">
        <f t="shared" si="90"/>
        <v>93245.013653437127</v>
      </c>
      <c r="J222" s="340">
        <f t="shared" si="91"/>
        <v>1.5707856023608402</v>
      </c>
      <c r="K222" s="348">
        <f t="shared" si="107"/>
        <v>2.3636327717059058</v>
      </c>
      <c r="L222" s="349">
        <f t="shared" si="108"/>
        <v>1.1339571676877764</v>
      </c>
      <c r="M222" s="337">
        <f t="shared" si="92"/>
        <v>1.0000800794128395</v>
      </c>
      <c r="N222" s="340">
        <f t="shared" si="93"/>
        <v>1.2654964976446272E-2</v>
      </c>
      <c r="O222" s="341">
        <f t="shared" si="94"/>
        <v>1.0003149091822845</v>
      </c>
      <c r="P222" s="342">
        <f t="shared" si="95"/>
        <v>3.050628104334414E-2</v>
      </c>
      <c r="Q222" s="343">
        <f t="shared" si="96"/>
        <v>3.9736921128831071</v>
      </c>
      <c r="R222" s="344">
        <f t="shared" si="97"/>
        <v>-45.45003539894374</v>
      </c>
      <c r="S222" s="346">
        <f t="shared" si="98"/>
        <v>134.54996460105627</v>
      </c>
      <c r="U222" s="319">
        <f t="shared" si="104"/>
        <v>1000000000</v>
      </c>
      <c r="V222" s="319">
        <f t="shared" si="105"/>
        <v>165945924</v>
      </c>
      <c r="X222" s="345">
        <f t="shared" si="99"/>
        <v>5.7856165865394047</v>
      </c>
      <c r="Y222" s="346">
        <f t="shared" si="100"/>
        <v>-25.753501790536653</v>
      </c>
      <c r="AA222" s="345">
        <f t="shared" si="101"/>
        <v>35.020825684438712</v>
      </c>
      <c r="AB222" s="346">
        <f t="shared" si="102"/>
        <v>-19.696533608407098</v>
      </c>
      <c r="AD222">
        <f t="shared" si="106"/>
        <v>0</v>
      </c>
      <c r="AE222">
        <f t="shared" si="109"/>
        <v>0</v>
      </c>
    </row>
    <row r="223" spans="1:31" x14ac:dyDescent="0.2">
      <c r="A223" s="347">
        <v>12957.25</v>
      </c>
      <c r="B223" s="364">
        <f t="shared" si="103"/>
        <v>12.95725</v>
      </c>
      <c r="C223" s="337">
        <f t="shared" si="84"/>
        <v>1.0520035468446323</v>
      </c>
      <c r="D223" s="338">
        <f t="shared" si="85"/>
        <v>0.31573908886274721</v>
      </c>
      <c r="E223" s="338">
        <f t="shared" si="86"/>
        <v>1.0000002928269609</v>
      </c>
      <c r="F223" s="339">
        <f t="shared" si="87"/>
        <v>7.6528019625074712E-4</v>
      </c>
      <c r="G223" s="338">
        <f t="shared" si="88"/>
        <v>1</v>
      </c>
      <c r="H223" s="339">
        <f t="shared" si="89"/>
        <v>0</v>
      </c>
      <c r="I223" s="337">
        <f t="shared" si="90"/>
        <v>93789.702931236869</v>
      </c>
      <c r="J223" s="340">
        <f t="shared" si="91"/>
        <v>1.5707856646436287</v>
      </c>
      <c r="K223" s="348">
        <f t="shared" si="107"/>
        <v>2.3749743923498592</v>
      </c>
      <c r="L223" s="349">
        <f t="shared" si="108"/>
        <v>1.1361857959687738</v>
      </c>
      <c r="M223" s="337">
        <f t="shared" si="92"/>
        <v>1.0000810176726342</v>
      </c>
      <c r="N223" s="340">
        <f t="shared" si="93"/>
        <v>1.2728880793403627E-2</v>
      </c>
      <c r="O223" s="341">
        <f t="shared" si="94"/>
        <v>1.0003185985486049</v>
      </c>
      <c r="P223" s="342">
        <f t="shared" si="95"/>
        <v>3.0684425583929198E-2</v>
      </c>
      <c r="Q223" s="343">
        <f t="shared" si="96"/>
        <v>3.9597871732636887</v>
      </c>
      <c r="R223" s="344">
        <f t="shared" si="97"/>
        <v>-45.434807427806753</v>
      </c>
      <c r="S223" s="346">
        <f t="shared" si="98"/>
        <v>134.56519257219324</v>
      </c>
      <c r="U223" s="319">
        <f t="shared" si="104"/>
        <v>1000000000</v>
      </c>
      <c r="V223" s="319">
        <f t="shared" si="105"/>
        <v>167890327.5625</v>
      </c>
      <c r="X223" s="345">
        <f t="shared" si="99"/>
        <v>5.776596138943983</v>
      </c>
      <c r="Y223" s="346">
        <f t="shared" si="100"/>
        <v>-25.630049428682781</v>
      </c>
      <c r="AA223" s="345">
        <f t="shared" si="101"/>
        <v>35.015941192414715</v>
      </c>
      <c r="AB223" s="346">
        <f t="shared" si="102"/>
        <v>-19.804757999123982</v>
      </c>
      <c r="AD223">
        <f t="shared" si="106"/>
        <v>0</v>
      </c>
      <c r="AE223">
        <f t="shared" si="109"/>
        <v>0</v>
      </c>
    </row>
    <row r="224" spans="1:31" x14ac:dyDescent="0.2">
      <c r="A224" s="347">
        <v>13032.5</v>
      </c>
      <c r="B224" s="364">
        <f t="shared" si="103"/>
        <v>13.032500000000001</v>
      </c>
      <c r="C224" s="337">
        <f t="shared" si="84"/>
        <v>1.0525941896295563</v>
      </c>
      <c r="D224" s="338">
        <f t="shared" si="85"/>
        <v>0.31745234084218032</v>
      </c>
      <c r="E224" s="338">
        <f t="shared" si="86"/>
        <v>1.0000002962380568</v>
      </c>
      <c r="F224" s="339">
        <f t="shared" si="87"/>
        <v>7.6972460475467077E-4</v>
      </c>
      <c r="G224" s="338">
        <f t="shared" si="88"/>
        <v>1</v>
      </c>
      <c r="H224" s="339">
        <f t="shared" si="89"/>
        <v>0</v>
      </c>
      <c r="I224" s="337">
        <f t="shared" si="90"/>
        <v>94334.392209036989</v>
      </c>
      <c r="J224" s="340">
        <f t="shared" si="91"/>
        <v>1.5707857262071725</v>
      </c>
      <c r="K224" s="348">
        <f t="shared" si="107"/>
        <v>2.3863276968179217</v>
      </c>
      <c r="L224" s="349">
        <f t="shared" si="108"/>
        <v>1.1383932290742076</v>
      </c>
      <c r="M224" s="337">
        <f t="shared" si="92"/>
        <v>1.0000819613964096</v>
      </c>
      <c r="N224" s="340">
        <f t="shared" si="93"/>
        <v>1.280279647126403E-2</v>
      </c>
      <c r="O224" s="341">
        <f t="shared" si="94"/>
        <v>1.0003223093929483</v>
      </c>
      <c r="P224" s="342">
        <f t="shared" si="95"/>
        <v>3.0862569121678125E-2</v>
      </c>
      <c r="Q224" s="343">
        <f t="shared" si="96"/>
        <v>3.9459966029159683</v>
      </c>
      <c r="R224" s="344">
        <f t="shared" si="97"/>
        <v>-45.420683745679085</v>
      </c>
      <c r="S224" s="346">
        <f t="shared" si="98"/>
        <v>134.57931625432093</v>
      </c>
      <c r="U224" s="319">
        <f t="shared" si="104"/>
        <v>1000000000</v>
      </c>
      <c r="V224" s="319">
        <f t="shared" si="105"/>
        <v>169846056.25</v>
      </c>
      <c r="X224" s="345">
        <f t="shared" si="99"/>
        <v>5.7677130468547428</v>
      </c>
      <c r="Y224" s="346">
        <f t="shared" si="100"/>
        <v>-25.507811411756773</v>
      </c>
      <c r="AA224" s="345">
        <f t="shared" si="101"/>
        <v>35.011033714156234</v>
      </c>
      <c r="AB224" s="346">
        <f t="shared" si="102"/>
        <v>-19.912872333922309</v>
      </c>
      <c r="AD224">
        <f t="shared" si="106"/>
        <v>0</v>
      </c>
      <c r="AE224">
        <f t="shared" si="109"/>
        <v>0</v>
      </c>
    </row>
    <row r="225" spans="1:31" x14ac:dyDescent="0.2">
      <c r="A225" s="347">
        <v>13107.75</v>
      </c>
      <c r="B225" s="364">
        <f t="shared" si="103"/>
        <v>13.107749999999999</v>
      </c>
      <c r="C225" s="337">
        <f t="shared" si="84"/>
        <v>1.0531879185523123</v>
      </c>
      <c r="D225" s="338">
        <f t="shared" si="85"/>
        <v>0.31916366616719705</v>
      </c>
      <c r="E225" s="338">
        <f t="shared" si="86"/>
        <v>1.0000002996689052</v>
      </c>
      <c r="F225" s="339">
        <f t="shared" si="87"/>
        <v>7.7416901322818613E-4</v>
      </c>
      <c r="G225" s="338">
        <f t="shared" si="88"/>
        <v>1</v>
      </c>
      <c r="H225" s="339">
        <f t="shared" si="89"/>
        <v>0</v>
      </c>
      <c r="I225" s="337">
        <f t="shared" si="90"/>
        <v>94879.081486837473</v>
      </c>
      <c r="J225" s="340">
        <f t="shared" si="91"/>
        <v>1.5707857870638584</v>
      </c>
      <c r="K225" s="348">
        <f t="shared" si="107"/>
        <v>2.3976925191380096</v>
      </c>
      <c r="L225" s="349">
        <f t="shared" si="108"/>
        <v>1.1405797467265271</v>
      </c>
      <c r="M225" s="337">
        <f t="shared" si="92"/>
        <v>1.0000829105841498</v>
      </c>
      <c r="N225" s="340">
        <f t="shared" si="93"/>
        <v>1.2876712009220196E-2</v>
      </c>
      <c r="O225" s="341">
        <f t="shared" si="94"/>
        <v>1.0003260417151305</v>
      </c>
      <c r="P225" s="342">
        <f t="shared" si="95"/>
        <v>3.1040711650780727E-2</v>
      </c>
      <c r="Q225" s="343">
        <f t="shared" si="96"/>
        <v>3.9323177843024433</v>
      </c>
      <c r="R225" s="344">
        <f t="shared" si="97"/>
        <v>-45.407647935270724</v>
      </c>
      <c r="S225" s="346">
        <f t="shared" si="98"/>
        <v>134.59235206472928</v>
      </c>
      <c r="U225" s="319">
        <f t="shared" si="104"/>
        <v>1000000000</v>
      </c>
      <c r="V225" s="319">
        <f t="shared" si="105"/>
        <v>171813110.0625</v>
      </c>
      <c r="X225" s="345">
        <f t="shared" si="99"/>
        <v>5.7589646099421978</v>
      </c>
      <c r="Y225" s="346">
        <f t="shared" si="100"/>
        <v>-25.386771713506288</v>
      </c>
      <c r="AA225" s="345">
        <f t="shared" si="101"/>
        <v>35.006103332455254</v>
      </c>
      <c r="AB225" s="346">
        <f t="shared" si="102"/>
        <v>-20.020876221764432</v>
      </c>
      <c r="AD225">
        <f t="shared" si="106"/>
        <v>0</v>
      </c>
      <c r="AE225">
        <f t="shared" si="109"/>
        <v>0</v>
      </c>
    </row>
    <row r="226" spans="1:31" x14ac:dyDescent="0.2">
      <c r="A226" s="347">
        <v>13183</v>
      </c>
      <c r="B226" s="364">
        <f t="shared" si="103"/>
        <v>13.183</v>
      </c>
      <c r="C226" s="337">
        <f t="shared" si="84"/>
        <v>1.0537847283964765</v>
      </c>
      <c r="D226" s="338">
        <f t="shared" si="85"/>
        <v>0.32087305807918082</v>
      </c>
      <c r="E226" s="338">
        <f t="shared" si="86"/>
        <v>1.0000003031195068</v>
      </c>
      <c r="F226" s="339">
        <f t="shared" si="87"/>
        <v>7.7861342167111745E-4</v>
      </c>
      <c r="G226" s="338">
        <f t="shared" si="88"/>
        <v>1</v>
      </c>
      <c r="H226" s="339">
        <f t="shared" si="89"/>
        <v>0</v>
      </c>
      <c r="I226" s="337">
        <f t="shared" si="90"/>
        <v>95423.770764638277</v>
      </c>
      <c r="J226" s="340">
        <f t="shared" si="91"/>
        <v>1.5707858472257914</v>
      </c>
      <c r="K226" s="348">
        <f t="shared" si="107"/>
        <v>2.4090686963031431</v>
      </c>
      <c r="L226" s="349">
        <f t="shared" si="108"/>
        <v>1.1427456241725278</v>
      </c>
      <c r="M226" s="337">
        <f t="shared" si="92"/>
        <v>1.0000838652358393</v>
      </c>
      <c r="N226" s="340">
        <f t="shared" si="93"/>
        <v>1.2950627406464845E-2</v>
      </c>
      <c r="O226" s="341">
        <f t="shared" si="94"/>
        <v>1.0003297955149655</v>
      </c>
      <c r="P226" s="342">
        <f t="shared" si="95"/>
        <v>3.1218853165427055E-2</v>
      </c>
      <c r="Q226" s="343">
        <f t="shared" si="96"/>
        <v>3.9187481642112667</v>
      </c>
      <c r="R226" s="344">
        <f t="shared" si="97"/>
        <v>-45.395683839176193</v>
      </c>
      <c r="S226" s="346">
        <f t="shared" si="98"/>
        <v>134.6043161608238</v>
      </c>
      <c r="U226" s="319">
        <f t="shared" si="104"/>
        <v>1000000000</v>
      </c>
      <c r="V226" s="319">
        <f t="shared" si="105"/>
        <v>173791489</v>
      </c>
      <c r="X226" s="345">
        <f t="shared" si="99"/>
        <v>5.7503481920394428</v>
      </c>
      <c r="Y226" s="346">
        <f t="shared" si="100"/>
        <v>-25.266914564098915</v>
      </c>
      <c r="AA226" s="345">
        <f t="shared" si="101"/>
        <v>35.001150130266836</v>
      </c>
      <c r="AB226" s="346">
        <f t="shared" si="102"/>
        <v>-20.128769275077278</v>
      </c>
      <c r="AD226">
        <f t="shared" si="106"/>
        <v>0</v>
      </c>
      <c r="AE226">
        <f t="shared" si="109"/>
        <v>0</v>
      </c>
    </row>
    <row r="227" spans="1:31" x14ac:dyDescent="0.2">
      <c r="A227" s="347">
        <v>13259.75</v>
      </c>
      <c r="B227" s="364">
        <f t="shared" si="103"/>
        <v>13.25975</v>
      </c>
      <c r="C227" s="337">
        <f t="shared" si="84"/>
        <v>1.0543966030114587</v>
      </c>
      <c r="D227" s="338">
        <f t="shared" si="85"/>
        <v>0.32261452569640425</v>
      </c>
      <c r="E227" s="338">
        <f t="shared" si="86"/>
        <v>1.0000003066592382</v>
      </c>
      <c r="F227" s="339">
        <f t="shared" si="87"/>
        <v>7.8314642294168967E-4</v>
      </c>
      <c r="G227" s="338">
        <f t="shared" si="88"/>
        <v>1</v>
      </c>
      <c r="H227" s="339">
        <f t="shared" si="89"/>
        <v>0</v>
      </c>
      <c r="I227" s="337">
        <f t="shared" si="90"/>
        <v>95979.317636016873</v>
      </c>
      <c r="J227" s="340">
        <f t="shared" si="91"/>
        <v>1.570785907883566</v>
      </c>
      <c r="K227" s="348">
        <f t="shared" si="107"/>
        <v>2.4206831717301678</v>
      </c>
      <c r="L227" s="349">
        <f t="shared" si="108"/>
        <v>1.1449336946324602</v>
      </c>
      <c r="M227" s="337">
        <f t="shared" si="92"/>
        <v>1.000084844545523</v>
      </c>
      <c r="N227" s="340">
        <f t="shared" si="93"/>
        <v>1.302601605454843E-2</v>
      </c>
      <c r="O227" s="341">
        <f t="shared" si="94"/>
        <v>1.0003336462652914</v>
      </c>
      <c r="P227" s="342">
        <f t="shared" si="95"/>
        <v>3.1400544622706091E-2</v>
      </c>
      <c r="Q227" s="343">
        <f t="shared" si="96"/>
        <v>3.9050179562854037</v>
      </c>
      <c r="R227" s="344">
        <f t="shared" si="97"/>
        <v>-45.384568739784932</v>
      </c>
      <c r="S227" s="346">
        <f t="shared" si="98"/>
        <v>134.61543126021508</v>
      </c>
      <c r="U227" s="319">
        <f t="shared" si="104"/>
        <v>1000000000</v>
      </c>
      <c r="V227" s="319">
        <f t="shared" si="105"/>
        <v>175820970.0625</v>
      </c>
      <c r="X227" s="345">
        <f t="shared" si="99"/>
        <v>5.7416933424052914</v>
      </c>
      <c r="Y227" s="346">
        <f t="shared" si="100"/>
        <v>-25.145870288122087</v>
      </c>
      <c r="AA227" s="345">
        <f t="shared" si="101"/>
        <v>34.996074771975117</v>
      </c>
      <c r="AB227" s="346">
        <f t="shared" si="102"/>
        <v>-20.238698451662838</v>
      </c>
      <c r="AD227">
        <f t="shared" si="106"/>
        <v>0</v>
      </c>
      <c r="AE227">
        <f t="shared" si="109"/>
        <v>0</v>
      </c>
    </row>
    <row r="228" spans="1:31" x14ac:dyDescent="0.2">
      <c r="A228" s="347">
        <v>13336.5</v>
      </c>
      <c r="B228" s="364">
        <f t="shared" si="103"/>
        <v>13.336499999999999</v>
      </c>
      <c r="C228" s="337">
        <f t="shared" si="84"/>
        <v>1.05501167159023</v>
      </c>
      <c r="D228" s="338">
        <f t="shared" si="85"/>
        <v>0.32435396804314603</v>
      </c>
      <c r="E228" s="338">
        <f t="shared" si="86"/>
        <v>1.0000003102195179</v>
      </c>
      <c r="F228" s="339">
        <f t="shared" si="87"/>
        <v>7.8767942418007768E-4</v>
      </c>
      <c r="G228" s="338">
        <f t="shared" si="88"/>
        <v>1</v>
      </c>
      <c r="H228" s="339">
        <f t="shared" si="89"/>
        <v>0</v>
      </c>
      <c r="I228" s="337">
        <f t="shared" si="90"/>
        <v>96534.864507395818</v>
      </c>
      <c r="J228" s="340">
        <f t="shared" si="91"/>
        <v>1.5707859678431839</v>
      </c>
      <c r="K228" s="348">
        <f t="shared" si="107"/>
        <v>2.432309125833882</v>
      </c>
      <c r="L228" s="349">
        <f t="shared" si="108"/>
        <v>1.147100858301892</v>
      </c>
      <c r="M228" s="337">
        <f t="shared" si="92"/>
        <v>1.0000858295391264</v>
      </c>
      <c r="N228" s="340">
        <f t="shared" si="93"/>
        <v>1.3101404554558552E-2</v>
      </c>
      <c r="O228" s="341">
        <f t="shared" si="94"/>
        <v>1.0003375193576634</v>
      </c>
      <c r="P228" s="342">
        <f t="shared" si="95"/>
        <v>3.1582235012474862E-2</v>
      </c>
      <c r="Q228" s="343">
        <f t="shared" si="96"/>
        <v>3.8913961755445987</v>
      </c>
      <c r="R228" s="344">
        <f t="shared" si="97"/>
        <v>-45.374535362155363</v>
      </c>
      <c r="S228" s="346">
        <f t="shared" si="98"/>
        <v>134.62546463784463</v>
      </c>
      <c r="U228" s="319">
        <f t="shared" si="104"/>
        <v>1000000000</v>
      </c>
      <c r="V228" s="319">
        <f t="shared" si="105"/>
        <v>177862232.25</v>
      </c>
      <c r="X228" s="345">
        <f t="shared" si="99"/>
        <v>5.7331704844865374</v>
      </c>
      <c r="Y228" s="346">
        <f t="shared" si="100"/>
        <v>-25.026023834520071</v>
      </c>
      <c r="AA228" s="345">
        <f t="shared" si="101"/>
        <v>34.990975849153067</v>
      </c>
      <c r="AB228" s="346">
        <f t="shared" si="102"/>
        <v>-20.348511527635303</v>
      </c>
      <c r="AD228">
        <f t="shared" si="106"/>
        <v>0</v>
      </c>
      <c r="AE228">
        <f t="shared" si="109"/>
        <v>0</v>
      </c>
    </row>
    <row r="229" spans="1:31" x14ac:dyDescent="0.2">
      <c r="A229" s="347">
        <v>13413.25</v>
      </c>
      <c r="B229" s="364">
        <f t="shared" si="103"/>
        <v>13.41325</v>
      </c>
      <c r="C229" s="337">
        <f t="shared" si="84"/>
        <v>1.0556299285498487</v>
      </c>
      <c r="D229" s="338">
        <f t="shared" si="85"/>
        <v>0.32609137814281836</v>
      </c>
      <c r="E229" s="338">
        <f t="shared" si="86"/>
        <v>1.0000003138003455</v>
      </c>
      <c r="F229" s="339">
        <f t="shared" si="87"/>
        <v>7.9221242538609488E-4</v>
      </c>
      <c r="G229" s="338">
        <f t="shared" si="88"/>
        <v>1</v>
      </c>
      <c r="H229" s="339">
        <f t="shared" si="89"/>
        <v>0</v>
      </c>
      <c r="I229" s="337">
        <f t="shared" si="90"/>
        <v>97090.411378775098</v>
      </c>
      <c r="J229" s="340">
        <f t="shared" si="91"/>
        <v>1.5707860271166296</v>
      </c>
      <c r="K229" s="348">
        <f t="shared" si="107"/>
        <v>2.4439463948006712</v>
      </c>
      <c r="L229" s="349">
        <f t="shared" si="108"/>
        <v>1.1492473933316028</v>
      </c>
      <c r="M229" s="337">
        <f t="shared" si="92"/>
        <v>1.000086820216632</v>
      </c>
      <c r="N229" s="340">
        <f t="shared" si="93"/>
        <v>1.3176792905638725E-2</v>
      </c>
      <c r="O229" s="341">
        <f t="shared" si="94"/>
        <v>1.0003414147918812</v>
      </c>
      <c r="P229" s="342">
        <f t="shared" si="95"/>
        <v>3.1763924328569788E-2</v>
      </c>
      <c r="Q229" s="343">
        <f t="shared" si="96"/>
        <v>3.8778803085580131</v>
      </c>
      <c r="R229" s="344">
        <f t="shared" si="97"/>
        <v>-45.365567369977192</v>
      </c>
      <c r="S229" s="346">
        <f t="shared" si="98"/>
        <v>134.63443263002281</v>
      </c>
      <c r="U229" s="319">
        <f t="shared" si="104"/>
        <v>1000000000</v>
      </c>
      <c r="V229" s="319">
        <f t="shared" si="105"/>
        <v>179915275.5625</v>
      </c>
      <c r="X229" s="345">
        <f t="shared" si="99"/>
        <v>5.7247770163384013</v>
      </c>
      <c r="Y229" s="346">
        <f t="shared" si="100"/>
        <v>-24.907359267064688</v>
      </c>
      <c r="AA229" s="345">
        <f t="shared" si="101"/>
        <v>34.985853450314622</v>
      </c>
      <c r="AB229" s="346">
        <f t="shared" si="102"/>
        <v>-20.458208102912504</v>
      </c>
      <c r="AD229">
        <f t="shared" si="106"/>
        <v>0</v>
      </c>
      <c r="AE229">
        <f t="shared" si="109"/>
        <v>0</v>
      </c>
    </row>
    <row r="230" spans="1:31" x14ac:dyDescent="0.2">
      <c r="A230" s="347">
        <v>13490</v>
      </c>
      <c r="B230" s="364">
        <f t="shared" si="103"/>
        <v>13.49</v>
      </c>
      <c r="C230" s="337">
        <f t="shared" si="84"/>
        <v>1.0562513682915378</v>
      </c>
      <c r="D230" s="338">
        <f t="shared" si="85"/>
        <v>0.3278267490842019</v>
      </c>
      <c r="E230" s="338">
        <f t="shared" si="86"/>
        <v>1.0000003174017214</v>
      </c>
      <c r="F230" s="339">
        <f t="shared" si="87"/>
        <v>7.9674542655955533E-4</v>
      </c>
      <c r="G230" s="338">
        <f t="shared" si="88"/>
        <v>1</v>
      </c>
      <c r="H230" s="339">
        <f t="shared" si="89"/>
        <v>0</v>
      </c>
      <c r="I230" s="337">
        <f t="shared" si="90"/>
        <v>97645.958250154741</v>
      </c>
      <c r="J230" s="340">
        <f t="shared" si="91"/>
        <v>1.5707860857156144</v>
      </c>
      <c r="K230" s="348">
        <f t="shared" si="107"/>
        <v>2.4555948177642977</v>
      </c>
      <c r="L230" s="349">
        <f t="shared" si="108"/>
        <v>1.1513735733627048</v>
      </c>
      <c r="M230" s="337">
        <f t="shared" si="92"/>
        <v>1.0000878165780234</v>
      </c>
      <c r="N230" s="340">
        <f t="shared" si="93"/>
        <v>1.3252181106932465E-2</v>
      </c>
      <c r="O230" s="341">
        <f t="shared" si="94"/>
        <v>1.0003453325677436</v>
      </c>
      <c r="P230" s="342">
        <f t="shared" si="95"/>
        <v>3.1945612564827551E-2</v>
      </c>
      <c r="Q230" s="343">
        <f t="shared" si="96"/>
        <v>3.8644679041072667</v>
      </c>
      <c r="R230" s="344">
        <f t="shared" si="97"/>
        <v>-45.357648689054621</v>
      </c>
      <c r="S230" s="346">
        <f t="shared" si="98"/>
        <v>134.64235131094537</v>
      </c>
      <c r="U230" s="319">
        <f t="shared" si="104"/>
        <v>1000000000</v>
      </c>
      <c r="V230" s="319">
        <f t="shared" si="105"/>
        <v>181980100</v>
      </c>
      <c r="X230" s="345">
        <f t="shared" si="99"/>
        <v>5.7165103980693113</v>
      </c>
      <c r="Y230" s="346">
        <f t="shared" si="100"/>
        <v>-24.789860907896998</v>
      </c>
      <c r="AA230" s="345">
        <f t="shared" si="101"/>
        <v>34.980707664132964</v>
      </c>
      <c r="AB230" s="346">
        <f t="shared" si="102"/>
        <v>-20.567787781157612</v>
      </c>
      <c r="AD230">
        <f t="shared" si="106"/>
        <v>0</v>
      </c>
      <c r="AE230">
        <f t="shared" si="109"/>
        <v>0</v>
      </c>
    </row>
    <row r="231" spans="1:31" x14ac:dyDescent="0.2">
      <c r="A231" s="347">
        <v>13568.5</v>
      </c>
      <c r="B231" s="364">
        <f t="shared" si="103"/>
        <v>13.5685</v>
      </c>
      <c r="C231" s="337">
        <f t="shared" si="84"/>
        <v>1.0568902642837175</v>
      </c>
      <c r="D231" s="338">
        <f t="shared" si="85"/>
        <v>0.32959957217731484</v>
      </c>
      <c r="E231" s="338">
        <f t="shared" si="86"/>
        <v>1.0000003211064694</v>
      </c>
      <c r="F231" s="339">
        <f t="shared" si="87"/>
        <v>8.0138178603208793E-4</v>
      </c>
      <c r="G231" s="338">
        <f t="shared" si="88"/>
        <v>1</v>
      </c>
      <c r="H231" s="339">
        <f t="shared" si="89"/>
        <v>0</v>
      </c>
      <c r="I231" s="337">
        <f t="shared" si="90"/>
        <v>98214.172314041731</v>
      </c>
      <c r="J231" s="340">
        <f t="shared" si="91"/>
        <v>1.5707861449649585</v>
      </c>
      <c r="K231" s="348">
        <f t="shared" si="107"/>
        <v>2.4675202136827719</v>
      </c>
      <c r="L231" s="349">
        <f t="shared" si="108"/>
        <v>1.1535274571785896</v>
      </c>
      <c r="M231" s="337">
        <f t="shared" si="92"/>
        <v>1.0000888415374982</v>
      </c>
      <c r="N231" s="340">
        <f t="shared" si="93"/>
        <v>1.3329288101600294E-2</v>
      </c>
      <c r="O231" s="341">
        <f t="shared" si="94"/>
        <v>1.0003493627853697</v>
      </c>
      <c r="P231" s="342">
        <f t="shared" si="95"/>
        <v>3.2131442406125053E-2</v>
      </c>
      <c r="Q231" s="343">
        <f t="shared" si="96"/>
        <v>3.8508542158467374</v>
      </c>
      <c r="R231" s="344">
        <f t="shared" si="97"/>
        <v>-45.350618439780156</v>
      </c>
      <c r="S231" s="346">
        <f t="shared" si="98"/>
        <v>134.64938156021984</v>
      </c>
      <c r="U231" s="319">
        <f t="shared" si="104"/>
        <v>1000000000</v>
      </c>
      <c r="V231" s="319">
        <f t="shared" si="105"/>
        <v>184104192.25</v>
      </c>
      <c r="X231" s="345">
        <f t="shared" si="99"/>
        <v>5.7081839273470045</v>
      </c>
      <c r="Y231" s="346">
        <f t="shared" si="100"/>
        <v>-24.670873755652071</v>
      </c>
      <c r="AA231" s="345">
        <f t="shared" si="101"/>
        <v>34.97542044659474</v>
      </c>
      <c r="AB231" s="346">
        <f t="shared" si="102"/>
        <v>-20.679744684128096</v>
      </c>
      <c r="AD231">
        <f t="shared" si="106"/>
        <v>0</v>
      </c>
      <c r="AE231">
        <f t="shared" si="109"/>
        <v>0</v>
      </c>
    </row>
    <row r="232" spans="1:31" x14ac:dyDescent="0.2">
      <c r="A232" s="347">
        <v>13647</v>
      </c>
      <c r="B232" s="364">
        <f t="shared" si="103"/>
        <v>13.647</v>
      </c>
      <c r="C232" s="337">
        <f t="shared" si="84"/>
        <v>1.0575324779585045</v>
      </c>
      <c r="D232" s="338">
        <f t="shared" si="85"/>
        <v>0.33137024764543771</v>
      </c>
      <c r="E232" s="338">
        <f t="shared" si="86"/>
        <v>1.0000003248327134</v>
      </c>
      <c r="F232" s="339">
        <f t="shared" si="87"/>
        <v>8.0601814547016785E-4</v>
      </c>
      <c r="G232" s="338">
        <f t="shared" si="88"/>
        <v>1</v>
      </c>
      <c r="H232" s="339">
        <f t="shared" si="89"/>
        <v>0</v>
      </c>
      <c r="I232" s="337">
        <f t="shared" si="90"/>
        <v>98782.386377929055</v>
      </c>
      <c r="J232" s="340">
        <f t="shared" si="91"/>
        <v>1.5707862035326767</v>
      </c>
      <c r="K232" s="348">
        <f t="shared" si="107"/>
        <v>2.4794569468121725</v>
      </c>
      <c r="L232" s="349">
        <f t="shared" si="108"/>
        <v>1.1556606121280304</v>
      </c>
      <c r="M232" s="337">
        <f t="shared" si="92"/>
        <v>1.0000898724429774</v>
      </c>
      <c r="N232" s="340">
        <f t="shared" si="93"/>
        <v>1.3406394937760798E-2</v>
      </c>
      <c r="O232" s="341">
        <f t="shared" si="94"/>
        <v>1.0003534163746632</v>
      </c>
      <c r="P232" s="342">
        <f t="shared" si="95"/>
        <v>3.2317271104739295E-2</v>
      </c>
      <c r="Q232" s="343">
        <f t="shared" si="96"/>
        <v>3.8373437669218324</v>
      </c>
      <c r="R232" s="344">
        <f t="shared" si="97"/>
        <v>-45.34465270361531</v>
      </c>
      <c r="S232" s="346">
        <f t="shared" si="98"/>
        <v>134.65534729638469</v>
      </c>
      <c r="U232" s="319">
        <f t="shared" si="104"/>
        <v>1000000000</v>
      </c>
      <c r="V232" s="319">
        <f t="shared" si="105"/>
        <v>186240609</v>
      </c>
      <c r="X232" s="345">
        <f t="shared" si="99"/>
        <v>5.6999849738538764</v>
      </c>
      <c r="Y232" s="346">
        <f t="shared" si="100"/>
        <v>-24.553074231833737</v>
      </c>
      <c r="AA232" s="345">
        <f t="shared" si="101"/>
        <v>34.970108951162963</v>
      </c>
      <c r="AB232" s="346">
        <f t="shared" si="102"/>
        <v>-20.791578471781573</v>
      </c>
      <c r="AD232">
        <f t="shared" si="106"/>
        <v>0</v>
      </c>
      <c r="AE232">
        <f t="shared" si="109"/>
        <v>0</v>
      </c>
    </row>
    <row r="233" spans="1:31" x14ac:dyDescent="0.2">
      <c r="A233" s="347">
        <v>13725.5</v>
      </c>
      <c r="B233" s="364">
        <f t="shared" si="103"/>
        <v>13.7255</v>
      </c>
      <c r="C233" s="337">
        <f t="shared" si="84"/>
        <v>1.0581780032753429</v>
      </c>
      <c r="D233" s="338">
        <f t="shared" si="85"/>
        <v>0.33313876830575562</v>
      </c>
      <c r="E233" s="338">
        <f t="shared" si="86"/>
        <v>1.0000003285804531</v>
      </c>
      <c r="F233" s="339">
        <f t="shared" si="87"/>
        <v>8.1065450487359568E-4</v>
      </c>
      <c r="G233" s="338">
        <f t="shared" si="88"/>
        <v>1</v>
      </c>
      <c r="H233" s="339">
        <f t="shared" si="89"/>
        <v>0</v>
      </c>
      <c r="I233" s="337">
        <f t="shared" si="90"/>
        <v>99350.600441816729</v>
      </c>
      <c r="J233" s="340">
        <f t="shared" si="91"/>
        <v>1.5707862614304644</v>
      </c>
      <c r="K233" s="348">
        <f t="shared" si="107"/>
        <v>2.4914048541971408</v>
      </c>
      <c r="L233" s="349">
        <f t="shared" si="108"/>
        <v>1.1577733168823872</v>
      </c>
      <c r="M233" s="337">
        <f t="shared" si="92"/>
        <v>1.000090909294443</v>
      </c>
      <c r="N233" s="340">
        <f t="shared" si="93"/>
        <v>1.3483501614497601E-2</v>
      </c>
      <c r="O233" s="341">
        <f t="shared" si="94"/>
        <v>1.0003574933354051</v>
      </c>
      <c r="P233" s="342">
        <f t="shared" si="95"/>
        <v>3.2503098654076551E-2</v>
      </c>
      <c r="Q233" s="343">
        <f t="shared" si="96"/>
        <v>3.8239341254994867</v>
      </c>
      <c r="R233" s="344">
        <f t="shared" si="97"/>
        <v>-45.339735102562074</v>
      </c>
      <c r="S233" s="346">
        <f t="shared" si="98"/>
        <v>134.66026489743791</v>
      </c>
      <c r="U233" s="319">
        <f t="shared" si="104"/>
        <v>1000000000</v>
      </c>
      <c r="V233" s="319">
        <f t="shared" si="105"/>
        <v>188389350.25</v>
      </c>
      <c r="X233" s="345">
        <f t="shared" si="99"/>
        <v>5.6919110103899921</v>
      </c>
      <c r="Y233" s="346">
        <f t="shared" si="100"/>
        <v>-24.436446370366784</v>
      </c>
      <c r="AA233" s="345">
        <f t="shared" si="101"/>
        <v>34.9647732732045</v>
      </c>
      <c r="AB233" s="346">
        <f t="shared" si="102"/>
        <v>-20.903288732195286</v>
      </c>
      <c r="AD233">
        <f t="shared" si="106"/>
        <v>0</v>
      </c>
      <c r="AE233">
        <f t="shared" si="109"/>
        <v>0</v>
      </c>
    </row>
    <row r="234" spans="1:31" x14ac:dyDescent="0.2">
      <c r="A234" s="347">
        <v>13804</v>
      </c>
      <c r="B234" s="364">
        <f t="shared" si="103"/>
        <v>13.804</v>
      </c>
      <c r="C234" s="337">
        <f t="shared" si="84"/>
        <v>1.0588268341772971</v>
      </c>
      <c r="D234" s="338">
        <f t="shared" si="85"/>
        <v>0.33490512704684089</v>
      </c>
      <c r="E234" s="338">
        <f t="shared" si="86"/>
        <v>1.0000003323496887</v>
      </c>
      <c r="F234" s="339">
        <f t="shared" si="87"/>
        <v>8.1529086424217206E-4</v>
      </c>
      <c r="G234" s="338">
        <f t="shared" si="88"/>
        <v>1</v>
      </c>
      <c r="H234" s="339">
        <f t="shared" si="89"/>
        <v>0</v>
      </c>
      <c r="I234" s="337">
        <f t="shared" si="90"/>
        <v>99918.814505704722</v>
      </c>
      <c r="J234" s="340">
        <f t="shared" si="91"/>
        <v>1.5707863186697506</v>
      </c>
      <c r="K234" s="348">
        <f t="shared" si="107"/>
        <v>2.5033637758421925</v>
      </c>
      <c r="L234" s="349">
        <f t="shared" si="108"/>
        <v>1.1598658455257387</v>
      </c>
      <c r="M234" s="337">
        <f t="shared" si="92"/>
        <v>1.0000919520918763</v>
      </c>
      <c r="N234" s="340">
        <f t="shared" si="93"/>
        <v>1.3560608130894332E-2</v>
      </c>
      <c r="O234" s="341">
        <f t="shared" si="94"/>
        <v>1.0003615936673751</v>
      </c>
      <c r="P234" s="342">
        <f t="shared" si="95"/>
        <v>3.2688925047543421E-2</v>
      </c>
      <c r="Q234" s="343">
        <f t="shared" si="96"/>
        <v>3.8106229205517272</v>
      </c>
      <c r="R234" s="344">
        <f t="shared" si="97"/>
        <v>-45.335849525529248</v>
      </c>
      <c r="S234" s="346">
        <f t="shared" si="98"/>
        <v>134.66415047447074</v>
      </c>
      <c r="U234" s="319">
        <f t="shared" si="104"/>
        <v>1000000000</v>
      </c>
      <c r="V234" s="319">
        <f t="shared" si="105"/>
        <v>190550416</v>
      </c>
      <c r="X234" s="345">
        <f t="shared" si="99"/>
        <v>5.6839595704052268</v>
      </c>
      <c r="Y234" s="346">
        <f t="shared" si="100"/>
        <v>-24.320974467992571</v>
      </c>
      <c r="AA234" s="345">
        <f t="shared" si="101"/>
        <v>34.959413508241511</v>
      </c>
      <c r="AB234" s="346">
        <f t="shared" si="102"/>
        <v>-21.014875057536688</v>
      </c>
      <c r="AD234">
        <f t="shared" si="106"/>
        <v>0</v>
      </c>
      <c r="AE234">
        <f t="shared" si="109"/>
        <v>0</v>
      </c>
    </row>
    <row r="235" spans="1:31" x14ac:dyDescent="0.2">
      <c r="A235" s="347">
        <v>13884.25</v>
      </c>
      <c r="B235" s="364">
        <f t="shared" si="103"/>
        <v>13.88425</v>
      </c>
      <c r="C235" s="337">
        <f t="shared" si="84"/>
        <v>1.0594935400816055</v>
      </c>
      <c r="D235" s="338">
        <f t="shared" si="85"/>
        <v>0.33670862113124739</v>
      </c>
      <c r="E235" s="338">
        <f t="shared" si="86"/>
        <v>1.0000003362251717</v>
      </c>
      <c r="F235" s="339">
        <f t="shared" si="87"/>
        <v>8.2003058190438819E-4</v>
      </c>
      <c r="G235" s="338">
        <f t="shared" si="88"/>
        <v>1</v>
      </c>
      <c r="H235" s="339">
        <f t="shared" si="89"/>
        <v>0</v>
      </c>
      <c r="I235" s="337">
        <f t="shared" si="90"/>
        <v>100499.69576210012</v>
      </c>
      <c r="J235" s="340">
        <f t="shared" si="91"/>
        <v>1.5707863765160184</v>
      </c>
      <c r="K235" s="348">
        <f t="shared" si="107"/>
        <v>2.5156005193781557</v>
      </c>
      <c r="L235" s="349">
        <f t="shared" si="108"/>
        <v>1.16198444780092</v>
      </c>
      <c r="M235" s="337">
        <f t="shared" si="92"/>
        <v>1.0000930242826422</v>
      </c>
      <c r="N235" s="340">
        <f t="shared" si="93"/>
        <v>1.3639433415674099E-2</v>
      </c>
      <c r="O235" s="341">
        <f t="shared" si="94"/>
        <v>1.0003658095663459</v>
      </c>
      <c r="P235" s="342">
        <f t="shared" si="95"/>
        <v>3.2878892865941027E-2</v>
      </c>
      <c r="Q235" s="343">
        <f t="shared" si="96"/>
        <v>3.7971143143693133</v>
      </c>
      <c r="R235" s="344">
        <f t="shared" si="97"/>
        <v>-45.332927615007677</v>
      </c>
      <c r="S235" s="346">
        <f t="shared" si="98"/>
        <v>134.66707238499231</v>
      </c>
      <c r="U235" s="319">
        <f t="shared" si="104"/>
        <v>1000000000</v>
      </c>
      <c r="V235" s="319">
        <f t="shared" si="105"/>
        <v>192772398.0625</v>
      </c>
      <c r="X235" s="345">
        <f t="shared" si="99"/>
        <v>5.6759550132076209</v>
      </c>
      <c r="Y235" s="346">
        <f t="shared" si="100"/>
        <v>-24.204107169508131</v>
      </c>
      <c r="AA235" s="345">
        <f t="shared" si="101"/>
        <v>34.9539094592567</v>
      </c>
      <c r="AB235" s="346">
        <f t="shared" si="102"/>
        <v>-21.128820445499553</v>
      </c>
      <c r="AD235">
        <f t="shared" si="106"/>
        <v>0</v>
      </c>
      <c r="AE235">
        <f t="shared" si="109"/>
        <v>0</v>
      </c>
    </row>
    <row r="236" spans="1:31" x14ac:dyDescent="0.2">
      <c r="A236" s="347">
        <v>13964.5</v>
      </c>
      <c r="B236" s="364">
        <f t="shared" si="103"/>
        <v>13.964499999999999</v>
      </c>
      <c r="C236" s="337">
        <f t="shared" si="84"/>
        <v>1.0601636877441387</v>
      </c>
      <c r="D236" s="338">
        <f t="shared" si="85"/>
        <v>0.33850984102900095</v>
      </c>
      <c r="E236" s="338">
        <f t="shared" si="86"/>
        <v>1.0000003401231199</v>
      </c>
      <c r="F236" s="339">
        <f t="shared" si="87"/>
        <v>8.2477029952976054E-4</v>
      </c>
      <c r="G236" s="338">
        <f t="shared" si="88"/>
        <v>1</v>
      </c>
      <c r="H236" s="339">
        <f t="shared" si="89"/>
        <v>0</v>
      </c>
      <c r="I236" s="337">
        <f t="shared" si="90"/>
        <v>101080.57701849584</v>
      </c>
      <c r="J236" s="340">
        <f t="shared" si="91"/>
        <v>1.570786433697434</v>
      </c>
      <c r="K236" s="348">
        <f t="shared" si="107"/>
        <v>2.5278484447798619</v>
      </c>
      <c r="L236" s="349">
        <f t="shared" si="108"/>
        <v>1.1640825293237942</v>
      </c>
      <c r="M236" s="337">
        <f t="shared" si="92"/>
        <v>1.0000941026873984</v>
      </c>
      <c r="N236" s="340">
        <f t="shared" si="93"/>
        <v>1.3718258530948511E-2</v>
      </c>
      <c r="O236" s="341">
        <f t="shared" si="94"/>
        <v>1.0003700498897194</v>
      </c>
      <c r="P236" s="342">
        <f t="shared" si="95"/>
        <v>3.3068859462424181E-2</v>
      </c>
      <c r="Q236" s="343">
        <f t="shared" si="96"/>
        <v>3.7837037585911464</v>
      </c>
      <c r="R236" s="344">
        <f t="shared" si="97"/>
        <v>-45.3310510378763</v>
      </c>
      <c r="S236" s="346">
        <f t="shared" si="98"/>
        <v>134.66894896212369</v>
      </c>
      <c r="U236" s="319">
        <f t="shared" si="104"/>
        <v>1000000000</v>
      </c>
      <c r="V236" s="319">
        <f t="shared" si="105"/>
        <v>195007260.25</v>
      </c>
      <c r="X236" s="345">
        <f t="shared" si="99"/>
        <v>5.6680734769736816</v>
      </c>
      <c r="Y236" s="346">
        <f t="shared" si="100"/>
        <v>-24.088415575719498</v>
      </c>
      <c r="AA236" s="345">
        <f t="shared" si="101"/>
        <v>34.94838043971248</v>
      </c>
      <c r="AB236" s="346">
        <f t="shared" si="102"/>
        <v>-21.242635462156798</v>
      </c>
      <c r="AD236">
        <f t="shared" si="106"/>
        <v>0</v>
      </c>
      <c r="AE236">
        <f t="shared" si="109"/>
        <v>0</v>
      </c>
    </row>
    <row r="237" spans="1:31" x14ac:dyDescent="0.2">
      <c r="A237" s="347">
        <v>14044.75</v>
      </c>
      <c r="B237" s="364">
        <f t="shared" si="103"/>
        <v>14.044750000000001</v>
      </c>
      <c r="C237" s="337">
        <f t="shared" si="84"/>
        <v>1.0608372706422582</v>
      </c>
      <c r="D237" s="338">
        <f t="shared" si="85"/>
        <v>0.34030877937339798</v>
      </c>
      <c r="E237" s="338">
        <f t="shared" si="86"/>
        <v>1.0000003440435328</v>
      </c>
      <c r="F237" s="339">
        <f t="shared" si="87"/>
        <v>8.2951001711807605E-4</v>
      </c>
      <c r="G237" s="338">
        <f t="shared" si="88"/>
        <v>1</v>
      </c>
      <c r="H237" s="339">
        <f t="shared" si="89"/>
        <v>0</v>
      </c>
      <c r="I237" s="337">
        <f t="shared" si="90"/>
        <v>101661.45827489189</v>
      </c>
      <c r="J237" s="340">
        <f t="shared" si="91"/>
        <v>1.5707864902253945</v>
      </c>
      <c r="K237" s="348">
        <f t="shared" si="107"/>
        <v>2.540107390296686</v>
      </c>
      <c r="L237" s="349">
        <f t="shared" si="108"/>
        <v>1.1661603685972219</v>
      </c>
      <c r="M237" s="337">
        <f t="shared" si="92"/>
        <v>1.0000951873061243</v>
      </c>
      <c r="N237" s="340">
        <f t="shared" si="93"/>
        <v>1.3797083475738575E-2</v>
      </c>
      <c r="O237" s="341">
        <f t="shared" si="94"/>
        <v>1.0003743146372555</v>
      </c>
      <c r="P237" s="342">
        <f t="shared" si="95"/>
        <v>3.325882482994956E-2</v>
      </c>
      <c r="Q237" s="343">
        <f t="shared" si="96"/>
        <v>3.7703889062455835</v>
      </c>
      <c r="R237" s="344">
        <f t="shared" si="97"/>
        <v>-45.330203415208942</v>
      </c>
      <c r="S237" s="346">
        <f t="shared" si="98"/>
        <v>134.66979658479107</v>
      </c>
      <c r="U237" s="319">
        <f t="shared" si="104"/>
        <v>1000000000</v>
      </c>
      <c r="V237" s="319">
        <f t="shared" si="105"/>
        <v>197255002.5625</v>
      </c>
      <c r="X237" s="345">
        <f t="shared" si="99"/>
        <v>5.6603125122055706</v>
      </c>
      <c r="Y237" s="346">
        <f t="shared" si="100"/>
        <v>-23.973883730185072</v>
      </c>
      <c r="AA237" s="345">
        <f t="shared" si="101"/>
        <v>34.942826552135024</v>
      </c>
      <c r="AB237" s="346">
        <f t="shared" si="102"/>
        <v>-21.35631968502387</v>
      </c>
      <c r="AD237">
        <f t="shared" si="106"/>
        <v>0</v>
      </c>
      <c r="AE237">
        <f t="shared" si="109"/>
        <v>0</v>
      </c>
    </row>
    <row r="238" spans="1:31" x14ac:dyDescent="0.2">
      <c r="A238" s="347">
        <v>14125</v>
      </c>
      <c r="B238" s="364">
        <f t="shared" si="103"/>
        <v>14.125</v>
      </c>
      <c r="C238" s="337">
        <f t="shared" si="84"/>
        <v>1.0615142822364867</v>
      </c>
      <c r="D238" s="338">
        <f t="shared" si="85"/>
        <v>0.34210542887545281</v>
      </c>
      <c r="E238" s="338">
        <f t="shared" si="86"/>
        <v>1.0000003479864108</v>
      </c>
      <c r="F238" s="339">
        <f t="shared" si="87"/>
        <v>8.3424973466912167E-4</v>
      </c>
      <c r="G238" s="338">
        <f t="shared" si="88"/>
        <v>1</v>
      </c>
      <c r="H238" s="339">
        <f t="shared" si="89"/>
        <v>0</v>
      </c>
      <c r="I238" s="337">
        <f t="shared" si="90"/>
        <v>102242.33953128826</v>
      </c>
      <c r="J238" s="340">
        <f t="shared" si="91"/>
        <v>1.5707865461110371</v>
      </c>
      <c r="K238" s="348">
        <f t="shared" si="107"/>
        <v>2.5523771971413751</v>
      </c>
      <c r="L238" s="349">
        <f t="shared" si="108"/>
        <v>1.1682182394751726</v>
      </c>
      <c r="M238" s="337">
        <f t="shared" si="92"/>
        <v>1.0000962781388003</v>
      </c>
      <c r="N238" s="340">
        <f t="shared" si="93"/>
        <v>1.3875908249065311E-2</v>
      </c>
      <c r="O238" s="341">
        <f t="shared" si="94"/>
        <v>1.0003786038087135</v>
      </c>
      <c r="P238" s="342">
        <f t="shared" si="95"/>
        <v>3.3448788961474206E-2</v>
      </c>
      <c r="Q238" s="343">
        <f t="shared" si="96"/>
        <v>3.7571674696233908</v>
      </c>
      <c r="R238" s="344">
        <f t="shared" si="97"/>
        <v>-45.330368638879328</v>
      </c>
      <c r="S238" s="346">
        <f t="shared" si="98"/>
        <v>134.66963136112068</v>
      </c>
      <c r="U238" s="319">
        <f t="shared" si="104"/>
        <v>1000000000</v>
      </c>
      <c r="V238" s="319">
        <f t="shared" si="105"/>
        <v>199515625</v>
      </c>
      <c r="X238" s="345">
        <f t="shared" si="99"/>
        <v>5.6526697285191627</v>
      </c>
      <c r="Y238" s="346">
        <f t="shared" si="100"/>
        <v>-23.860495942810207</v>
      </c>
      <c r="AA238" s="345">
        <f t="shared" si="101"/>
        <v>34.937247899199235</v>
      </c>
      <c r="AB238" s="346">
        <f t="shared" si="102"/>
        <v>-21.469872696069114</v>
      </c>
      <c r="AD238">
        <f t="shared" si="106"/>
        <v>0</v>
      </c>
      <c r="AE238">
        <f t="shared" si="109"/>
        <v>0</v>
      </c>
    </row>
    <row r="239" spans="1:31" x14ac:dyDescent="0.2">
      <c r="A239" s="347">
        <v>14207.25</v>
      </c>
      <c r="B239" s="364">
        <f t="shared" si="103"/>
        <v>14.20725</v>
      </c>
      <c r="C239" s="337">
        <f t="shared" si="84"/>
        <v>1.0622117174704837</v>
      </c>
      <c r="D239" s="338">
        <f t="shared" si="85"/>
        <v>0.34394447202690392</v>
      </c>
      <c r="E239" s="338">
        <f t="shared" si="86"/>
        <v>1.0000003520508653</v>
      </c>
      <c r="F239" s="339">
        <f t="shared" si="87"/>
        <v>8.391075759831652E-4</v>
      </c>
      <c r="G239" s="338">
        <f t="shared" si="88"/>
        <v>1</v>
      </c>
      <c r="H239" s="339">
        <f t="shared" si="89"/>
        <v>0</v>
      </c>
      <c r="I239" s="337">
        <f t="shared" si="90"/>
        <v>102837.69757912162</v>
      </c>
      <c r="J239" s="340">
        <f t="shared" si="91"/>
        <v>1.5707866027343278</v>
      </c>
      <c r="K239" s="348">
        <f t="shared" si="107"/>
        <v>2.5649639012074275</v>
      </c>
      <c r="L239" s="349">
        <f t="shared" si="108"/>
        <v>1.1703069575108789</v>
      </c>
      <c r="M239" s="337">
        <f t="shared" si="92"/>
        <v>1.000097402605493</v>
      </c>
      <c r="N239" s="340">
        <f t="shared" si="93"/>
        <v>1.3956697323773446E-2</v>
      </c>
      <c r="O239" s="341">
        <f t="shared" si="94"/>
        <v>1.0003830252197075</v>
      </c>
      <c r="P239" s="342">
        <f t="shared" si="95"/>
        <v>3.3643486111613635E-2</v>
      </c>
      <c r="Q239" s="343">
        <f t="shared" si="96"/>
        <v>3.7437111306712567</v>
      </c>
      <c r="R239" s="344">
        <f t="shared" si="97"/>
        <v>-45.331572430230949</v>
      </c>
      <c r="S239" s="346">
        <f t="shared" si="98"/>
        <v>134.66842756976905</v>
      </c>
      <c r="U239" s="319">
        <f t="shared" si="104"/>
        <v>1000000000</v>
      </c>
      <c r="V239" s="319">
        <f t="shared" si="105"/>
        <v>201845952.5625</v>
      </c>
      <c r="X239" s="345">
        <f t="shared" si="99"/>
        <v>5.644956665627614</v>
      </c>
      <c r="Y239" s="346">
        <f t="shared" si="100"/>
        <v>-23.745453331927045</v>
      </c>
      <c r="AA239" s="345">
        <f t="shared" si="101"/>
        <v>34.93150462313865</v>
      </c>
      <c r="AB239" s="346">
        <f t="shared" si="102"/>
        <v>-21.586119098303907</v>
      </c>
      <c r="AD239">
        <f t="shared" si="106"/>
        <v>0</v>
      </c>
      <c r="AE239">
        <f t="shared" si="109"/>
        <v>0</v>
      </c>
    </row>
    <row r="240" spans="1:31" x14ac:dyDescent="0.2">
      <c r="A240" s="347">
        <v>14289.5</v>
      </c>
      <c r="B240" s="364">
        <f t="shared" si="103"/>
        <v>14.2895</v>
      </c>
      <c r="C240" s="337">
        <f t="shared" si="84"/>
        <v>1.0629127404676473</v>
      </c>
      <c r="D240" s="338">
        <f t="shared" si="85"/>
        <v>0.34578109557434777</v>
      </c>
      <c r="E240" s="338">
        <f t="shared" si="86"/>
        <v>1.0000003561389184</v>
      </c>
      <c r="F240" s="339">
        <f t="shared" si="87"/>
        <v>8.4396541725760522E-4</v>
      </c>
      <c r="G240" s="338">
        <f t="shared" si="88"/>
        <v>1</v>
      </c>
      <c r="H240" s="339">
        <f t="shared" si="89"/>
        <v>0</v>
      </c>
      <c r="I240" s="337">
        <f t="shared" si="90"/>
        <v>103433.05562695532</v>
      </c>
      <c r="J240" s="340">
        <f t="shared" si="91"/>
        <v>1.5707866587057742</v>
      </c>
      <c r="K240" s="348">
        <f t="shared" si="107"/>
        <v>2.5775616862352089</v>
      </c>
      <c r="L240" s="349">
        <f t="shared" si="108"/>
        <v>1.1723752673552887</v>
      </c>
      <c r="M240" s="337">
        <f t="shared" si="92"/>
        <v>1.0000985335996813</v>
      </c>
      <c r="N240" s="340">
        <f t="shared" si="93"/>
        <v>1.4037486216282936E-2</v>
      </c>
      <c r="O240" s="341">
        <f t="shared" si="94"/>
        <v>1.0003874722866681</v>
      </c>
      <c r="P240" s="342">
        <f t="shared" si="95"/>
        <v>3.3838181948397009E-2</v>
      </c>
      <c r="Q240" s="343">
        <f t="shared" si="96"/>
        <v>3.7303482392534115</v>
      </c>
      <c r="R240" s="344">
        <f t="shared" si="97"/>
        <v>-45.333806768680205</v>
      </c>
      <c r="S240" s="346">
        <f t="shared" si="98"/>
        <v>134.6661932313198</v>
      </c>
      <c r="U240" s="319">
        <f t="shared" si="104"/>
        <v>1000000000</v>
      </c>
      <c r="V240" s="319">
        <f t="shared" si="105"/>
        <v>204189810.25</v>
      </c>
      <c r="X240" s="345">
        <f t="shared" si="99"/>
        <v>5.6373628465638781</v>
      </c>
      <c r="Y240" s="346">
        <f t="shared" si="100"/>
        <v>-23.631579976486858</v>
      </c>
      <c r="AA240" s="345">
        <f t="shared" si="101"/>
        <v>34.925735550784538</v>
      </c>
      <c r="AB240" s="346">
        <f t="shared" si="102"/>
        <v>-21.70222679219334</v>
      </c>
      <c r="AD240">
        <f t="shared" si="106"/>
        <v>0</v>
      </c>
      <c r="AE240">
        <f t="shared" si="109"/>
        <v>0</v>
      </c>
    </row>
    <row r="241" spans="1:31" x14ac:dyDescent="0.2">
      <c r="A241" s="347">
        <v>14371.75</v>
      </c>
      <c r="B241" s="364">
        <f t="shared" si="103"/>
        <v>14.37175</v>
      </c>
      <c r="C241" s="337">
        <f t="shared" si="84"/>
        <v>1.063617344133966</v>
      </c>
      <c r="D241" s="338">
        <f t="shared" si="85"/>
        <v>0.34761529192375812</v>
      </c>
      <c r="E241" s="338">
        <f t="shared" si="86"/>
        <v>1.0000003602505703</v>
      </c>
      <c r="F241" s="339">
        <f t="shared" si="87"/>
        <v>8.4882325849221219E-4</v>
      </c>
      <c r="G241" s="338">
        <f t="shared" si="88"/>
        <v>1</v>
      </c>
      <c r="H241" s="339">
        <f t="shared" si="89"/>
        <v>0</v>
      </c>
      <c r="I241" s="337">
        <f t="shared" si="90"/>
        <v>104028.41367478935</v>
      </c>
      <c r="J241" s="340">
        <f t="shared" si="91"/>
        <v>1.5707867140365674</v>
      </c>
      <c r="K241" s="348">
        <f t="shared" si="107"/>
        <v>2.5901703905416467</v>
      </c>
      <c r="L241" s="349">
        <f t="shared" si="108"/>
        <v>1.1744234492175842</v>
      </c>
      <c r="M241" s="337">
        <f t="shared" si="92"/>
        <v>1.0000996711213428</v>
      </c>
      <c r="N241" s="340">
        <f t="shared" si="93"/>
        <v>1.411827492553981E-2</v>
      </c>
      <c r="O241" s="341">
        <f t="shared" si="94"/>
        <v>1.0003919450093315</v>
      </c>
      <c r="P241" s="342">
        <f t="shared" si="95"/>
        <v>3.4032876464242648E-2</v>
      </c>
      <c r="Q241" s="343">
        <f t="shared" si="96"/>
        <v>3.7170765153429093</v>
      </c>
      <c r="R241" s="344">
        <f t="shared" si="97"/>
        <v>-45.33705516446431</v>
      </c>
      <c r="S241" s="346">
        <f t="shared" si="98"/>
        <v>134.66294483553568</v>
      </c>
      <c r="U241" s="319">
        <f t="shared" si="104"/>
        <v>1000000000</v>
      </c>
      <c r="V241" s="319">
        <f t="shared" si="105"/>
        <v>206547198.0625</v>
      </c>
      <c r="X241" s="345">
        <f t="shared" si="99"/>
        <v>5.6298858803047676</v>
      </c>
      <c r="Y241" s="346">
        <f t="shared" si="100"/>
        <v>-23.51885982226694</v>
      </c>
      <c r="AA241" s="345">
        <f t="shared" si="101"/>
        <v>34.919940793133151</v>
      </c>
      <c r="AB241" s="346">
        <f t="shared" si="102"/>
        <v>-21.818195342197381</v>
      </c>
      <c r="AD241">
        <f t="shared" si="106"/>
        <v>0</v>
      </c>
      <c r="AE241">
        <f t="shared" si="109"/>
        <v>0</v>
      </c>
    </row>
    <row r="242" spans="1:31" x14ac:dyDescent="0.2">
      <c r="A242" s="347">
        <v>14454</v>
      </c>
      <c r="B242" s="364">
        <f t="shared" si="103"/>
        <v>14.454000000000001</v>
      </c>
      <c r="C242" s="337">
        <f t="shared" si="84"/>
        <v>1.0643255213580276</v>
      </c>
      <c r="D242" s="338">
        <f t="shared" si="85"/>
        <v>0.3494470535664928</v>
      </c>
      <c r="E242" s="338">
        <f t="shared" si="86"/>
        <v>1.0000003643858206</v>
      </c>
      <c r="F242" s="339">
        <f t="shared" si="87"/>
        <v>8.5368109968675724E-4</v>
      </c>
      <c r="G242" s="338">
        <f t="shared" si="88"/>
        <v>1</v>
      </c>
      <c r="H242" s="339">
        <f t="shared" si="89"/>
        <v>0</v>
      </c>
      <c r="I242" s="337">
        <f t="shared" si="90"/>
        <v>104623.77172262369</v>
      </c>
      <c r="J242" s="340">
        <f t="shared" si="91"/>
        <v>1.5707867687376449</v>
      </c>
      <c r="K242" s="348">
        <f t="shared" si="107"/>
        <v>2.6027898554378419</v>
      </c>
      <c r="L242" s="349">
        <f t="shared" si="108"/>
        <v>1.1764517785552204</v>
      </c>
      <c r="M242" s="337">
        <f t="shared" si="92"/>
        <v>1.0001008151704558</v>
      </c>
      <c r="N242" s="340">
        <f t="shared" si="93"/>
        <v>1.4199063450490103E-2</v>
      </c>
      <c r="O242" s="341">
        <f t="shared" si="94"/>
        <v>1.0003964433874322</v>
      </c>
      <c r="P242" s="342">
        <f t="shared" si="95"/>
        <v>3.4227569651569228E-2</v>
      </c>
      <c r="Q242" s="343">
        <f t="shared" si="96"/>
        <v>3.7038937372135043</v>
      </c>
      <c r="R242" s="344">
        <f t="shared" si="97"/>
        <v>-45.341301404952084</v>
      </c>
      <c r="S242" s="346">
        <f t="shared" si="98"/>
        <v>134.65869859504792</v>
      </c>
      <c r="U242" s="319">
        <f t="shared" si="104"/>
        <v>1000000000</v>
      </c>
      <c r="V242" s="319">
        <f t="shared" si="105"/>
        <v>208918116</v>
      </c>
      <c r="X242" s="345">
        <f t="shared" si="99"/>
        <v>5.6225234339869301</v>
      </c>
      <c r="Y242" s="346">
        <f t="shared" si="100"/>
        <v>-23.40727708728393</v>
      </c>
      <c r="AA242" s="345">
        <f t="shared" si="101"/>
        <v>34.914120461321581</v>
      </c>
      <c r="AB242" s="346">
        <f t="shared" si="102"/>
        <v>-21.934024317668154</v>
      </c>
      <c r="AD242">
        <f t="shared" si="106"/>
        <v>0</v>
      </c>
      <c r="AE242">
        <f t="shared" si="109"/>
        <v>0</v>
      </c>
    </row>
    <row r="243" spans="1:31" x14ac:dyDescent="0.2">
      <c r="A243" s="347">
        <v>14622.5</v>
      </c>
      <c r="B243" s="364">
        <f t="shared" si="103"/>
        <v>14.6225</v>
      </c>
      <c r="C243" s="337">
        <f t="shared" si="84"/>
        <v>1.0657874453497993</v>
      </c>
      <c r="D243" s="338">
        <f t="shared" si="85"/>
        <v>0.35319202528263127</v>
      </c>
      <c r="E243" s="338">
        <f t="shared" si="86"/>
        <v>1.0000003729311207</v>
      </c>
      <c r="F243" s="339">
        <f t="shared" si="87"/>
        <v>8.6363302954586363E-4</v>
      </c>
      <c r="G243" s="338">
        <f t="shared" si="88"/>
        <v>1</v>
      </c>
      <c r="H243" s="339">
        <f t="shared" si="89"/>
        <v>0</v>
      </c>
      <c r="I243" s="337">
        <f t="shared" si="90"/>
        <v>105843.4414011667</v>
      </c>
      <c r="J243" s="340">
        <f t="shared" si="91"/>
        <v>1.5707868788783628</v>
      </c>
      <c r="K243" s="348">
        <f t="shared" si="107"/>
        <v>2.6286754473237948</v>
      </c>
      <c r="L243" s="349">
        <f t="shared" si="108"/>
        <v>1.1805462208269097</v>
      </c>
      <c r="M243" s="337">
        <f t="shared" si="92"/>
        <v>1.0001031792899175</v>
      </c>
      <c r="N243" s="340">
        <f t="shared" si="93"/>
        <v>1.4364568845628834E-2</v>
      </c>
      <c r="O243" s="341">
        <f t="shared" si="94"/>
        <v>1.0004057390244678</v>
      </c>
      <c r="P243" s="342">
        <f t="shared" si="95"/>
        <v>3.4626420207317897E-2</v>
      </c>
      <c r="Q243" s="343">
        <f t="shared" si="96"/>
        <v>3.6771557662939127</v>
      </c>
      <c r="R243" s="344">
        <f t="shared" si="97"/>
        <v>-45.353049538216645</v>
      </c>
      <c r="S243" s="346">
        <f t="shared" si="98"/>
        <v>134.64695046178335</v>
      </c>
      <c r="U243" s="319">
        <f t="shared" si="104"/>
        <v>1000000000</v>
      </c>
      <c r="V243" s="319">
        <f t="shared" si="105"/>
        <v>213817506.25</v>
      </c>
      <c r="X243" s="345">
        <f t="shared" si="99"/>
        <v>5.6077885753065164</v>
      </c>
      <c r="Y243" s="346">
        <f t="shared" si="100"/>
        <v>-23.182171896625341</v>
      </c>
      <c r="AA243" s="345">
        <f t="shared" si="101"/>
        <v>34.902117349082403</v>
      </c>
      <c r="AB243" s="346">
        <f t="shared" si="102"/>
        <v>-22.170877641591307</v>
      </c>
      <c r="AD243">
        <f t="shared" si="106"/>
        <v>0</v>
      </c>
      <c r="AE243">
        <f t="shared" si="109"/>
        <v>0</v>
      </c>
    </row>
    <row r="244" spans="1:31" x14ac:dyDescent="0.2">
      <c r="A244" s="347">
        <v>14706.75</v>
      </c>
      <c r="B244" s="364">
        <f t="shared" si="103"/>
        <v>14.70675</v>
      </c>
      <c r="C244" s="337">
        <f t="shared" si="84"/>
        <v>1.0665240011004957</v>
      </c>
      <c r="D244" s="338">
        <f t="shared" si="85"/>
        <v>0.35506064801072035</v>
      </c>
      <c r="E244" s="338">
        <f t="shared" si="86"/>
        <v>1.0000003772409112</v>
      </c>
      <c r="F244" s="339">
        <f t="shared" si="87"/>
        <v>8.6860899441138872E-4</v>
      </c>
      <c r="G244" s="338">
        <f t="shared" si="88"/>
        <v>1</v>
      </c>
      <c r="H244" s="339">
        <f t="shared" si="89"/>
        <v>0</v>
      </c>
      <c r="I244" s="337">
        <f t="shared" si="90"/>
        <v>106453.27624043869</v>
      </c>
      <c r="J244" s="340">
        <f t="shared" si="91"/>
        <v>1.5707869330022832</v>
      </c>
      <c r="K244" s="348">
        <f t="shared" si="107"/>
        <v>2.6416345259077092</v>
      </c>
      <c r="L244" s="349">
        <f t="shared" si="108"/>
        <v>1.1825633337458763</v>
      </c>
      <c r="M244" s="337">
        <f t="shared" si="92"/>
        <v>1.0001043716226854</v>
      </c>
      <c r="N244" s="340">
        <f t="shared" si="93"/>
        <v>1.4447321248639551E-2</v>
      </c>
      <c r="O244" s="341">
        <f t="shared" si="94"/>
        <v>1.000410427219274</v>
      </c>
      <c r="P244" s="342">
        <f t="shared" si="95"/>
        <v>3.4825843362023705E-2</v>
      </c>
      <c r="Q244" s="343">
        <f t="shared" si="96"/>
        <v>3.6639177509828724</v>
      </c>
      <c r="R244" s="344">
        <f t="shared" si="97"/>
        <v>-45.360427144814018</v>
      </c>
      <c r="S244" s="346">
        <f t="shared" si="98"/>
        <v>134.63957285518597</v>
      </c>
      <c r="U244" s="319">
        <f t="shared" si="104"/>
        <v>1000000000</v>
      </c>
      <c r="V244" s="319">
        <f t="shared" si="105"/>
        <v>216288495.5625</v>
      </c>
      <c r="X244" s="345">
        <f t="shared" si="99"/>
        <v>5.6005918910465846</v>
      </c>
      <c r="Y244" s="346">
        <f t="shared" si="100"/>
        <v>-23.071344303949896</v>
      </c>
      <c r="AA244" s="345">
        <f t="shared" si="101"/>
        <v>34.896076018031295</v>
      </c>
      <c r="AB244" s="346">
        <f t="shared" si="102"/>
        <v>-22.289082840864133</v>
      </c>
      <c r="AD244">
        <f t="shared" si="106"/>
        <v>0</v>
      </c>
      <c r="AE244">
        <f t="shared" si="109"/>
        <v>0</v>
      </c>
    </row>
    <row r="245" spans="1:31" x14ac:dyDescent="0.2">
      <c r="A245" s="347">
        <v>14791</v>
      </c>
      <c r="B245" s="364">
        <f t="shared" si="103"/>
        <v>14.791</v>
      </c>
      <c r="C245" s="337">
        <f t="shared" si="84"/>
        <v>1.0672642757395827</v>
      </c>
      <c r="D245" s="338">
        <f t="shared" si="85"/>
        <v>0.35692668502306879</v>
      </c>
      <c r="E245" s="338">
        <f t="shared" si="86"/>
        <v>1.0000003815754619</v>
      </c>
      <c r="F245" s="339">
        <f t="shared" si="87"/>
        <v>8.7358495923390005E-4</v>
      </c>
      <c r="G245" s="338">
        <f t="shared" si="88"/>
        <v>1</v>
      </c>
      <c r="H245" s="339">
        <f t="shared" si="89"/>
        <v>0</v>
      </c>
      <c r="I245" s="337">
        <f t="shared" si="90"/>
        <v>107063.11107971097</v>
      </c>
      <c r="J245" s="340">
        <f t="shared" si="91"/>
        <v>1.5707869865096207</v>
      </c>
      <c r="K245" s="348">
        <f t="shared" si="107"/>
        <v>2.6546042476631428</v>
      </c>
      <c r="L245" s="349">
        <f t="shared" si="108"/>
        <v>1.1845607445235229</v>
      </c>
      <c r="M245" s="337">
        <f t="shared" si="92"/>
        <v>1.0001055708041116</v>
      </c>
      <c r="N245" s="340">
        <f t="shared" si="93"/>
        <v>1.4530073453767613E-2</v>
      </c>
      <c r="O245" s="341">
        <f t="shared" si="94"/>
        <v>1.0004151423312166</v>
      </c>
      <c r="P245" s="342">
        <f t="shared" si="95"/>
        <v>3.5025265090422017E-2</v>
      </c>
      <c r="Q245" s="343">
        <f t="shared" si="96"/>
        <v>3.6507641620204021</v>
      </c>
      <c r="R245" s="344">
        <f t="shared" si="97"/>
        <v>-45.368785321974194</v>
      </c>
      <c r="S245" s="346">
        <f t="shared" si="98"/>
        <v>134.6312146780258</v>
      </c>
      <c r="U245" s="319">
        <f t="shared" si="104"/>
        <v>1000000000</v>
      </c>
      <c r="V245" s="319">
        <f t="shared" si="105"/>
        <v>218773681</v>
      </c>
      <c r="X245" s="345">
        <f t="shared" si="99"/>
        <v>5.5935059898071806</v>
      </c>
      <c r="Y245" s="346">
        <f t="shared" si="100"/>
        <v>-22.961645514155304</v>
      </c>
      <c r="AA245" s="345">
        <f t="shared" si="101"/>
        <v>34.890008330308234</v>
      </c>
      <c r="AB245" s="346">
        <f t="shared" si="102"/>
        <v>-22.40713980781889</v>
      </c>
      <c r="AD245">
        <f t="shared" si="106"/>
        <v>0</v>
      </c>
      <c r="AE245">
        <f t="shared" si="109"/>
        <v>0</v>
      </c>
    </row>
    <row r="246" spans="1:31" x14ac:dyDescent="0.2">
      <c r="A246" s="347">
        <v>14877.25</v>
      </c>
      <c r="B246" s="364">
        <f t="shared" si="103"/>
        <v>14.87725</v>
      </c>
      <c r="C246" s="337">
        <f t="shared" si="84"/>
        <v>1.0680259679493285</v>
      </c>
      <c r="D246" s="338">
        <f t="shared" si="85"/>
        <v>0.35883433319284114</v>
      </c>
      <c r="E246" s="338">
        <f t="shared" si="86"/>
        <v>1.0000003860385587</v>
      </c>
      <c r="F246" s="339">
        <f t="shared" si="87"/>
        <v>8.7867904780560252E-4</v>
      </c>
      <c r="G246" s="338">
        <f t="shared" si="88"/>
        <v>1</v>
      </c>
      <c r="H246" s="339">
        <f t="shared" si="89"/>
        <v>0</v>
      </c>
      <c r="I246" s="337">
        <f t="shared" si="90"/>
        <v>107687.4227104203</v>
      </c>
      <c r="J246" s="340">
        <f t="shared" si="91"/>
        <v>1.5707870406593867</v>
      </c>
      <c r="K246" s="348">
        <f t="shared" si="107"/>
        <v>2.6678927190776283</v>
      </c>
      <c r="L246" s="349">
        <f t="shared" si="108"/>
        <v>1.1865854458220777</v>
      </c>
      <c r="M246" s="337">
        <f t="shared" si="92"/>
        <v>1.0001068055471845</v>
      </c>
      <c r="N246" s="340">
        <f t="shared" si="93"/>
        <v>1.4614789896767058E-2</v>
      </c>
      <c r="O246" s="341">
        <f t="shared" si="94"/>
        <v>1.0004199972574885</v>
      </c>
      <c r="P246" s="342">
        <f t="shared" si="95"/>
        <v>3.5229419379782551E-2</v>
      </c>
      <c r="Q246" s="343">
        <f t="shared" si="96"/>
        <v>3.6373835905570107</v>
      </c>
      <c r="R246" s="344">
        <f t="shared" si="97"/>
        <v>-45.378340978293579</v>
      </c>
      <c r="S246" s="346">
        <f t="shared" si="98"/>
        <v>134.62165902170642</v>
      </c>
      <c r="U246" s="319">
        <f t="shared" si="104"/>
        <v>1000000000</v>
      </c>
      <c r="V246" s="319">
        <f t="shared" si="105"/>
        <v>221332567.5625</v>
      </c>
      <c r="X246" s="345">
        <f t="shared" si="99"/>
        <v>5.5863643233329228</v>
      </c>
      <c r="Y246" s="346">
        <f t="shared" si="100"/>
        <v>-22.850495672038726</v>
      </c>
      <c r="AA246" s="345">
        <f t="shared" si="101"/>
        <v>34.883769425319095</v>
      </c>
      <c r="AB246" s="346">
        <f t="shared" si="102"/>
        <v>-22.527845306254857</v>
      </c>
      <c r="AD246">
        <f t="shared" si="106"/>
        <v>0</v>
      </c>
      <c r="AE246">
        <f t="shared" si="109"/>
        <v>0</v>
      </c>
    </row>
    <row r="247" spans="1:31" x14ac:dyDescent="0.2">
      <c r="A247" s="347">
        <v>14963.5</v>
      </c>
      <c r="B247" s="364">
        <f t="shared" si="103"/>
        <v>14.9635</v>
      </c>
      <c r="C247" s="337">
        <f t="shared" si="84"/>
        <v>1.0687915412873255</v>
      </c>
      <c r="D247" s="338">
        <f t="shared" si="85"/>
        <v>0.3607392553971272</v>
      </c>
      <c r="E247" s="338">
        <f t="shared" si="86"/>
        <v>1.0000003905276054</v>
      </c>
      <c r="F247" s="339">
        <f t="shared" si="87"/>
        <v>8.8377313633170203E-4</v>
      </c>
      <c r="G247" s="338">
        <f t="shared" si="88"/>
        <v>1</v>
      </c>
      <c r="H247" s="339">
        <f t="shared" si="89"/>
        <v>0</v>
      </c>
      <c r="I247" s="337">
        <f t="shared" si="90"/>
        <v>108311.73434112995</v>
      </c>
      <c r="J247" s="340">
        <f t="shared" si="91"/>
        <v>1.5707870941849111</v>
      </c>
      <c r="K247" s="348">
        <f t="shared" si="107"/>
        <v>2.6811920188569589</v>
      </c>
      <c r="L247" s="349">
        <f t="shared" si="108"/>
        <v>1.18859006934666</v>
      </c>
      <c r="M247" s="337">
        <f t="shared" si="92"/>
        <v>1.0001080474678818</v>
      </c>
      <c r="N247" s="340">
        <f t="shared" si="93"/>
        <v>1.4699506129975027E-2</v>
      </c>
      <c r="O247" s="341">
        <f t="shared" si="94"/>
        <v>1.0004248803934068</v>
      </c>
      <c r="P247" s="342">
        <f t="shared" si="95"/>
        <v>3.5433572157037463E-2</v>
      </c>
      <c r="Q247" s="343">
        <f t="shared" si="96"/>
        <v>3.6240871156854286</v>
      </c>
      <c r="R247" s="344">
        <f t="shared" si="97"/>
        <v>-45.388890685586055</v>
      </c>
      <c r="S247" s="346">
        <f t="shared" si="98"/>
        <v>134.61110931441394</v>
      </c>
      <c r="U247" s="319">
        <f t="shared" si="104"/>
        <v>1000000000</v>
      </c>
      <c r="V247" s="319">
        <f t="shared" si="105"/>
        <v>223906332.25</v>
      </c>
      <c r="X247" s="345">
        <f t="shared" si="99"/>
        <v>5.5793341214397563</v>
      </c>
      <c r="Y247" s="346">
        <f t="shared" si="100"/>
        <v>-22.740496153847541</v>
      </c>
      <c r="AA247" s="345">
        <f t="shared" si="101"/>
        <v>34.87750315234068</v>
      </c>
      <c r="AB247" s="346">
        <f t="shared" si="102"/>
        <v>-22.648394531738518</v>
      </c>
      <c r="AD247">
        <f t="shared" si="106"/>
        <v>0</v>
      </c>
      <c r="AE247">
        <f t="shared" si="109"/>
        <v>0</v>
      </c>
    </row>
    <row r="248" spans="1:31" x14ac:dyDescent="0.2">
      <c r="A248" s="347">
        <v>15049.75</v>
      </c>
      <c r="B248" s="364">
        <f t="shared" si="103"/>
        <v>15.04975</v>
      </c>
      <c r="C248" s="337">
        <f t="shared" si="84"/>
        <v>1.0695609874194387</v>
      </c>
      <c r="D248" s="338">
        <f t="shared" si="85"/>
        <v>0.36264144367951801</v>
      </c>
      <c r="E248" s="338">
        <f t="shared" si="86"/>
        <v>1.0000003950426017</v>
      </c>
      <c r="F248" s="339">
        <f t="shared" si="87"/>
        <v>8.8886722481193415E-4</v>
      </c>
      <c r="G248" s="338">
        <f t="shared" si="88"/>
        <v>1</v>
      </c>
      <c r="H248" s="339">
        <f t="shared" si="89"/>
        <v>0</v>
      </c>
      <c r="I248" s="337">
        <f t="shared" si="90"/>
        <v>108936.04597183991</v>
      </c>
      <c r="J248" s="340">
        <f t="shared" si="91"/>
        <v>1.570787147096927</v>
      </c>
      <c r="K248" s="348">
        <f t="shared" si="107"/>
        <v>2.6945019866639006</v>
      </c>
      <c r="L248" s="349">
        <f t="shared" si="108"/>
        <v>1.1905748963988567</v>
      </c>
      <c r="M248" s="337">
        <f t="shared" si="92"/>
        <v>1.0001092965661769</v>
      </c>
      <c r="N248" s="340">
        <f t="shared" si="93"/>
        <v>1.4784222152176311E-2</v>
      </c>
      <c r="O248" s="341">
        <f t="shared" si="94"/>
        <v>1.0004297917386522</v>
      </c>
      <c r="P248" s="342">
        <f t="shared" si="95"/>
        <v>3.5637723413447848E-2</v>
      </c>
      <c r="Q248" s="343">
        <f t="shared" si="96"/>
        <v>3.6108726051689293</v>
      </c>
      <c r="R248" s="344">
        <f t="shared" si="97"/>
        <v>-45.400417870633895</v>
      </c>
      <c r="S248" s="346">
        <f t="shared" si="98"/>
        <v>134.5995821293661</v>
      </c>
      <c r="U248" s="319">
        <f t="shared" si="104"/>
        <v>1000000000</v>
      </c>
      <c r="V248" s="319">
        <f t="shared" si="105"/>
        <v>226494975.0625</v>
      </c>
      <c r="X248" s="345">
        <f t="shared" si="99"/>
        <v>5.57241312276728</v>
      </c>
      <c r="Y248" s="346">
        <f t="shared" si="100"/>
        <v>-22.631630842733347</v>
      </c>
      <c r="AA248" s="345">
        <f t="shared" si="101"/>
        <v>34.871209640496659</v>
      </c>
      <c r="AB248" s="346">
        <f t="shared" si="102"/>
        <v>-22.768787027900547</v>
      </c>
      <c r="AD248">
        <f t="shared" si="106"/>
        <v>0</v>
      </c>
      <c r="AE248">
        <f t="shared" si="109"/>
        <v>0</v>
      </c>
    </row>
    <row r="249" spans="1:31" x14ac:dyDescent="0.2">
      <c r="A249" s="347">
        <v>15136</v>
      </c>
      <c r="B249" s="364">
        <f t="shared" si="103"/>
        <v>15.135999999999999</v>
      </c>
      <c r="C249" s="337">
        <f t="shared" si="84"/>
        <v>1.0703342979934003</v>
      </c>
      <c r="D249" s="338">
        <f t="shared" si="85"/>
        <v>0.36454089018556257</v>
      </c>
      <c r="E249" s="338">
        <f t="shared" si="86"/>
        <v>1.0000003995835478</v>
      </c>
      <c r="F249" s="339">
        <f t="shared" si="87"/>
        <v>8.9396131324603445E-4</v>
      </c>
      <c r="G249" s="338">
        <f t="shared" si="88"/>
        <v>1</v>
      </c>
      <c r="H249" s="339">
        <f t="shared" si="89"/>
        <v>0</v>
      </c>
      <c r="I249" s="337">
        <f t="shared" si="90"/>
        <v>109560.35760255015</v>
      </c>
      <c r="J249" s="340">
        <f t="shared" si="91"/>
        <v>1.5707871994059222</v>
      </c>
      <c r="K249" s="348">
        <f t="shared" si="107"/>
        <v>2.7078224651863301</v>
      </c>
      <c r="L249" s="349">
        <f t="shared" si="108"/>
        <v>1.1925402033756582</v>
      </c>
      <c r="M249" s="337">
        <f t="shared" si="92"/>
        <v>1.0001105528420429</v>
      </c>
      <c r="N249" s="340">
        <f t="shared" si="93"/>
        <v>1.4868937962155724E-2</v>
      </c>
      <c r="O249" s="341">
        <f t="shared" si="94"/>
        <v>1.0004347312929045</v>
      </c>
      <c r="P249" s="342">
        <f t="shared" si="95"/>
        <v>3.5841873140275315E-2</v>
      </c>
      <c r="Q249" s="343">
        <f t="shared" si="96"/>
        <v>3.5977379826314437</v>
      </c>
      <c r="R249" s="344">
        <f t="shared" si="97"/>
        <v>-45.412906247059766</v>
      </c>
      <c r="S249" s="346">
        <f t="shared" si="98"/>
        <v>134.58709375294023</v>
      </c>
      <c r="U249" s="319">
        <f t="shared" si="104"/>
        <v>1000000000</v>
      </c>
      <c r="V249" s="319">
        <f t="shared" si="105"/>
        <v>229098496</v>
      </c>
      <c r="X249" s="345">
        <f t="shared" si="99"/>
        <v>5.5655991217018812</v>
      </c>
      <c r="Y249" s="346">
        <f t="shared" si="100"/>
        <v>-22.523883902846393</v>
      </c>
      <c r="AA249" s="345">
        <f t="shared" si="101"/>
        <v>34.864889019024574</v>
      </c>
      <c r="AB249" s="346">
        <f t="shared" si="102"/>
        <v>-22.88902234421338</v>
      </c>
      <c r="AD249">
        <f t="shared" si="106"/>
        <v>0</v>
      </c>
      <c r="AE249">
        <f t="shared" si="109"/>
        <v>0</v>
      </c>
    </row>
    <row r="250" spans="1:31" x14ac:dyDescent="0.2">
      <c r="A250" s="347">
        <v>15224</v>
      </c>
      <c r="B250" s="364">
        <f t="shared" si="103"/>
        <v>15.224</v>
      </c>
      <c r="C250" s="337">
        <f t="shared" si="84"/>
        <v>1.0711272730926482</v>
      </c>
      <c r="D250" s="338">
        <f t="shared" si="85"/>
        <v>0.36647604235611303</v>
      </c>
      <c r="E250" s="338">
        <f t="shared" si="86"/>
        <v>1.0000004042433741</v>
      </c>
      <c r="F250" s="339">
        <f t="shared" si="87"/>
        <v>8.9915875994836937E-4</v>
      </c>
      <c r="G250" s="338">
        <f t="shared" si="88"/>
        <v>1</v>
      </c>
      <c r="H250" s="339">
        <f t="shared" si="89"/>
        <v>0</v>
      </c>
      <c r="I250" s="337">
        <f t="shared" si="90"/>
        <v>110197.33642576789</v>
      </c>
      <c r="J250" s="340">
        <f t="shared" si="91"/>
        <v>1.5707872521653961</v>
      </c>
      <c r="K250" s="348">
        <f t="shared" si="107"/>
        <v>2.7214238869127709</v>
      </c>
      <c r="L250" s="349">
        <f t="shared" si="108"/>
        <v>1.194525549743823</v>
      </c>
      <c r="M250" s="337">
        <f t="shared" si="92"/>
        <v>1.0001118420050321</v>
      </c>
      <c r="N250" s="340">
        <f t="shared" si="93"/>
        <v>1.495537242365661E-2</v>
      </c>
      <c r="O250" s="341">
        <f t="shared" si="94"/>
        <v>1.000439800143011</v>
      </c>
      <c r="P250" s="342">
        <f t="shared" si="95"/>
        <v>3.6050163449956332E-2</v>
      </c>
      <c r="Q250" s="343">
        <f t="shared" si="96"/>
        <v>3.5844170984003787</v>
      </c>
      <c r="R250" s="344">
        <f t="shared" si="97"/>
        <v>-45.426622048037686</v>
      </c>
      <c r="S250" s="346">
        <f t="shared" si="98"/>
        <v>134.5733779519623</v>
      </c>
      <c r="U250" s="319">
        <f t="shared" si="104"/>
        <v>1000000000</v>
      </c>
      <c r="V250" s="319">
        <f t="shared" si="105"/>
        <v>231770176</v>
      </c>
      <c r="X250" s="345">
        <f t="shared" si="99"/>
        <v>5.5587549095107702</v>
      </c>
      <c r="Y250" s="346">
        <f t="shared" si="100"/>
        <v>-22.415087287698277</v>
      </c>
      <c r="AA250" s="345">
        <f t="shared" si="101"/>
        <v>34.858412346984615</v>
      </c>
      <c r="AB250" s="346">
        <f t="shared" si="102"/>
        <v>-23.011534760339398</v>
      </c>
      <c r="AD250">
        <f t="shared" si="106"/>
        <v>0</v>
      </c>
      <c r="AE250">
        <f t="shared" si="109"/>
        <v>0</v>
      </c>
    </row>
    <row r="251" spans="1:31" x14ac:dyDescent="0.2">
      <c r="A251" s="347">
        <v>15312</v>
      </c>
      <c r="B251" s="364">
        <f t="shared" si="103"/>
        <v>15.311999999999999</v>
      </c>
      <c r="C251" s="337">
        <f t="shared" si="84"/>
        <v>1.0719242534207944</v>
      </c>
      <c r="D251" s="338">
        <f t="shared" si="85"/>
        <v>0.36840832416570407</v>
      </c>
      <c r="E251" s="338">
        <f t="shared" si="86"/>
        <v>1.0000004089302135</v>
      </c>
      <c r="F251" s="339">
        <f t="shared" si="87"/>
        <v>9.0435620660212564E-4</v>
      </c>
      <c r="G251" s="338">
        <f t="shared" si="88"/>
        <v>1</v>
      </c>
      <c r="H251" s="339">
        <f t="shared" si="89"/>
        <v>0</v>
      </c>
      <c r="I251" s="337">
        <f t="shared" si="90"/>
        <v>110834.31524898593</v>
      </c>
      <c r="J251" s="340">
        <f t="shared" si="91"/>
        <v>1.570787304318439</v>
      </c>
      <c r="K251" s="348">
        <f t="shared" si="107"/>
        <v>2.7350359286905372</v>
      </c>
      <c r="L251" s="349">
        <f t="shared" si="108"/>
        <v>1.196491141994575</v>
      </c>
      <c r="M251" s="337">
        <f t="shared" si="92"/>
        <v>1.0001131386397537</v>
      </c>
      <c r="N251" s="340">
        <f t="shared" si="93"/>
        <v>1.5041806661680746E-2</v>
      </c>
      <c r="O251" s="341">
        <f t="shared" si="94"/>
        <v>1.0004448983577712</v>
      </c>
      <c r="P251" s="342">
        <f t="shared" si="95"/>
        <v>3.6258452148978437E-2</v>
      </c>
      <c r="Q251" s="343">
        <f t="shared" si="96"/>
        <v>3.5711751808261907</v>
      </c>
      <c r="R251" s="344">
        <f t="shared" si="97"/>
        <v>-45.441305077172395</v>
      </c>
      <c r="S251" s="346">
        <f t="shared" si="98"/>
        <v>134.55869492282761</v>
      </c>
      <c r="U251" s="319">
        <f t="shared" si="104"/>
        <v>1000000000</v>
      </c>
      <c r="V251" s="319">
        <f t="shared" si="105"/>
        <v>234457344</v>
      </c>
      <c r="X251" s="345">
        <f t="shared" si="99"/>
        <v>5.5520176127337963</v>
      </c>
      <c r="Y251" s="346">
        <f t="shared" si="100"/>
        <v>-22.307422452556999</v>
      </c>
      <c r="AA251" s="345">
        <f t="shared" si="101"/>
        <v>34.851907726187406</v>
      </c>
      <c r="AB251" s="346">
        <f t="shared" si="102"/>
        <v>-23.133882624615403</v>
      </c>
      <c r="AD251">
        <f t="shared" si="106"/>
        <v>0</v>
      </c>
      <c r="AE251">
        <f t="shared" si="109"/>
        <v>0</v>
      </c>
    </row>
    <row r="252" spans="1:31" x14ac:dyDescent="0.2">
      <c r="A252" s="347">
        <v>15400</v>
      </c>
      <c r="B252" s="364">
        <f t="shared" si="103"/>
        <v>15.4</v>
      </c>
      <c r="C252" s="337">
        <f t="shared" si="84"/>
        <v>1.0727252300507946</v>
      </c>
      <c r="D252" s="338">
        <f t="shared" si="85"/>
        <v>0.37033772759888461</v>
      </c>
      <c r="E252" s="338">
        <f t="shared" si="86"/>
        <v>1.0000004136440666</v>
      </c>
      <c r="F252" s="339">
        <f t="shared" si="87"/>
        <v>9.0955365320702223E-4</v>
      </c>
      <c r="G252" s="338">
        <f t="shared" si="88"/>
        <v>1</v>
      </c>
      <c r="H252" s="339">
        <f t="shared" si="89"/>
        <v>0</v>
      </c>
      <c r="I252" s="337">
        <f t="shared" si="90"/>
        <v>111471.29407220427</v>
      </c>
      <c r="J252" s="340">
        <f t="shared" si="91"/>
        <v>1.5707873558754475</v>
      </c>
      <c r="K252" s="348">
        <f t="shared" si="107"/>
        <v>2.7486584327402075</v>
      </c>
      <c r="L252" s="349">
        <f t="shared" si="108"/>
        <v>1.1984372585332801</v>
      </c>
      <c r="M252" s="337">
        <f t="shared" si="92"/>
        <v>1.0001144427461788</v>
      </c>
      <c r="N252" s="340">
        <f t="shared" si="93"/>
        <v>1.5128240674937524E-2</v>
      </c>
      <c r="O252" s="341">
        <f t="shared" si="94"/>
        <v>1.0004500259368385</v>
      </c>
      <c r="P252" s="342">
        <f t="shared" si="95"/>
        <v>3.6466739228062019E-2</v>
      </c>
      <c r="Q252" s="343">
        <f t="shared" si="96"/>
        <v>3.5580101941287912</v>
      </c>
      <c r="R252" s="344">
        <f t="shared" si="97"/>
        <v>-45.456938923750023</v>
      </c>
      <c r="S252" s="346">
        <f t="shared" si="98"/>
        <v>134.54306107624998</v>
      </c>
      <c r="U252" s="319">
        <f t="shared" si="104"/>
        <v>1000000000</v>
      </c>
      <c r="V252" s="319">
        <f t="shared" si="105"/>
        <v>237160000</v>
      </c>
      <c r="X252" s="345">
        <f t="shared" si="99"/>
        <v>5.5453850580050377</v>
      </c>
      <c r="Y252" s="346">
        <f t="shared" si="100"/>
        <v>-22.200873446491826</v>
      </c>
      <c r="AA252" s="345">
        <f t="shared" si="101"/>
        <v>34.845375294218762</v>
      </c>
      <c r="AB252" s="346">
        <f t="shared" si="102"/>
        <v>-23.256065477258208</v>
      </c>
      <c r="AD252">
        <f t="shared" si="106"/>
        <v>0</v>
      </c>
      <c r="AE252">
        <f t="shared" si="109"/>
        <v>0</v>
      </c>
    </row>
    <row r="253" spans="1:31" x14ac:dyDescent="0.2">
      <c r="A253" s="347">
        <v>15488</v>
      </c>
      <c r="B253" s="364">
        <f t="shared" si="103"/>
        <v>15.488</v>
      </c>
      <c r="C253" s="337">
        <f t="shared" si="84"/>
        <v>1.0735301940375499</v>
      </c>
      <c r="D253" s="338">
        <f t="shared" si="85"/>
        <v>0.37226424474978559</v>
      </c>
      <c r="E253" s="338">
        <f t="shared" si="86"/>
        <v>1.0000004183849331</v>
      </c>
      <c r="F253" s="339">
        <f t="shared" si="87"/>
        <v>9.1475109976277844E-4</v>
      </c>
      <c r="G253" s="338">
        <f t="shared" si="88"/>
        <v>1</v>
      </c>
      <c r="H253" s="339">
        <f t="shared" si="89"/>
        <v>0</v>
      </c>
      <c r="I253" s="337">
        <f t="shared" si="90"/>
        <v>112108.27289542288</v>
      </c>
      <c r="J253" s="340">
        <f t="shared" si="91"/>
        <v>1.5707874068465808</v>
      </c>
      <c r="K253" s="348">
        <f t="shared" si="107"/>
        <v>2.7622912442746972</v>
      </c>
      <c r="L253" s="349">
        <f t="shared" si="108"/>
        <v>1.2003641728656607</v>
      </c>
      <c r="M253" s="337">
        <f t="shared" si="92"/>
        <v>1.000115754324278</v>
      </c>
      <c r="N253" s="340">
        <f t="shared" si="93"/>
        <v>1.521467446213636E-2</v>
      </c>
      <c r="O253" s="341">
        <f t="shared" si="94"/>
        <v>1.0004551828798651</v>
      </c>
      <c r="P253" s="342">
        <f t="shared" si="95"/>
        <v>3.6675024677927971E-2</v>
      </c>
      <c r="Q253" s="343">
        <f t="shared" si="96"/>
        <v>3.5449201563480703</v>
      </c>
      <c r="R253" s="344">
        <f t="shared" si="97"/>
        <v>-45.473507464050535</v>
      </c>
      <c r="S253" s="346">
        <f t="shared" si="98"/>
        <v>134.52649253594947</v>
      </c>
      <c r="U253" s="319">
        <f t="shared" si="104"/>
        <v>1000000000</v>
      </c>
      <c r="V253" s="319">
        <f t="shared" si="105"/>
        <v>239878144</v>
      </c>
      <c r="X253" s="345">
        <f t="shared" si="99"/>
        <v>5.5388551256857301</v>
      </c>
      <c r="Y253" s="346">
        <f t="shared" si="100"/>
        <v>-22.095424599287298</v>
      </c>
      <c r="AA253" s="345">
        <f t="shared" si="101"/>
        <v>34.838815188757351</v>
      </c>
      <c r="AB253" s="346">
        <f t="shared" si="102"/>
        <v>-23.378082864763236</v>
      </c>
      <c r="AD253">
        <f t="shared" si="106"/>
        <v>0</v>
      </c>
      <c r="AE253">
        <f t="shared" si="109"/>
        <v>0</v>
      </c>
    </row>
    <row r="254" spans="1:31" x14ac:dyDescent="0.2">
      <c r="A254" s="347">
        <v>15578.25</v>
      </c>
      <c r="B254" s="364">
        <f t="shared" si="103"/>
        <v>15.578250000000001</v>
      </c>
      <c r="C254" s="337">
        <f t="shared" si="84"/>
        <v>1.0743598716852747</v>
      </c>
      <c r="D254" s="338">
        <f t="shared" si="85"/>
        <v>0.37423701335389858</v>
      </c>
      <c r="E254" s="338">
        <f t="shared" si="86"/>
        <v>1.0000004232750734</v>
      </c>
      <c r="F254" s="339">
        <f t="shared" si="87"/>
        <v>9.2008143552572736E-4</v>
      </c>
      <c r="G254" s="338">
        <f t="shared" si="88"/>
        <v>1</v>
      </c>
      <c r="H254" s="339">
        <f t="shared" si="89"/>
        <v>0</v>
      </c>
      <c r="I254" s="337">
        <f t="shared" si="90"/>
        <v>112761.53810900818</v>
      </c>
      <c r="J254" s="340">
        <f t="shared" si="91"/>
        <v>1.5707874585228174</v>
      </c>
      <c r="K254" s="348">
        <f t="shared" si="107"/>
        <v>2.7762831691212417</v>
      </c>
      <c r="L254" s="349">
        <f t="shared" si="108"/>
        <v>1.2023206914086635</v>
      </c>
      <c r="M254" s="337">
        <f t="shared" si="92"/>
        <v>1.0001171071976855</v>
      </c>
      <c r="N254" s="340">
        <f t="shared" si="93"/>
        <v>1.5303317967967949E-2</v>
      </c>
      <c r="O254" s="341">
        <f t="shared" si="94"/>
        <v>1.0004605021759134</v>
      </c>
      <c r="P254" s="342">
        <f t="shared" si="95"/>
        <v>3.6888633906092219E-2</v>
      </c>
      <c r="Q254" s="343">
        <f t="shared" si="96"/>
        <v>3.531571256898359</v>
      </c>
      <c r="R254" s="344">
        <f t="shared" si="97"/>
        <v>-45.491453885081398</v>
      </c>
      <c r="S254" s="346">
        <f t="shared" si="98"/>
        <v>134.5085461149186</v>
      </c>
      <c r="U254" s="319">
        <f t="shared" si="104"/>
        <v>1000000000</v>
      </c>
      <c r="V254" s="319">
        <f t="shared" si="105"/>
        <v>242681873.0625</v>
      </c>
      <c r="X254" s="345">
        <f t="shared" si="99"/>
        <v>5.5322626612337178</v>
      </c>
      <c r="Y254" s="346">
        <f t="shared" si="100"/>
        <v>-21.98840620370752</v>
      </c>
      <c r="AA254" s="345">
        <f t="shared" si="101"/>
        <v>34.832058753759647</v>
      </c>
      <c r="AB254" s="346">
        <f t="shared" si="102"/>
        <v>-23.503047681373872</v>
      </c>
      <c r="AD254">
        <f t="shared" si="106"/>
        <v>0</v>
      </c>
      <c r="AE254">
        <f t="shared" si="109"/>
        <v>0</v>
      </c>
    </row>
    <row r="255" spans="1:31" x14ac:dyDescent="0.2">
      <c r="A255" s="347">
        <v>15668.5</v>
      </c>
      <c r="B255" s="364">
        <f t="shared" si="103"/>
        <v>15.6685</v>
      </c>
      <c r="C255" s="337">
        <f t="shared" si="84"/>
        <v>1.0751937240815195</v>
      </c>
      <c r="D255" s="338">
        <f t="shared" si="85"/>
        <v>0.37620672970424868</v>
      </c>
      <c r="E255" s="338">
        <f t="shared" si="86"/>
        <v>1.0000004281936259</v>
      </c>
      <c r="F255" s="339">
        <f t="shared" si="87"/>
        <v>9.2541177123639257E-4</v>
      </c>
      <c r="G255" s="338">
        <f t="shared" si="88"/>
        <v>1</v>
      </c>
      <c r="H255" s="339">
        <f t="shared" si="89"/>
        <v>0</v>
      </c>
      <c r="I255" s="337">
        <f t="shared" si="90"/>
        <v>113414.80332259378</v>
      </c>
      <c r="J255" s="340">
        <f t="shared" si="91"/>
        <v>1.5707875096037478</v>
      </c>
      <c r="K255" s="348">
        <f t="shared" si="107"/>
        <v>2.7902856148748376</v>
      </c>
      <c r="L255" s="349">
        <f t="shared" si="108"/>
        <v>1.204257580572607</v>
      </c>
      <c r="M255" s="337">
        <f t="shared" si="92"/>
        <v>1.0001184679296631</v>
      </c>
      <c r="N255" s="340">
        <f t="shared" si="93"/>
        <v>1.5391961233284537E-2</v>
      </c>
      <c r="O255" s="341">
        <f t="shared" si="94"/>
        <v>1.0004658523559349</v>
      </c>
      <c r="P255" s="342">
        <f t="shared" si="95"/>
        <v>3.7102241400894347E-2</v>
      </c>
      <c r="Q255" s="343">
        <f t="shared" si="96"/>
        <v>3.5182971324605852</v>
      </c>
      <c r="R255" s="344">
        <f t="shared" si="97"/>
        <v>-45.5103499582289</v>
      </c>
      <c r="S255" s="346">
        <f t="shared" si="98"/>
        <v>134.48965004177109</v>
      </c>
      <c r="U255" s="319">
        <f t="shared" si="104"/>
        <v>1000000000</v>
      </c>
      <c r="V255" s="319">
        <f t="shared" si="105"/>
        <v>245501892.25</v>
      </c>
      <c r="X255" s="345">
        <f t="shared" si="99"/>
        <v>5.5257737849120012</v>
      </c>
      <c r="Y255" s="346">
        <f t="shared" si="100"/>
        <v>-21.882512440814544</v>
      </c>
      <c r="AA255" s="345">
        <f t="shared" si="101"/>
        <v>34.825273505643594</v>
      </c>
      <c r="AB255" s="346">
        <f t="shared" si="102"/>
        <v>-23.627837517414356</v>
      </c>
      <c r="AD255">
        <f t="shared" si="106"/>
        <v>0</v>
      </c>
      <c r="AE255">
        <f t="shared" si="109"/>
        <v>0</v>
      </c>
    </row>
    <row r="256" spans="1:31" x14ac:dyDescent="0.2">
      <c r="A256" s="347">
        <v>15758.75</v>
      </c>
      <c r="B256" s="364">
        <f t="shared" si="103"/>
        <v>15.758749999999999</v>
      </c>
      <c r="C256" s="337">
        <f t="shared" si="84"/>
        <v>1.0760317415208345</v>
      </c>
      <c r="D256" s="338">
        <f t="shared" si="85"/>
        <v>0.37817338563038194</v>
      </c>
      <c r="E256" s="338">
        <f t="shared" si="86"/>
        <v>1.0000004331405912</v>
      </c>
      <c r="F256" s="339">
        <f t="shared" si="87"/>
        <v>9.3074210689447138E-4</v>
      </c>
      <c r="G256" s="338">
        <f t="shared" si="88"/>
        <v>1</v>
      </c>
      <c r="H256" s="339">
        <f t="shared" si="89"/>
        <v>0</v>
      </c>
      <c r="I256" s="337">
        <f t="shared" si="90"/>
        <v>114068.06853617968</v>
      </c>
      <c r="J256" s="340">
        <f t="shared" si="91"/>
        <v>1.5707875600995993</v>
      </c>
      <c r="K256" s="348">
        <f t="shared" si="107"/>
        <v>2.8042984239362529</v>
      </c>
      <c r="L256" s="349">
        <f t="shared" si="108"/>
        <v>1.2061751199733957</v>
      </c>
      <c r="M256" s="337">
        <f t="shared" si="92"/>
        <v>1.0001198365201789</v>
      </c>
      <c r="N256" s="340">
        <f t="shared" si="93"/>
        <v>1.5480604256694053E-2</v>
      </c>
      <c r="O256" s="341">
        <f t="shared" si="94"/>
        <v>1.0004712334195474</v>
      </c>
      <c r="P256" s="342">
        <f t="shared" si="95"/>
        <v>3.73158471523269E-2</v>
      </c>
      <c r="Q256" s="343">
        <f t="shared" si="96"/>
        <v>3.5050958114177924</v>
      </c>
      <c r="R256" s="344">
        <f t="shared" si="97"/>
        <v>-45.53017919448218</v>
      </c>
      <c r="S256" s="346">
        <f t="shared" si="98"/>
        <v>134.46982080551783</v>
      </c>
      <c r="U256" s="319">
        <f t="shared" si="104"/>
        <v>1000000000</v>
      </c>
      <c r="V256" s="319">
        <f t="shared" si="105"/>
        <v>248338201.5625</v>
      </c>
      <c r="X256" s="345">
        <f t="shared" si="99"/>
        <v>5.519386376337998</v>
      </c>
      <c r="Y256" s="346">
        <f t="shared" si="100"/>
        <v>-21.777727290303392</v>
      </c>
      <c r="AA256" s="345">
        <f t="shared" si="101"/>
        <v>34.818459593174808</v>
      </c>
      <c r="AB256" s="346">
        <f t="shared" si="102"/>
        <v>-23.752451904178784</v>
      </c>
      <c r="AD256">
        <f t="shared" si="106"/>
        <v>0</v>
      </c>
      <c r="AE256">
        <f t="shared" si="109"/>
        <v>0</v>
      </c>
    </row>
    <row r="257" spans="1:31" x14ac:dyDescent="0.2">
      <c r="A257" s="347">
        <v>15849</v>
      </c>
      <c r="B257" s="364">
        <f t="shared" si="103"/>
        <v>15.849</v>
      </c>
      <c r="C257" s="337">
        <f t="shared" si="84"/>
        <v>1.0768739142795785</v>
      </c>
      <c r="D257" s="338">
        <f t="shared" si="85"/>
        <v>0.38013697308190897</v>
      </c>
      <c r="E257" s="338">
        <f t="shared" si="86"/>
        <v>1.0000004381159688</v>
      </c>
      <c r="F257" s="339">
        <f t="shared" si="87"/>
        <v>9.3607244249966075E-4</v>
      </c>
      <c r="G257" s="338">
        <f t="shared" si="88"/>
        <v>1</v>
      </c>
      <c r="H257" s="339">
        <f t="shared" si="89"/>
        <v>0</v>
      </c>
      <c r="I257" s="337">
        <f t="shared" si="90"/>
        <v>114721.33374976586</v>
      </c>
      <c r="J257" s="340">
        <f t="shared" si="91"/>
        <v>1.5707876100203673</v>
      </c>
      <c r="K257" s="348">
        <f t="shared" si="107"/>
        <v>2.8183214417251254</v>
      </c>
      <c r="L257" s="349">
        <f t="shared" si="108"/>
        <v>1.2080735842372128</v>
      </c>
      <c r="M257" s="337">
        <f t="shared" si="92"/>
        <v>1.0001212129692001</v>
      </c>
      <c r="N257" s="340">
        <f t="shared" si="93"/>
        <v>1.5569247036804458E-2</v>
      </c>
      <c r="O257" s="341">
        <f t="shared" si="94"/>
        <v>1.0004766453663663</v>
      </c>
      <c r="P257" s="342">
        <f t="shared" si="95"/>
        <v>3.7529451150383031E-2</v>
      </c>
      <c r="Q257" s="343">
        <f t="shared" si="96"/>
        <v>3.4919653750440514</v>
      </c>
      <c r="R257" s="344">
        <f t="shared" si="97"/>
        <v>-45.550925397586234</v>
      </c>
      <c r="S257" s="346">
        <f t="shared" si="98"/>
        <v>134.44907460241376</v>
      </c>
      <c r="U257" s="319">
        <f t="shared" si="104"/>
        <v>1000000000</v>
      </c>
      <c r="V257" s="319">
        <f t="shared" si="105"/>
        <v>251190801</v>
      </c>
      <c r="X257" s="345">
        <f t="shared" si="99"/>
        <v>5.5130983679512067</v>
      </c>
      <c r="Y257" s="346">
        <f t="shared" si="100"/>
        <v>-21.67403501774573</v>
      </c>
      <c r="AA257" s="345">
        <f t="shared" si="101"/>
        <v>34.811617165187855</v>
      </c>
      <c r="AB257" s="346">
        <f t="shared" si="102"/>
        <v>-23.876890379840496</v>
      </c>
      <c r="AD257">
        <f t="shared" si="106"/>
        <v>0</v>
      </c>
      <c r="AE257">
        <f t="shared" si="109"/>
        <v>0</v>
      </c>
    </row>
    <row r="258" spans="1:31" x14ac:dyDescent="0.2">
      <c r="A258" s="347">
        <v>15941.25</v>
      </c>
      <c r="B258" s="364">
        <f t="shared" si="103"/>
        <v>15.94125</v>
      </c>
      <c r="C258" s="337">
        <f t="shared" si="84"/>
        <v>1.0777390344712066</v>
      </c>
      <c r="D258" s="338">
        <f t="shared" si="85"/>
        <v>0.38214089545350965</v>
      </c>
      <c r="E258" s="338">
        <f t="shared" si="86"/>
        <v>1.0000004432309679</v>
      </c>
      <c r="F258" s="339">
        <f t="shared" si="87"/>
        <v>9.4152090183059875E-4</v>
      </c>
      <c r="G258" s="338">
        <f t="shared" si="88"/>
        <v>1</v>
      </c>
      <c r="H258" s="339">
        <f t="shared" si="89"/>
        <v>0</v>
      </c>
      <c r="I258" s="337">
        <f t="shared" si="90"/>
        <v>115389.07575478916</v>
      </c>
      <c r="J258" s="340">
        <f t="shared" si="91"/>
        <v>1.5707876604632403</v>
      </c>
      <c r="K258" s="348">
        <f t="shared" si="107"/>
        <v>2.8326656116444235</v>
      </c>
      <c r="L258" s="349">
        <f t="shared" si="108"/>
        <v>1.209994686637575</v>
      </c>
      <c r="M258" s="337">
        <f t="shared" si="92"/>
        <v>1.000122628042873</v>
      </c>
      <c r="N258" s="340">
        <f t="shared" si="93"/>
        <v>1.5659853946957975E-2</v>
      </c>
      <c r="O258" s="341">
        <f t="shared" si="94"/>
        <v>1.0004822091625007</v>
      </c>
      <c r="P258" s="342">
        <f t="shared" si="95"/>
        <v>3.774778693253563E-2</v>
      </c>
      <c r="Q258" s="343">
        <f t="shared" si="96"/>
        <v>3.4786152739416649</v>
      </c>
      <c r="R258" s="344">
        <f t="shared" si="97"/>
        <v>-45.573062461242635</v>
      </c>
      <c r="S258" s="346">
        <f t="shared" si="98"/>
        <v>134.42693753875736</v>
      </c>
      <c r="U258" s="319">
        <f t="shared" si="104"/>
        <v>1000000000</v>
      </c>
      <c r="V258" s="319">
        <f t="shared" si="105"/>
        <v>254123451.5625</v>
      </c>
      <c r="X258" s="345">
        <f t="shared" si="99"/>
        <v>5.506771642975151</v>
      </c>
      <c r="Y258" s="346">
        <f t="shared" si="100"/>
        <v>-21.569158241782922</v>
      </c>
      <c r="AA258" s="345">
        <f t="shared" si="101"/>
        <v>34.804593789061528</v>
      </c>
      <c r="AB258" s="346">
        <f t="shared" si="102"/>
        <v>-24.003904219459717</v>
      </c>
      <c r="AD258">
        <f t="shared" si="106"/>
        <v>0</v>
      </c>
      <c r="AE258">
        <f t="shared" si="109"/>
        <v>0</v>
      </c>
    </row>
    <row r="259" spans="1:31" x14ac:dyDescent="0.2">
      <c r="A259" s="347">
        <v>16033.5</v>
      </c>
      <c r="B259" s="364">
        <f t="shared" si="103"/>
        <v>16.0335</v>
      </c>
      <c r="C259" s="337">
        <f t="shared" si="84"/>
        <v>1.0786084755920626</v>
      </c>
      <c r="D259" s="338">
        <f t="shared" si="85"/>
        <v>0.38414159521844699</v>
      </c>
      <c r="E259" s="338">
        <f t="shared" si="86"/>
        <v>1.0000004483756531</v>
      </c>
      <c r="F259" s="339">
        <f t="shared" si="87"/>
        <v>9.4696936110563723E-4</v>
      </c>
      <c r="G259" s="338">
        <f t="shared" si="88"/>
        <v>1</v>
      </c>
      <c r="H259" s="339">
        <f t="shared" si="89"/>
        <v>0</v>
      </c>
      <c r="I259" s="337">
        <f t="shared" si="90"/>
        <v>116056.81775981274</v>
      </c>
      <c r="J259" s="340">
        <f t="shared" si="91"/>
        <v>1.5707877103256593</v>
      </c>
      <c r="K259" s="348">
        <f t="shared" si="107"/>
        <v>2.8470201305302458</v>
      </c>
      <c r="L259" s="349">
        <f t="shared" si="108"/>
        <v>1.2118964238124643</v>
      </c>
      <c r="M259" s="337">
        <f t="shared" si="92"/>
        <v>1.0001240513271414</v>
      </c>
      <c r="N259" s="340">
        <f t="shared" si="93"/>
        <v>1.5750460599968544E-2</v>
      </c>
      <c r="O259" s="341">
        <f t="shared" si="94"/>
        <v>1.0004878052249739</v>
      </c>
      <c r="P259" s="342">
        <f t="shared" si="95"/>
        <v>3.7966120861598396E-2</v>
      </c>
      <c r="Q259" s="343">
        <f t="shared" si="96"/>
        <v>3.4653353426608504</v>
      </c>
      <c r="R259" s="344">
        <f t="shared" si="97"/>
        <v>-45.596124274666415</v>
      </c>
      <c r="S259" s="346">
        <f t="shared" si="98"/>
        <v>134.40387572533359</v>
      </c>
      <c r="U259" s="319">
        <f t="shared" si="104"/>
        <v>1000000000</v>
      </c>
      <c r="V259" s="319">
        <f t="shared" si="105"/>
        <v>257073122.25</v>
      </c>
      <c r="X259" s="345">
        <f t="shared" si="99"/>
        <v>5.5005445665493911</v>
      </c>
      <c r="Y259" s="346">
        <f t="shared" si="100"/>
        <v>-21.46539096351955</v>
      </c>
      <c r="AA259" s="345">
        <f t="shared" si="101"/>
        <v>34.797540934206467</v>
      </c>
      <c r="AB259" s="346">
        <f t="shared" si="102"/>
        <v>-24.130733311146862</v>
      </c>
      <c r="AD259">
        <f t="shared" si="106"/>
        <v>0</v>
      </c>
      <c r="AE259">
        <f t="shared" si="109"/>
        <v>0</v>
      </c>
    </row>
    <row r="260" spans="1:31" x14ac:dyDescent="0.2">
      <c r="A260" s="347">
        <v>16125.75</v>
      </c>
      <c r="B260" s="364">
        <f t="shared" si="103"/>
        <v>16.12575</v>
      </c>
      <c r="C260" s="337">
        <f t="shared" si="84"/>
        <v>1.079482227201604</v>
      </c>
      <c r="D260" s="338">
        <f t="shared" si="85"/>
        <v>0.3861390641660164</v>
      </c>
      <c r="E260" s="338">
        <f t="shared" si="86"/>
        <v>1.0000004535500238</v>
      </c>
      <c r="F260" s="339">
        <f t="shared" si="87"/>
        <v>9.524178203244529E-4</v>
      </c>
      <c r="G260" s="338">
        <f t="shared" si="88"/>
        <v>1</v>
      </c>
      <c r="H260" s="339">
        <f t="shared" si="89"/>
        <v>0</v>
      </c>
      <c r="I260" s="337">
        <f t="shared" si="90"/>
        <v>116724.55976483659</v>
      </c>
      <c r="J260" s="340">
        <f t="shared" si="91"/>
        <v>1.5707877596175859</v>
      </c>
      <c r="K260" s="348">
        <f t="shared" si="107"/>
        <v>2.8613848426316832</v>
      </c>
      <c r="L260" s="349">
        <f t="shared" si="108"/>
        <v>1.2137790735534497</v>
      </c>
      <c r="M260" s="337">
        <f t="shared" si="92"/>
        <v>1.0001254828219703</v>
      </c>
      <c r="N260" s="340">
        <f t="shared" si="93"/>
        <v>1.584106699434959E-2</v>
      </c>
      <c r="O260" s="341">
        <f t="shared" si="94"/>
        <v>1.0004934335533686</v>
      </c>
      <c r="P260" s="342">
        <f t="shared" si="95"/>
        <v>3.8184452926886311E-2</v>
      </c>
      <c r="Q260" s="343">
        <f t="shared" si="96"/>
        <v>3.4521236935119308</v>
      </c>
      <c r="R260" s="344">
        <f t="shared" si="97"/>
        <v>-45.620094451007667</v>
      </c>
      <c r="S260" s="346">
        <f t="shared" si="98"/>
        <v>134.37990554899233</v>
      </c>
      <c r="U260" s="319">
        <f t="shared" si="104"/>
        <v>1000000000</v>
      </c>
      <c r="V260" s="319">
        <f t="shared" si="105"/>
        <v>260039813.0625</v>
      </c>
      <c r="X260" s="345">
        <f t="shared" si="99"/>
        <v>5.4944150918652346</v>
      </c>
      <c r="Y260" s="346">
        <f t="shared" si="100"/>
        <v>-21.362717267156654</v>
      </c>
      <c r="AA260" s="345">
        <f t="shared" si="101"/>
        <v>34.790458759741703</v>
      </c>
      <c r="AB260" s="346">
        <f t="shared" si="102"/>
        <v>-24.257377183851023</v>
      </c>
      <c r="AD260">
        <f t="shared" si="106"/>
        <v>0</v>
      </c>
      <c r="AE260">
        <f t="shared" si="109"/>
        <v>0</v>
      </c>
    </row>
    <row r="261" spans="1:31" x14ac:dyDescent="0.2">
      <c r="A261" s="347">
        <v>16218</v>
      </c>
      <c r="B261" s="364">
        <f t="shared" si="103"/>
        <v>16.218</v>
      </c>
      <c r="C261" s="337">
        <f t="shared" si="84"/>
        <v>1.0803602788413849</v>
      </c>
      <c r="D261" s="338">
        <f t="shared" si="85"/>
        <v>0.38813329421513337</v>
      </c>
      <c r="E261" s="338">
        <f t="shared" si="86"/>
        <v>1.0000004587540801</v>
      </c>
      <c r="F261" s="339">
        <f t="shared" si="87"/>
        <v>9.5786627948672189E-4</v>
      </c>
      <c r="G261" s="338">
        <f t="shared" si="88"/>
        <v>1</v>
      </c>
      <c r="H261" s="339">
        <f t="shared" si="89"/>
        <v>0</v>
      </c>
      <c r="I261" s="337">
        <f t="shared" si="90"/>
        <v>117392.30176986076</v>
      </c>
      <c r="J261" s="340">
        <f t="shared" si="91"/>
        <v>1.5707878083487554</v>
      </c>
      <c r="K261" s="348">
        <f t="shared" si="107"/>
        <v>2.8757595952002872</v>
      </c>
      <c r="L261" s="349">
        <f t="shared" si="108"/>
        <v>1.2156429086449851</v>
      </c>
      <c r="M261" s="337">
        <f t="shared" si="92"/>
        <v>1.0001269225273246</v>
      </c>
      <c r="N261" s="340">
        <f t="shared" si="93"/>
        <v>1.5931673128614553E-2</v>
      </c>
      <c r="O261" s="341">
        <f t="shared" si="94"/>
        <v>1.0004990941472647</v>
      </c>
      <c r="P261" s="342">
        <f t="shared" si="95"/>
        <v>3.8402783117715E-2</v>
      </c>
      <c r="Q261" s="343">
        <f t="shared" si="96"/>
        <v>3.4389784900477354</v>
      </c>
      <c r="R261" s="344">
        <f t="shared" si="97"/>
        <v>-45.644956897716959</v>
      </c>
      <c r="S261" s="346">
        <f t="shared" si="98"/>
        <v>134.35504310228305</v>
      </c>
      <c r="U261" s="319">
        <f t="shared" si="104"/>
        <v>1000000000</v>
      </c>
      <c r="V261" s="319">
        <f t="shared" si="105"/>
        <v>263023524</v>
      </c>
      <c r="X261" s="345">
        <f t="shared" si="99"/>
        <v>5.4883812233178624</v>
      </c>
      <c r="Y261" s="346">
        <f t="shared" si="100"/>
        <v>-21.261121523768928</v>
      </c>
      <c r="AA261" s="345">
        <f t="shared" si="101"/>
        <v>34.783347424824875</v>
      </c>
      <c r="AB261" s="346">
        <f t="shared" si="102"/>
        <v>-24.383835373948013</v>
      </c>
      <c r="AD261">
        <f t="shared" si="106"/>
        <v>0</v>
      </c>
      <c r="AE261">
        <f t="shared" si="109"/>
        <v>0</v>
      </c>
    </row>
    <row r="262" spans="1:31" x14ac:dyDescent="0.2">
      <c r="A262" s="347">
        <v>16312.5</v>
      </c>
      <c r="B262" s="364">
        <f t="shared" si="103"/>
        <v>16.3125</v>
      </c>
      <c r="C262" s="337">
        <f t="shared" si="84"/>
        <v>1.0812641940515895</v>
      </c>
      <c r="D262" s="338">
        <f t="shared" si="85"/>
        <v>0.39017279735207333</v>
      </c>
      <c r="E262" s="338">
        <f t="shared" si="86"/>
        <v>1.0000004641158453</v>
      </c>
      <c r="F262" s="339">
        <f t="shared" si="87"/>
        <v>9.6344762783788127E-4</v>
      </c>
      <c r="G262" s="338">
        <f t="shared" si="88"/>
        <v>1</v>
      </c>
      <c r="H262" s="339">
        <f t="shared" si="89"/>
        <v>0</v>
      </c>
      <c r="I262" s="337">
        <f t="shared" si="90"/>
        <v>118076.33016525162</v>
      </c>
      <c r="J262" s="340">
        <f t="shared" si="91"/>
        <v>1.5707878576969951</v>
      </c>
      <c r="K262" s="348">
        <f t="shared" si="107"/>
        <v>2.8904952056924227</v>
      </c>
      <c r="L262" s="349">
        <f t="shared" si="108"/>
        <v>1.217532974532509</v>
      </c>
      <c r="M262" s="337">
        <f t="shared" si="92"/>
        <v>1.0001284058607591</v>
      </c>
      <c r="N262" s="340">
        <f t="shared" si="93"/>
        <v>1.6024488897329513E-2</v>
      </c>
      <c r="O262" s="341">
        <f t="shared" si="94"/>
        <v>1.0005049262595285</v>
      </c>
      <c r="P262" s="342">
        <f t="shared" si="95"/>
        <v>3.8626436480386939E-2</v>
      </c>
      <c r="Q262" s="343">
        <f t="shared" si="96"/>
        <v>3.4255797008890259</v>
      </c>
      <c r="R262" s="344">
        <f t="shared" si="97"/>
        <v>-45.671334406756642</v>
      </c>
      <c r="S262" s="346">
        <f t="shared" si="98"/>
        <v>134.32866559324336</v>
      </c>
      <c r="U262" s="319">
        <f t="shared" si="104"/>
        <v>1000000000</v>
      </c>
      <c r="V262" s="319">
        <f t="shared" si="105"/>
        <v>266097656.25</v>
      </c>
      <c r="X262" s="345">
        <f t="shared" si="99"/>
        <v>5.4822972858399712</v>
      </c>
      <c r="Y262" s="346">
        <f t="shared" si="100"/>
        <v>-21.158149504559994</v>
      </c>
      <c r="AA262" s="345">
        <f t="shared" si="101"/>
        <v>34.776032573144064</v>
      </c>
      <c r="AB262" s="346">
        <f t="shared" si="102"/>
        <v>-24.513184902196667</v>
      </c>
      <c r="AD262">
        <f t="shared" si="106"/>
        <v>0</v>
      </c>
      <c r="AE262">
        <f t="shared" si="109"/>
        <v>0</v>
      </c>
    </row>
    <row r="263" spans="1:31" x14ac:dyDescent="0.2">
      <c r="A263" s="347">
        <v>16407</v>
      </c>
      <c r="B263" s="364">
        <f t="shared" si="103"/>
        <v>16.407</v>
      </c>
      <c r="C263" s="337">
        <f t="shared" si="84"/>
        <v>1.0821725993347979</v>
      </c>
      <c r="D263" s="338">
        <f t="shared" si="85"/>
        <v>0.39220888491700034</v>
      </c>
      <c r="E263" s="338">
        <f t="shared" si="86"/>
        <v>1.0000004695087621</v>
      </c>
      <c r="F263" s="339">
        <f t="shared" si="87"/>
        <v>9.6902897612901489E-4</v>
      </c>
      <c r="G263" s="338">
        <f t="shared" si="88"/>
        <v>1</v>
      </c>
      <c r="H263" s="339">
        <f t="shared" si="89"/>
        <v>0</v>
      </c>
      <c r="I263" s="337">
        <f t="shared" si="90"/>
        <v>118760.35856064278</v>
      </c>
      <c r="J263" s="340">
        <f t="shared" si="91"/>
        <v>1.5707879064767691</v>
      </c>
      <c r="K263" s="348">
        <f t="shared" si="107"/>
        <v>2.9052410372738735</v>
      </c>
      <c r="L263" s="349">
        <f t="shared" si="108"/>
        <v>1.2194038606230349</v>
      </c>
      <c r="M263" s="337">
        <f t="shared" si="92"/>
        <v>1.0001298978100412</v>
      </c>
      <c r="N263" s="340">
        <f t="shared" si="93"/>
        <v>1.6117304389927187E-2</v>
      </c>
      <c r="O263" s="341">
        <f t="shared" si="94"/>
        <v>1.0005107922295149</v>
      </c>
      <c r="P263" s="342">
        <f t="shared" si="95"/>
        <v>3.8850087853352422E-2</v>
      </c>
      <c r="Q263" s="343">
        <f t="shared" si="96"/>
        <v>3.4122468953191825</v>
      </c>
      <c r="R263" s="344">
        <f t="shared" si="97"/>
        <v>-45.698614976966937</v>
      </c>
      <c r="S263" s="346">
        <f t="shared" si="98"/>
        <v>134.30138502303305</v>
      </c>
      <c r="U263" s="319">
        <f t="shared" si="104"/>
        <v>1000000000</v>
      </c>
      <c r="V263" s="319">
        <f t="shared" si="105"/>
        <v>269189649</v>
      </c>
      <c r="X263" s="345">
        <f t="shared" si="99"/>
        <v>5.4763095940203961</v>
      </c>
      <c r="Y263" s="346">
        <f t="shared" si="100"/>
        <v>-21.056276358381172</v>
      </c>
      <c r="AA263" s="345">
        <f t="shared" si="101"/>
        <v>34.768687459393789</v>
      </c>
      <c r="AB263" s="346">
        <f t="shared" si="102"/>
        <v>-24.642338618585789</v>
      </c>
      <c r="AD263">
        <f t="shared" si="106"/>
        <v>0</v>
      </c>
      <c r="AE263">
        <f t="shared" si="109"/>
        <v>0</v>
      </c>
    </row>
    <row r="264" spans="1:31" x14ac:dyDescent="0.2">
      <c r="A264" s="347">
        <v>16501.5</v>
      </c>
      <c r="B264" s="364">
        <f t="shared" si="103"/>
        <v>16.5015</v>
      </c>
      <c r="C264" s="337">
        <f t="shared" si="84"/>
        <v>1.0830854833932706</v>
      </c>
      <c r="D264" s="338">
        <f t="shared" si="85"/>
        <v>0.39424154864350541</v>
      </c>
      <c r="E264" s="338">
        <f t="shared" si="86"/>
        <v>1.0000004749328302</v>
      </c>
      <c r="F264" s="339">
        <f t="shared" si="87"/>
        <v>9.7461032435977525E-4</v>
      </c>
      <c r="G264" s="338">
        <f t="shared" si="88"/>
        <v>1</v>
      </c>
      <c r="H264" s="339">
        <f t="shared" si="89"/>
        <v>0</v>
      </c>
      <c r="I264" s="337">
        <f t="shared" si="90"/>
        <v>119444.38695603421</v>
      </c>
      <c r="J264" s="340">
        <f t="shared" si="91"/>
        <v>1.5707879546978438</v>
      </c>
      <c r="K264" s="348">
        <f t="shared" si="107"/>
        <v>2.919996935096747</v>
      </c>
      <c r="L264" s="349">
        <f t="shared" si="108"/>
        <v>1.221255844488716</v>
      </c>
      <c r="M264" s="337">
        <f t="shared" si="92"/>
        <v>1.0001313983751323</v>
      </c>
      <c r="N264" s="340">
        <f t="shared" si="93"/>
        <v>1.6210119604809656E-2</v>
      </c>
      <c r="O264" s="341">
        <f t="shared" si="94"/>
        <v>1.0005166920567645</v>
      </c>
      <c r="P264" s="342">
        <f t="shared" si="95"/>
        <v>3.9073737225128281E-2</v>
      </c>
      <c r="Q264" s="343">
        <f t="shared" si="96"/>
        <v>3.3989782567579985</v>
      </c>
      <c r="R264" s="344">
        <f t="shared" si="97"/>
        <v>-45.726782230814692</v>
      </c>
      <c r="S264" s="346">
        <f t="shared" si="98"/>
        <v>134.27321776918529</v>
      </c>
      <c r="U264" s="319">
        <f t="shared" si="104"/>
        <v>1000000000</v>
      </c>
      <c r="V264" s="319">
        <f t="shared" si="105"/>
        <v>272299502.25</v>
      </c>
      <c r="X264" s="345">
        <f t="shared" si="99"/>
        <v>5.4704161601228707</v>
      </c>
      <c r="Y264" s="346">
        <f t="shared" si="100"/>
        <v>-20.955486181987578</v>
      </c>
      <c r="AA264" s="345">
        <f t="shared" si="101"/>
        <v>34.761312254730136</v>
      </c>
      <c r="AB264" s="346">
        <f t="shared" si="102"/>
        <v>-24.771296048827114</v>
      </c>
      <c r="AD264">
        <f t="shared" si="106"/>
        <v>0</v>
      </c>
      <c r="AE264">
        <f t="shared" si="109"/>
        <v>0</v>
      </c>
    </row>
    <row r="265" spans="1:31" x14ac:dyDescent="0.2">
      <c r="A265" s="347">
        <v>16596</v>
      </c>
      <c r="B265" s="364">
        <f t="shared" si="103"/>
        <v>16.596</v>
      </c>
      <c r="C265" s="337">
        <f t="shared" si="84"/>
        <v>1.0840028349117159</v>
      </c>
      <c r="D265" s="338">
        <f t="shared" si="85"/>
        <v>0.39627078040612712</v>
      </c>
      <c r="E265" s="338">
        <f t="shared" si="86"/>
        <v>1.0000004803880498</v>
      </c>
      <c r="F265" s="339">
        <f t="shared" si="87"/>
        <v>9.8019167252981444E-4</v>
      </c>
      <c r="G265" s="338">
        <f t="shared" si="88"/>
        <v>1</v>
      </c>
      <c r="H265" s="339">
        <f t="shared" si="89"/>
        <v>0</v>
      </c>
      <c r="I265" s="337">
        <f t="shared" si="90"/>
        <v>120128.41535142592</v>
      </c>
      <c r="J265" s="340">
        <f t="shared" si="91"/>
        <v>1.5707880023697629</v>
      </c>
      <c r="K265" s="348">
        <f t="shared" si="107"/>
        <v>2.9347627473227798</v>
      </c>
      <c r="L265" s="349">
        <f t="shared" si="108"/>
        <v>1.2230891986398436</v>
      </c>
      <c r="M265" s="337">
        <f t="shared" si="92"/>
        <v>1.0001329075559933</v>
      </c>
      <c r="N265" s="340">
        <f t="shared" si="93"/>
        <v>1.6302934540379028E-2</v>
      </c>
      <c r="O265" s="341">
        <f t="shared" si="94"/>
        <v>1.0005226257408157</v>
      </c>
      <c r="P265" s="342">
        <f t="shared" si="95"/>
        <v>3.9297384584232105E-2</v>
      </c>
      <c r="Q265" s="343">
        <f t="shared" si="96"/>
        <v>3.3857720186612634</v>
      </c>
      <c r="R265" s="344">
        <f t="shared" si="97"/>
        <v>-45.755820088853</v>
      </c>
      <c r="S265" s="346">
        <f t="shared" si="98"/>
        <v>134.244179911147</v>
      </c>
      <c r="U265" s="319">
        <f t="shared" si="104"/>
        <v>1000000000</v>
      </c>
      <c r="V265" s="319">
        <f t="shared" si="105"/>
        <v>275427216</v>
      </c>
      <c r="X265" s="345">
        <f t="shared" si="99"/>
        <v>5.4646150464446377</v>
      </c>
      <c r="Y265" s="346">
        <f t="shared" si="100"/>
        <v>-20.855763362144902</v>
      </c>
      <c r="AA265" s="345">
        <f t="shared" si="101"/>
        <v>34.753907130311632</v>
      </c>
      <c r="AB265" s="346">
        <f t="shared" si="102"/>
        <v>-24.900056726708119</v>
      </c>
      <c r="AD265">
        <f t="shared" si="106"/>
        <v>0</v>
      </c>
      <c r="AE265">
        <f t="shared" si="109"/>
        <v>0</v>
      </c>
    </row>
    <row r="266" spans="1:31" x14ac:dyDescent="0.2">
      <c r="A266" s="347">
        <v>16692.5</v>
      </c>
      <c r="B266" s="364">
        <f t="shared" si="103"/>
        <v>16.692499999999999</v>
      </c>
      <c r="C266" s="337">
        <f t="shared" si="84"/>
        <v>1.0849441997845464</v>
      </c>
      <c r="D266" s="338">
        <f t="shared" si="85"/>
        <v>0.39833940889135327</v>
      </c>
      <c r="E266" s="338">
        <f t="shared" si="86"/>
        <v>1.0000004859908711</v>
      </c>
      <c r="F266" s="339">
        <f t="shared" si="87"/>
        <v>9.8589114440762455E-4</v>
      </c>
      <c r="G266" s="338">
        <f t="shared" si="88"/>
        <v>1</v>
      </c>
      <c r="H266" s="339">
        <f t="shared" si="89"/>
        <v>0</v>
      </c>
      <c r="I266" s="337">
        <f t="shared" si="90"/>
        <v>120826.92053825478</v>
      </c>
      <c r="J266" s="340">
        <f t="shared" si="91"/>
        <v>1.5707880504935925</v>
      </c>
      <c r="K266" s="348">
        <f t="shared" si="107"/>
        <v>2.9498511401505745</v>
      </c>
      <c r="L266" s="349">
        <f t="shared" si="108"/>
        <v>1.2249424066617938</v>
      </c>
      <c r="M266" s="337">
        <f t="shared" si="92"/>
        <v>1.0001344575683659</v>
      </c>
      <c r="N266" s="340">
        <f t="shared" si="93"/>
        <v>1.639771352330582E-2</v>
      </c>
      <c r="O266" s="341">
        <f t="shared" si="94"/>
        <v>1.0005287199442019</v>
      </c>
      <c r="P266" s="342">
        <f t="shared" si="95"/>
        <v>3.9525763131827818E-2</v>
      </c>
      <c r="Q266" s="343">
        <f t="shared" si="96"/>
        <v>3.3723488937046415</v>
      </c>
      <c r="R266" s="344">
        <f t="shared" si="97"/>
        <v>-45.786354536479465</v>
      </c>
      <c r="S266" s="346">
        <f t="shared" si="98"/>
        <v>134.21364546352055</v>
      </c>
      <c r="U266" s="319">
        <f t="shared" si="104"/>
        <v>1000000000</v>
      </c>
      <c r="V266" s="319">
        <f t="shared" si="105"/>
        <v>278639556.25</v>
      </c>
      <c r="X266" s="345">
        <f t="shared" si="99"/>
        <v>5.4587844665368248</v>
      </c>
      <c r="Y266" s="346">
        <f t="shared" si="100"/>
        <v>-20.755015556812815</v>
      </c>
      <c r="AA266" s="345">
        <f t="shared" si="101"/>
        <v>34.74631458526283</v>
      </c>
      <c r="AB266" s="346">
        <f t="shared" si="102"/>
        <v>-25.031338979666639</v>
      </c>
      <c r="AD266">
        <f t="shared" si="106"/>
        <v>0</v>
      </c>
      <c r="AE266">
        <f t="shared" si="109"/>
        <v>0</v>
      </c>
    </row>
    <row r="267" spans="1:31" x14ac:dyDescent="0.2">
      <c r="A267" s="347">
        <v>16789</v>
      </c>
      <c r="B267" s="364">
        <f t="shared" si="103"/>
        <v>16.789000000000001</v>
      </c>
      <c r="C267" s="337">
        <f t="shared" si="84"/>
        <v>1.0858901993152481</v>
      </c>
      <c r="D267" s="338">
        <f t="shared" si="85"/>
        <v>0.40040444192896957</v>
      </c>
      <c r="E267" s="338">
        <f t="shared" si="86"/>
        <v>1.0000004916261764</v>
      </c>
      <c r="F267" s="339">
        <f t="shared" si="87"/>
        <v>9.9159061622138326E-4</v>
      </c>
      <c r="G267" s="338">
        <f t="shared" si="88"/>
        <v>1</v>
      </c>
      <c r="H267" s="339">
        <f t="shared" si="89"/>
        <v>0</v>
      </c>
      <c r="I267" s="337">
        <f t="shared" si="90"/>
        <v>121525.4257250839</v>
      </c>
      <c r="J267" s="340">
        <f t="shared" si="91"/>
        <v>1.5707880980642088</v>
      </c>
      <c r="K267" s="348">
        <f t="shared" si="107"/>
        <v>2.9649495607570824</v>
      </c>
      <c r="L267" s="349">
        <f t="shared" si="108"/>
        <v>1.2267767467378532</v>
      </c>
      <c r="M267" s="337">
        <f t="shared" si="92"/>
        <v>1.000136016564974</v>
      </c>
      <c r="N267" s="340">
        <f t="shared" si="93"/>
        <v>1.6492492211603975E-2</v>
      </c>
      <c r="O267" s="341">
        <f t="shared" si="94"/>
        <v>1.0005348494516644</v>
      </c>
      <c r="P267" s="342">
        <f t="shared" si="95"/>
        <v>3.9754139556459352E-2</v>
      </c>
      <c r="Q267" s="343">
        <f t="shared" si="96"/>
        <v>3.3589872684351354</v>
      </c>
      <c r="R267" s="344">
        <f t="shared" si="97"/>
        <v>-45.817763863590045</v>
      </c>
      <c r="S267" s="346">
        <f t="shared" si="98"/>
        <v>134.18223613640995</v>
      </c>
      <c r="U267" s="319">
        <f t="shared" si="104"/>
        <v>1000000000</v>
      </c>
      <c r="V267" s="319">
        <f t="shared" si="105"/>
        <v>281870521</v>
      </c>
      <c r="X267" s="345">
        <f t="shared" si="99"/>
        <v>5.4530462252142993</v>
      </c>
      <c r="Y267" s="346">
        <f t="shared" si="100"/>
        <v>-20.655348756571829</v>
      </c>
      <c r="AA267" s="345">
        <f t="shared" si="101"/>
        <v>34.738691201315845</v>
      </c>
      <c r="AB267" s="346">
        <f t="shared" si="102"/>
        <v>-25.162415107018202</v>
      </c>
      <c r="AD267">
        <f t="shared" si="106"/>
        <v>0</v>
      </c>
      <c r="AE267">
        <f t="shared" si="109"/>
        <v>0</v>
      </c>
    </row>
    <row r="268" spans="1:31" x14ac:dyDescent="0.2">
      <c r="A268" s="347">
        <v>16885.5</v>
      </c>
      <c r="B268" s="364">
        <f t="shared" si="103"/>
        <v>16.8855</v>
      </c>
      <c r="C268" s="337">
        <f t="shared" si="84"/>
        <v>1.0868408214016325</v>
      </c>
      <c r="D268" s="338">
        <f t="shared" si="85"/>
        <v>0.40246587131849437</v>
      </c>
      <c r="E268" s="338">
        <f t="shared" si="86"/>
        <v>1.0000004972939658</v>
      </c>
      <c r="F268" s="339">
        <f t="shared" si="87"/>
        <v>9.9729008797072019E-4</v>
      </c>
      <c r="G268" s="338">
        <f t="shared" si="88"/>
        <v>1</v>
      </c>
      <c r="H268" s="339">
        <f t="shared" si="89"/>
        <v>0</v>
      </c>
      <c r="I268" s="337">
        <f t="shared" si="90"/>
        <v>122223.9309119133</v>
      </c>
      <c r="J268" s="340">
        <f t="shared" si="91"/>
        <v>1.5707881450910965</v>
      </c>
      <c r="K268" s="348">
        <f t="shared" si="107"/>
        <v>2.9800578567255127</v>
      </c>
      <c r="L268" s="349">
        <f t="shared" si="108"/>
        <v>1.2285924933990702</v>
      </c>
      <c r="M268" s="337">
        <f t="shared" si="92"/>
        <v>1.0001375845457756</v>
      </c>
      <c r="N268" s="340">
        <f t="shared" si="93"/>
        <v>1.6587270603572082E-2</v>
      </c>
      <c r="O268" s="341">
        <f t="shared" si="94"/>
        <v>1.0005410142627029</v>
      </c>
      <c r="P268" s="342">
        <f t="shared" si="95"/>
        <v>3.9982513845902151E-2</v>
      </c>
      <c r="Q268" s="343">
        <f t="shared" si="96"/>
        <v>3.3456854138358763</v>
      </c>
      <c r="R268" s="344">
        <f t="shared" si="97"/>
        <v>-45.85003187060687</v>
      </c>
      <c r="S268" s="346">
        <f t="shared" si="98"/>
        <v>134.14996812939313</v>
      </c>
      <c r="U268" s="319">
        <f t="shared" si="104"/>
        <v>1000000000</v>
      </c>
      <c r="V268" s="319">
        <f t="shared" si="105"/>
        <v>285120110.25</v>
      </c>
      <c r="X268" s="345">
        <f t="shared" si="99"/>
        <v>5.4473984112591642</v>
      </c>
      <c r="Y268" s="346">
        <f t="shared" si="100"/>
        <v>-20.556747232397466</v>
      </c>
      <c r="AA268" s="345">
        <f t="shared" si="101"/>
        <v>34.731037160671718</v>
      </c>
      <c r="AB268" s="346">
        <f t="shared" si="102"/>
        <v>-25.293284638209425</v>
      </c>
      <c r="AD268">
        <f t="shared" si="106"/>
        <v>0</v>
      </c>
      <c r="AE268">
        <f t="shared" si="109"/>
        <v>0</v>
      </c>
    </row>
    <row r="269" spans="1:31" x14ac:dyDescent="0.2">
      <c r="A269" s="347">
        <v>16982</v>
      </c>
      <c r="B269" s="364">
        <f t="shared" si="103"/>
        <v>16.981999999999999</v>
      </c>
      <c r="C269" s="337">
        <f t="shared" ref="C269:C332" si="110">SQRT(1+(A269/pole1)^2)</f>
        <v>1.0877960539247824</v>
      </c>
      <c r="D269" s="338">
        <f t="shared" ref="D269:D332" si="111">ATAN(A269/pole1)</f>
        <v>0.40452368901055019</v>
      </c>
      <c r="E269" s="338">
        <f t="shared" ref="E269:E332" si="112">SQRT(1+(A269/Zero1)^2)</f>
        <v>1.0000005029942391</v>
      </c>
      <c r="F269" s="339">
        <f t="shared" ref="F269:F332" si="113">ATAN(A269/Zero1)</f>
        <v>1.0029895596552654E-3</v>
      </c>
      <c r="G269" s="338">
        <f t="shared" ref="G269:G332" si="114">IF(VIN_nom&gt;Vout, 1, SQRT(1+(A269/z_RHP)^2))</f>
        <v>1</v>
      </c>
      <c r="H269" s="339">
        <f t="shared" ref="H269:H332" si="115">IF(VIN_nom&gt;Vout, 0, -ATAN(A269/z_RHP))</f>
        <v>0</v>
      </c>
      <c r="I269" s="337">
        <f t="shared" ref="I269:I332" si="116">SQRT(1+(A269/Pole2)^2)</f>
        <v>122922.43609874297</v>
      </c>
      <c r="J269" s="340">
        <f t="shared" ref="J269:J332" si="117">ATAN(A269/Pole2)</f>
        <v>1.5707881915835247</v>
      </c>
      <c r="K269" s="348">
        <f t="shared" si="107"/>
        <v>2.9951758786156728</v>
      </c>
      <c r="L269" s="349">
        <f t="shared" si="108"/>
        <v>1.2303899161296188</v>
      </c>
      <c r="M269" s="337">
        <f t="shared" ref="M269:M332" si="118">SQRT(1+(A269/pole4)^2)</f>
        <v>1.0001391615107285</v>
      </c>
      <c r="N269" s="340">
        <f t="shared" ref="N269:N332" si="119">ATAN(A269/pole4)</f>
        <v>1.668204869750876E-2</v>
      </c>
      <c r="O269" s="341">
        <f t="shared" ref="O269:O332" si="120">SQRT((1-(V269/pterm2))^2+(A269/pterm1)^2)</f>
        <v>1.0005472143768144</v>
      </c>
      <c r="P269" s="342">
        <f t="shared" ref="P269:P332" si="121">IF((ATAN((A269/pterm1)/(1-A269^2/pterm2))&gt;0),ATAN((A269/pterm1)/(1-A269^2/pterm2)),PI()+ATAN((A269/pterm1)/(1-A269^2/pterm2)))</f>
        <v>4.0210885987932495E-2</v>
      </c>
      <c r="Q269" s="343">
        <f t="shared" ref="Q269:Q332" si="122">20*LOG10(((E269*K269*G269)/(C269*I269*O269*M269))*Adc)</f>
        <v>3.3324416490954563</v>
      </c>
      <c r="R269" s="344">
        <f t="shared" ref="R269:R332" si="123">((F269+L269+H269)-(D269+J269+P269+N269))*radconv</f>
        <v>-45.88314265576205</v>
      </c>
      <c r="S269" s="346">
        <f t="shared" ref="S269:S332" si="124">IF(R269&gt;0,R269,R269+180)</f>
        <v>134.11685734423796</v>
      </c>
      <c r="U269" s="319">
        <f t="shared" si="104"/>
        <v>1000000000</v>
      </c>
      <c r="V269" s="319">
        <f t="shared" si="105"/>
        <v>288388324</v>
      </c>
      <c r="X269" s="345">
        <f t="shared" ref="X269:X332" si="125">20*LOG10((K269/(I269*M269))*AEA)</f>
        <v>5.4418391616993755</v>
      </c>
      <c r="Y269" s="346">
        <f t="shared" ref="Y269:Y332" si="126">(L269-(J269+N269))*radconv</f>
        <v>-20.459195544417458</v>
      </c>
      <c r="AA269" s="345">
        <f t="shared" ref="AA269:AA332" si="127">20*LOG10((E269*G269/(C269*O269))*Acs*Am)</f>
        <v>34.72335264549109</v>
      </c>
      <c r="AB269" s="346">
        <f t="shared" ref="AB269:AB332" si="128">(F269+H269-(D269+P269))*radconv</f>
        <v>-25.423947111344599</v>
      </c>
      <c r="AD269">
        <f t="shared" si="106"/>
        <v>0</v>
      </c>
      <c r="AE269">
        <f t="shared" si="109"/>
        <v>0</v>
      </c>
    </row>
    <row r="270" spans="1:31" x14ac:dyDescent="0.2">
      <c r="A270" s="347">
        <v>17081</v>
      </c>
      <c r="B270" s="364">
        <f t="shared" ref="B270:B333" si="129">A270/1000</f>
        <v>17.081</v>
      </c>
      <c r="C270" s="337">
        <f t="shared" si="110"/>
        <v>1.0887808118307658</v>
      </c>
      <c r="D270" s="338">
        <f t="shared" si="111"/>
        <v>0.4066310565030487</v>
      </c>
      <c r="E270" s="338">
        <f t="shared" si="112"/>
        <v>1.0000005088759452</v>
      </c>
      <c r="F270" s="339">
        <f t="shared" si="113"/>
        <v>1.0088366859789444E-3</v>
      </c>
      <c r="G270" s="338">
        <f t="shared" si="114"/>
        <v>1</v>
      </c>
      <c r="H270" s="339">
        <f t="shared" si="115"/>
        <v>0</v>
      </c>
      <c r="I270" s="337">
        <f t="shared" si="116"/>
        <v>123639.03727486901</v>
      </c>
      <c r="J270" s="340">
        <f t="shared" si="117"/>
        <v>1.5707882387345069</v>
      </c>
      <c r="K270" s="348">
        <f t="shared" si="107"/>
        <v>3.0106955126673571</v>
      </c>
      <c r="L270" s="349">
        <f t="shared" si="108"/>
        <v>1.2322151393224963</v>
      </c>
      <c r="M270" s="337">
        <f t="shared" si="118"/>
        <v>1.0001407886659426</v>
      </c>
      <c r="N270" s="340">
        <f t="shared" si="119"/>
        <v>1.6779281870983796E-2</v>
      </c>
      <c r="O270" s="341">
        <f t="shared" si="120"/>
        <v>1.0005536118019145</v>
      </c>
      <c r="P270" s="342">
        <f t="shared" si="121"/>
        <v>4.0445172262306005E-2</v>
      </c>
      <c r="Q270" s="343">
        <f t="shared" si="122"/>
        <v>3.3189134359266363</v>
      </c>
      <c r="R270" s="344">
        <f t="shared" si="123"/>
        <v>-45.917970684463697</v>
      </c>
      <c r="S270" s="346">
        <f t="shared" si="124"/>
        <v>134.08202931553632</v>
      </c>
      <c r="U270" s="319">
        <f t="shared" ref="U270:U333" si="130">IF(Q270&lt;0,A270,1000000000)</f>
        <v>1000000000</v>
      </c>
      <c r="V270" s="319">
        <f t="shared" ref="V270:V333" si="131">A270^2</f>
        <v>291760561</v>
      </c>
      <c r="X270" s="345">
        <f t="shared" si="125"/>
        <v>5.4362260225407608</v>
      </c>
      <c r="Y270" s="346">
        <f t="shared" si="126"/>
        <v>-20.360191710704118</v>
      </c>
      <c r="AA270" s="345">
        <f t="shared" si="127"/>
        <v>34.715437571480884</v>
      </c>
      <c r="AB270" s="346">
        <f t="shared" si="128"/>
        <v>-25.557778973759575</v>
      </c>
      <c r="AD270">
        <f t="shared" ref="AD270:AD333" si="132">SUM((Q271&lt;0)*(Q270&gt;0))*A270</f>
        <v>0</v>
      </c>
      <c r="AE270">
        <f t="shared" si="109"/>
        <v>0</v>
      </c>
    </row>
    <row r="271" spans="1:31" x14ac:dyDescent="0.2">
      <c r="A271" s="347">
        <v>17180</v>
      </c>
      <c r="B271" s="364">
        <f t="shared" si="129"/>
        <v>17.18</v>
      </c>
      <c r="C271" s="337">
        <f t="shared" si="110"/>
        <v>1.0897703962586973</v>
      </c>
      <c r="D271" s="338">
        <f t="shared" si="111"/>
        <v>0.4087346060619621</v>
      </c>
      <c r="E271" s="338">
        <f t="shared" si="112"/>
        <v>1.0000005147918403</v>
      </c>
      <c r="F271" s="339">
        <f t="shared" si="113"/>
        <v>1.0146838122336414E-3</v>
      </c>
      <c r="G271" s="338">
        <f t="shared" si="114"/>
        <v>1</v>
      </c>
      <c r="H271" s="339">
        <f t="shared" si="115"/>
        <v>0</v>
      </c>
      <c r="I271" s="337">
        <f t="shared" si="116"/>
        <v>124355.63845099534</v>
      </c>
      <c r="J271" s="340">
        <f t="shared" si="117"/>
        <v>1.5707882853420725</v>
      </c>
      <c r="K271" s="348">
        <f t="shared" si="107"/>
        <v>3.0262250737754246</v>
      </c>
      <c r="L271" s="349">
        <f t="shared" si="108"/>
        <v>1.2340216356290017</v>
      </c>
      <c r="M271" s="337">
        <f t="shared" si="118"/>
        <v>1.0001424252767468</v>
      </c>
      <c r="N271" s="340">
        <f t="shared" si="119"/>
        <v>1.6876514727157694E-2</v>
      </c>
      <c r="O271" s="341">
        <f t="shared" si="120"/>
        <v>1.0005600463818733</v>
      </c>
      <c r="P271" s="342">
        <f t="shared" si="121"/>
        <v>4.0679456250499804E-2</v>
      </c>
      <c r="Q271" s="343">
        <f t="shared" si="122"/>
        <v>3.3054429270960055</v>
      </c>
      <c r="R271" s="344">
        <f t="shared" si="123"/>
        <v>-45.95365275293797</v>
      </c>
      <c r="S271" s="346">
        <f t="shared" si="124"/>
        <v>134.04634724706204</v>
      </c>
      <c r="U271" s="319">
        <f t="shared" si="130"/>
        <v>1000000000</v>
      </c>
      <c r="V271" s="319">
        <f t="shared" si="131"/>
        <v>295152400</v>
      </c>
      <c r="X271" s="345">
        <f t="shared" si="125"/>
        <v>5.4307022734688015</v>
      </c>
      <c r="Y271" s="346">
        <f t="shared" si="126"/>
        <v>-20.262260799229054</v>
      </c>
      <c r="AA271" s="345">
        <f t="shared" si="127"/>
        <v>34.707490811722217</v>
      </c>
      <c r="AB271" s="346">
        <f t="shared" si="128"/>
        <v>-25.691391953708919</v>
      </c>
      <c r="AD271">
        <f t="shared" si="132"/>
        <v>0</v>
      </c>
      <c r="AE271">
        <f t="shared" si="109"/>
        <v>0</v>
      </c>
    </row>
    <row r="272" spans="1:31" x14ac:dyDescent="0.2">
      <c r="A272" s="347">
        <v>17279</v>
      </c>
      <c r="B272" s="364">
        <f t="shared" si="129"/>
        <v>17.279</v>
      </c>
      <c r="C272" s="337">
        <f t="shared" si="110"/>
        <v>1.0907647940721492</v>
      </c>
      <c r="D272" s="338">
        <f t="shared" si="111"/>
        <v>0.41083432948793613</v>
      </c>
      <c r="E272" s="338">
        <f t="shared" si="112"/>
        <v>1.000000520741924</v>
      </c>
      <c r="F272" s="339">
        <f t="shared" si="113"/>
        <v>1.0205309384189567E-3</v>
      </c>
      <c r="G272" s="338">
        <f t="shared" si="114"/>
        <v>1</v>
      </c>
      <c r="H272" s="339">
        <f t="shared" si="115"/>
        <v>0</v>
      </c>
      <c r="I272" s="337">
        <f t="shared" si="116"/>
        <v>125072.23962712192</v>
      </c>
      <c r="J272" s="340">
        <f t="shared" si="117"/>
        <v>1.5707883314155624</v>
      </c>
      <c r="K272" s="348">
        <f t="shared" si="107"/>
        <v>3.0417644098937555</v>
      </c>
      <c r="L272" s="349">
        <f t="shared" si="108"/>
        <v>1.235809680175066</v>
      </c>
      <c r="M272" s="337">
        <f t="shared" si="118"/>
        <v>1.0001440713430947</v>
      </c>
      <c r="N272" s="340">
        <f t="shared" si="119"/>
        <v>1.6973747264193494E-2</v>
      </c>
      <c r="O272" s="341">
        <f t="shared" si="120"/>
        <v>1.0005665181161387</v>
      </c>
      <c r="P272" s="342">
        <f t="shared" si="121"/>
        <v>4.0913737939318094E-2</v>
      </c>
      <c r="Q272" s="343">
        <f t="shared" si="122"/>
        <v>3.292028456595931</v>
      </c>
      <c r="R272" s="344">
        <f t="shared" si="123"/>
        <v>-45.99017262751569</v>
      </c>
      <c r="S272" s="346">
        <f t="shared" si="124"/>
        <v>134.00982737248432</v>
      </c>
      <c r="U272" s="319">
        <f t="shared" si="130"/>
        <v>1000000000</v>
      </c>
      <c r="V272" s="319">
        <f t="shared" si="131"/>
        <v>298563841</v>
      </c>
      <c r="X272" s="345">
        <f t="shared" si="125"/>
        <v>5.4252660519904081</v>
      </c>
      <c r="Y272" s="346">
        <f t="shared" si="126"/>
        <v>-20.165387046867512</v>
      </c>
      <c r="AA272" s="345">
        <f t="shared" si="127"/>
        <v>34.699512562700534</v>
      </c>
      <c r="AB272" s="346">
        <f t="shared" si="128"/>
        <v>-25.824785580648189</v>
      </c>
      <c r="AD272">
        <f t="shared" si="132"/>
        <v>0</v>
      </c>
      <c r="AE272">
        <f t="shared" si="109"/>
        <v>0</v>
      </c>
    </row>
    <row r="273" spans="1:31" x14ac:dyDescent="0.2">
      <c r="A273" s="347">
        <v>17378</v>
      </c>
      <c r="B273" s="364">
        <f t="shared" si="129"/>
        <v>17.378</v>
      </c>
      <c r="C273" s="337">
        <f t="shared" si="110"/>
        <v>1.0917639921187732</v>
      </c>
      <c r="D273" s="338">
        <f t="shared" si="111"/>
        <v>0.41293021874636615</v>
      </c>
      <c r="E273" s="338">
        <f t="shared" si="112"/>
        <v>1.0000005267261969</v>
      </c>
      <c r="F273" s="339">
        <f t="shared" si="113"/>
        <v>1.0263780645344903E-3</v>
      </c>
      <c r="G273" s="338">
        <f t="shared" si="114"/>
        <v>1</v>
      </c>
      <c r="H273" s="339">
        <f t="shared" si="115"/>
        <v>0</v>
      </c>
      <c r="I273" s="337">
        <f t="shared" si="116"/>
        <v>125788.84080324876</v>
      </c>
      <c r="J273" s="340">
        <f t="shared" si="117"/>
        <v>1.5707883769641038</v>
      </c>
      <c r="K273" s="348">
        <f t="shared" si="107"/>
        <v>3.0573133719726964</v>
      </c>
      <c r="L273" s="349">
        <f t="shared" si="108"/>
        <v>1.2375795429668863</v>
      </c>
      <c r="M273" s="337">
        <f t="shared" si="118"/>
        <v>1.0001457268649399</v>
      </c>
      <c r="N273" s="340">
        <f t="shared" si="119"/>
        <v>1.707097948025427E-2</v>
      </c>
      <c r="O273" s="341">
        <f t="shared" si="120"/>
        <v>1.0005730270041544</v>
      </c>
      <c r="P273" s="342">
        <f t="shared" si="121"/>
        <v>4.1148017315566041E-2</v>
      </c>
      <c r="Q273" s="343">
        <f t="shared" si="122"/>
        <v>3.2786684056855342</v>
      </c>
      <c r="R273" s="344">
        <f t="shared" si="123"/>
        <v>-46.027514377294096</v>
      </c>
      <c r="S273" s="346">
        <f t="shared" si="124"/>
        <v>133.9724856227059</v>
      </c>
      <c r="U273" s="319">
        <f t="shared" si="130"/>
        <v>1000000000</v>
      </c>
      <c r="V273" s="319">
        <f t="shared" si="131"/>
        <v>301994884</v>
      </c>
      <c r="X273" s="345">
        <f t="shared" si="125"/>
        <v>5.419915542971065</v>
      </c>
      <c r="Y273" s="346">
        <f t="shared" si="126"/>
        <v>-20.069554983821636</v>
      </c>
      <c r="AA273" s="345">
        <f t="shared" si="127"/>
        <v>34.691503020809478</v>
      </c>
      <c r="AB273" s="346">
        <f t="shared" si="128"/>
        <v>-25.957959393472475</v>
      </c>
      <c r="AD273">
        <f t="shared" si="132"/>
        <v>0</v>
      </c>
      <c r="AE273">
        <f t="shared" si="109"/>
        <v>0</v>
      </c>
    </row>
    <row r="274" spans="1:31" x14ac:dyDescent="0.2">
      <c r="A274" s="347">
        <v>17479.25</v>
      </c>
      <c r="B274" s="364">
        <f t="shared" si="129"/>
        <v>17.47925</v>
      </c>
      <c r="C274" s="337">
        <f t="shared" si="110"/>
        <v>1.0927908506059432</v>
      </c>
      <c r="D274" s="338">
        <f t="shared" si="111"/>
        <v>0.41506976778194654</v>
      </c>
      <c r="E274" s="338">
        <f t="shared" si="112"/>
        <v>1.0000005328818391</v>
      </c>
      <c r="F274" s="339">
        <f t="shared" si="113"/>
        <v>1.0323580798073269E-3</v>
      </c>
      <c r="G274" s="338">
        <f t="shared" si="114"/>
        <v>1</v>
      </c>
      <c r="H274" s="339">
        <f t="shared" si="115"/>
        <v>0</v>
      </c>
      <c r="I274" s="337">
        <f t="shared" si="116"/>
        <v>126521.7283697424</v>
      </c>
      <c r="J274" s="340">
        <f t="shared" si="117"/>
        <v>1.5707884230141556</v>
      </c>
      <c r="K274" s="348">
        <f t="shared" si="107"/>
        <v>3.0732255238863049</v>
      </c>
      <c r="L274" s="349">
        <f t="shared" si="108"/>
        <v>1.2393710997790393</v>
      </c>
      <c r="M274" s="337">
        <f t="shared" si="118"/>
        <v>1.0001474297925184</v>
      </c>
      <c r="N274" s="340">
        <f t="shared" si="119"/>
        <v>1.717042118549271E-2</v>
      </c>
      <c r="O274" s="341">
        <f t="shared" si="120"/>
        <v>1.0005797222508117</v>
      </c>
      <c r="P274" s="342">
        <f t="shared" si="121"/>
        <v>4.1387618817336658E-2</v>
      </c>
      <c r="Q274" s="343">
        <f t="shared" si="122"/>
        <v>3.2650593671259753</v>
      </c>
      <c r="R274" s="344">
        <f t="shared" si="123"/>
        <v>-46.066538616715725</v>
      </c>
      <c r="S274" s="346">
        <f t="shared" si="124"/>
        <v>133.93346138328428</v>
      </c>
      <c r="U274" s="319">
        <f t="shared" si="130"/>
        <v>1000000000</v>
      </c>
      <c r="V274" s="319">
        <f t="shared" si="131"/>
        <v>305524180.5625</v>
      </c>
      <c r="X274" s="345">
        <f t="shared" si="125"/>
        <v>5.4145302445290877</v>
      </c>
      <c r="Y274" s="346">
        <f t="shared" si="126"/>
        <v>-19.972606568107931</v>
      </c>
      <c r="AA274" s="345">
        <f t="shared" si="127"/>
        <v>34.683279280691899</v>
      </c>
      <c r="AB274" s="346">
        <f t="shared" si="128"/>
        <v>-26.09393204860778</v>
      </c>
      <c r="AD274">
        <f t="shared" si="132"/>
        <v>0</v>
      </c>
      <c r="AE274">
        <f t="shared" si="109"/>
        <v>0</v>
      </c>
    </row>
    <row r="275" spans="1:31" x14ac:dyDescent="0.2">
      <c r="A275" s="347">
        <v>17580.5</v>
      </c>
      <c r="B275" s="364">
        <f t="shared" si="129"/>
        <v>17.580500000000001</v>
      </c>
      <c r="C275" s="337">
        <f t="shared" si="110"/>
        <v>1.0938227021233753</v>
      </c>
      <c r="D275" s="338">
        <f t="shared" si="111"/>
        <v>0.41720528991472222</v>
      </c>
      <c r="E275" s="338">
        <f t="shared" si="112"/>
        <v>1.000000539073242</v>
      </c>
      <c r="F275" s="339">
        <f t="shared" si="113"/>
        <v>1.0383380950063281E-3</v>
      </c>
      <c r="G275" s="338">
        <f t="shared" si="114"/>
        <v>1</v>
      </c>
      <c r="H275" s="339">
        <f t="shared" si="115"/>
        <v>0</v>
      </c>
      <c r="I275" s="337">
        <f t="shared" si="116"/>
        <v>127254.6159362363</v>
      </c>
      <c r="J275" s="340">
        <f t="shared" si="117"/>
        <v>1.5707884685337825</v>
      </c>
      <c r="K275" s="348">
        <f t="shared" si="107"/>
        <v>3.0891474382199577</v>
      </c>
      <c r="L275" s="349">
        <f t="shared" si="108"/>
        <v>1.2411441943457142</v>
      </c>
      <c r="M275" s="337">
        <f t="shared" si="118"/>
        <v>1.0001491426101736</v>
      </c>
      <c r="N275" s="340">
        <f t="shared" si="119"/>
        <v>1.7269862551114269E-2</v>
      </c>
      <c r="O275" s="341">
        <f t="shared" si="120"/>
        <v>1.0005864563580305</v>
      </c>
      <c r="P275" s="342">
        <f t="shared" si="121"/>
        <v>4.1627217872312106E-2</v>
      </c>
      <c r="Q275" s="343">
        <f t="shared" si="122"/>
        <v>3.2515039703511213</v>
      </c>
      <c r="R275" s="344">
        <f t="shared" si="123"/>
        <v>-46.106389750312772</v>
      </c>
      <c r="S275" s="346">
        <f t="shared" si="124"/>
        <v>133.89361024968724</v>
      </c>
      <c r="U275" s="319">
        <f t="shared" si="130"/>
        <v>1000000000</v>
      </c>
      <c r="V275" s="319">
        <f t="shared" si="131"/>
        <v>309073980.25</v>
      </c>
      <c r="X275" s="345">
        <f t="shared" si="125"/>
        <v>5.4092309041391271</v>
      </c>
      <c r="Y275" s="346">
        <f t="shared" si="126"/>
        <v>-19.876715911291956</v>
      </c>
      <c r="AA275" s="345">
        <f t="shared" si="127"/>
        <v>34.675023224307004</v>
      </c>
      <c r="AB275" s="346">
        <f t="shared" si="128"/>
        <v>-26.229673839020801</v>
      </c>
      <c r="AD275">
        <f t="shared" si="132"/>
        <v>0</v>
      </c>
      <c r="AE275">
        <f t="shared" si="109"/>
        <v>0</v>
      </c>
    </row>
    <row r="276" spans="1:31" x14ac:dyDescent="0.2">
      <c r="A276" s="347">
        <v>17681.75</v>
      </c>
      <c r="B276" s="364">
        <f t="shared" si="129"/>
        <v>17.681750000000001</v>
      </c>
      <c r="C276" s="337">
        <f t="shared" si="110"/>
        <v>1.0948595325540096</v>
      </c>
      <c r="D276" s="338">
        <f t="shared" si="111"/>
        <v>0.41933677707985956</v>
      </c>
      <c r="E276" s="338">
        <f t="shared" si="112"/>
        <v>1.0000005453004053</v>
      </c>
      <c r="F276" s="339">
        <f t="shared" si="113"/>
        <v>1.0443181101310662E-3</v>
      </c>
      <c r="G276" s="338">
        <f t="shared" si="114"/>
        <v>1</v>
      </c>
      <c r="H276" s="339">
        <f t="shared" si="115"/>
        <v>0</v>
      </c>
      <c r="I276" s="337">
        <f t="shared" si="116"/>
        <v>127987.50350273045</v>
      </c>
      <c r="J276" s="340">
        <f t="shared" si="117"/>
        <v>1.5707885135320965</v>
      </c>
      <c r="K276" s="348">
        <f t="shared" si="107"/>
        <v>3.105078964797364</v>
      </c>
      <c r="L276" s="349">
        <f t="shared" si="108"/>
        <v>1.2428990996096598</v>
      </c>
      <c r="M276" s="337">
        <f t="shared" si="118"/>
        <v>1.0001508653178548</v>
      </c>
      <c r="N276" s="340">
        <f t="shared" si="119"/>
        <v>1.7369303575154031E-2</v>
      </c>
      <c r="O276" s="341">
        <f t="shared" si="120"/>
        <v>1.000593229325206</v>
      </c>
      <c r="P276" s="342">
        <f t="shared" si="121"/>
        <v>4.1866814466380409E-2</v>
      </c>
      <c r="Q276" s="343">
        <f t="shared" si="122"/>
        <v>3.2380006280195635</v>
      </c>
      <c r="R276" s="344">
        <f t="shared" si="123"/>
        <v>-46.147051677137668</v>
      </c>
      <c r="S276" s="346">
        <f t="shared" si="124"/>
        <v>133.85294832286235</v>
      </c>
      <c r="U276" s="319">
        <f t="shared" si="130"/>
        <v>1000000000</v>
      </c>
      <c r="V276" s="319">
        <f t="shared" si="131"/>
        <v>312644283.0625</v>
      </c>
      <c r="X276" s="345">
        <f t="shared" si="125"/>
        <v>5.4040157247428322</v>
      </c>
      <c r="Y276" s="346">
        <f t="shared" si="126"/>
        <v>-19.781867375315613</v>
      </c>
      <c r="AA276" s="345">
        <f t="shared" si="127"/>
        <v>34.666735061371739</v>
      </c>
      <c r="AB276" s="346">
        <f t="shared" si="128"/>
        <v>-26.365184301822069</v>
      </c>
      <c r="AD276">
        <f t="shared" si="132"/>
        <v>0</v>
      </c>
      <c r="AE276">
        <f t="shared" si="109"/>
        <v>0</v>
      </c>
    </row>
    <row r="277" spans="1:31" x14ac:dyDescent="0.2">
      <c r="A277" s="347">
        <v>17783</v>
      </c>
      <c r="B277" s="364">
        <f t="shared" si="129"/>
        <v>17.783000000000001</v>
      </c>
      <c r="C277" s="337">
        <f t="shared" si="110"/>
        <v>1.0959013277662217</v>
      </c>
      <c r="D277" s="338">
        <f t="shared" si="111"/>
        <v>0.42146422138962553</v>
      </c>
      <c r="E277" s="338">
        <f t="shared" si="112"/>
        <v>1.0000005515633295</v>
      </c>
      <c r="F277" s="339">
        <f t="shared" si="113"/>
        <v>1.0502981251811132E-3</v>
      </c>
      <c r="G277" s="338">
        <f t="shared" si="114"/>
        <v>1</v>
      </c>
      <c r="H277" s="339">
        <f t="shared" si="115"/>
        <v>0</v>
      </c>
      <c r="I277" s="337">
        <f t="shared" si="116"/>
        <v>128720.39106922486</v>
      </c>
      <c r="J277" s="340">
        <f t="shared" si="117"/>
        <v>1.5707885580180019</v>
      </c>
      <c r="K277" s="348">
        <f t="shared" si="107"/>
        <v>3.1210199564188463</v>
      </c>
      <c r="L277" s="349">
        <f t="shared" si="108"/>
        <v>1.2446360833904728</v>
      </c>
      <c r="M277" s="337">
        <f t="shared" si="118"/>
        <v>1.0001525979155113</v>
      </c>
      <c r="N277" s="340">
        <f t="shared" si="119"/>
        <v>1.7468744255647116E-2</v>
      </c>
      <c r="O277" s="341">
        <f t="shared" si="120"/>
        <v>1.0006000411517295</v>
      </c>
      <c r="P277" s="342">
        <f t="shared" si="121"/>
        <v>4.2106408585430619E-2</v>
      </c>
      <c r="Q277" s="343">
        <f t="shared" si="122"/>
        <v>3.2245477985168285</v>
      </c>
      <c r="R277" s="344">
        <f t="shared" si="123"/>
        <v>-46.188508599913227</v>
      </c>
      <c r="S277" s="346">
        <f t="shared" si="124"/>
        <v>133.81149140008677</v>
      </c>
      <c r="U277" s="319">
        <f t="shared" si="130"/>
        <v>1000000000</v>
      </c>
      <c r="V277" s="319">
        <f t="shared" si="131"/>
        <v>316235089</v>
      </c>
      <c r="X277" s="345">
        <f t="shared" si="125"/>
        <v>5.3988829551599524</v>
      </c>
      <c r="Y277" s="346">
        <f t="shared" si="126"/>
        <v>-19.688045615643933</v>
      </c>
      <c r="AA277" s="345">
        <f t="shared" si="127"/>
        <v>34.658415001451885</v>
      </c>
      <c r="AB277" s="346">
        <f t="shared" si="128"/>
        <v>-26.500462984269301</v>
      </c>
      <c r="AD277">
        <f t="shared" si="132"/>
        <v>0</v>
      </c>
      <c r="AE277">
        <f t="shared" si="109"/>
        <v>0</v>
      </c>
    </row>
    <row r="278" spans="1:31" x14ac:dyDescent="0.2">
      <c r="A278" s="347">
        <v>17886.5</v>
      </c>
      <c r="B278" s="364">
        <f t="shared" si="129"/>
        <v>17.886500000000002</v>
      </c>
      <c r="C278" s="337">
        <f t="shared" si="110"/>
        <v>1.0969713907544532</v>
      </c>
      <c r="D278" s="338">
        <f t="shared" si="111"/>
        <v>0.42363475559572183</v>
      </c>
      <c r="E278" s="338">
        <f t="shared" si="112"/>
        <v>1.000000558002391</v>
      </c>
      <c r="F278" s="339">
        <f t="shared" si="113"/>
        <v>1.0564110293768507E-3</v>
      </c>
      <c r="G278" s="338">
        <f t="shared" si="114"/>
        <v>1</v>
      </c>
      <c r="H278" s="339">
        <f t="shared" si="115"/>
        <v>0</v>
      </c>
      <c r="I278" s="337">
        <f t="shared" si="116"/>
        <v>129469.56502608609</v>
      </c>
      <c r="J278" s="340">
        <f t="shared" si="117"/>
        <v>1.5707886029719287</v>
      </c>
      <c r="K278" s="348">
        <f t="shared" si="107"/>
        <v>3.1373248249533061</v>
      </c>
      <c r="L278" s="349">
        <f t="shared" si="108"/>
        <v>1.2463934171387592</v>
      </c>
      <c r="M278" s="337">
        <f t="shared" si="118"/>
        <v>1.0001543792373671</v>
      </c>
      <c r="N278" s="340">
        <f t="shared" si="119"/>
        <v>1.7570394371911126E-2</v>
      </c>
      <c r="O278" s="341">
        <f t="shared" si="120"/>
        <v>1.0006070445157931</v>
      </c>
      <c r="P278" s="342">
        <f t="shared" si="121"/>
        <v>4.2351324445416005E-2</v>
      </c>
      <c r="Q278" s="343">
        <f t="shared" si="122"/>
        <v>3.2108466675428593</v>
      </c>
      <c r="R278" s="344">
        <f t="shared" si="123"/>
        <v>-46.23169234210917</v>
      </c>
      <c r="S278" s="346">
        <f t="shared" si="124"/>
        <v>133.76830765789083</v>
      </c>
      <c r="U278" s="319">
        <f t="shared" si="130"/>
        <v>1000000000</v>
      </c>
      <c r="V278" s="319">
        <f t="shared" si="131"/>
        <v>319926882.25</v>
      </c>
      <c r="X278" s="345">
        <f t="shared" si="125"/>
        <v>5.3937195243834166</v>
      </c>
      <c r="Y278" s="346">
        <f t="shared" si="126"/>
        <v>-19.59318450688205</v>
      </c>
      <c r="AA278" s="345">
        <f t="shared" si="127"/>
        <v>34.649877301254449</v>
      </c>
      <c r="AB278" s="346">
        <f t="shared" si="128"/>
        <v>-26.638507835227131</v>
      </c>
      <c r="AD278">
        <f t="shared" si="132"/>
        <v>0</v>
      </c>
      <c r="AE278">
        <f t="shared" si="109"/>
        <v>0</v>
      </c>
    </row>
    <row r="279" spans="1:31" x14ac:dyDescent="0.2">
      <c r="A279" s="347">
        <v>17990</v>
      </c>
      <c r="B279" s="364">
        <f t="shared" si="129"/>
        <v>17.989999999999998</v>
      </c>
      <c r="C279" s="337">
        <f t="shared" si="110"/>
        <v>1.0980466117279422</v>
      </c>
      <c r="D279" s="338">
        <f t="shared" si="111"/>
        <v>0.42580104916261213</v>
      </c>
      <c r="E279" s="338">
        <f t="shared" si="112"/>
        <v>1.0000005644788201</v>
      </c>
      <c r="F279" s="339">
        <f t="shared" si="113"/>
        <v>1.0625239334936367E-3</v>
      </c>
      <c r="G279" s="338">
        <f t="shared" si="114"/>
        <v>1</v>
      </c>
      <c r="H279" s="339">
        <f t="shared" si="115"/>
        <v>0</v>
      </c>
      <c r="I279" s="337">
        <f t="shared" si="116"/>
        <v>130218.73898294756</v>
      </c>
      <c r="J279" s="340">
        <f t="shared" si="117"/>
        <v>1.5707886474085977</v>
      </c>
      <c r="K279" s="348">
        <f t="shared" ref="K279:K342" si="133">SQRT(1+(A279/Zero2)^2)</f>
        <v>3.1536392820405279</v>
      </c>
      <c r="L279" s="349">
        <f t="shared" ref="L279:L342" si="134">ATAN(A279/Zero2)</f>
        <v>1.2481325740777371</v>
      </c>
      <c r="M279" s="337">
        <f t="shared" si="118"/>
        <v>1.0001561708935272</v>
      </c>
      <c r="N279" s="340">
        <f t="shared" si="119"/>
        <v>1.7672044125038214E-2</v>
      </c>
      <c r="O279" s="341">
        <f t="shared" si="120"/>
        <v>1.0006140884841797</v>
      </c>
      <c r="P279" s="342">
        <f t="shared" si="121"/>
        <v>4.2596237689345923E-2</v>
      </c>
      <c r="Q279" s="343">
        <f t="shared" si="122"/>
        <v>3.1971952020636838</v>
      </c>
      <c r="R279" s="344">
        <f t="shared" si="123"/>
        <v>-46.275674367708177</v>
      </c>
      <c r="S279" s="346">
        <f t="shared" si="124"/>
        <v>133.72432563229182</v>
      </c>
      <c r="U279" s="319">
        <f t="shared" si="130"/>
        <v>1000000000</v>
      </c>
      <c r="V279" s="319">
        <f t="shared" si="131"/>
        <v>323640100</v>
      </c>
      <c r="X279" s="345">
        <f t="shared" si="125"/>
        <v>5.3886386471855587</v>
      </c>
      <c r="Y279" s="346">
        <f t="shared" si="126"/>
        <v>-19.499364802136828</v>
      </c>
      <c r="AA279" s="345">
        <f t="shared" si="127"/>
        <v>34.641306712973133</v>
      </c>
      <c r="AB279" s="346">
        <f t="shared" si="128"/>
        <v>-26.776309565571328</v>
      </c>
      <c r="AD279">
        <f t="shared" si="132"/>
        <v>0</v>
      </c>
      <c r="AE279">
        <f t="shared" si="109"/>
        <v>0</v>
      </c>
    </row>
    <row r="280" spans="1:31" x14ac:dyDescent="0.2">
      <c r="A280" s="347">
        <v>18093.5</v>
      </c>
      <c r="B280" s="364">
        <f t="shared" si="129"/>
        <v>18.093499999999999</v>
      </c>
      <c r="C280" s="337">
        <f t="shared" si="110"/>
        <v>1.0991269755492916</v>
      </c>
      <c r="D280" s="338">
        <f t="shared" si="111"/>
        <v>0.42796309423332224</v>
      </c>
      <c r="E280" s="338">
        <f t="shared" si="112"/>
        <v>1.000000570992617</v>
      </c>
      <c r="F280" s="339">
        <f t="shared" si="113"/>
        <v>1.0686368375310148E-3</v>
      </c>
      <c r="G280" s="338">
        <f t="shared" si="114"/>
        <v>1</v>
      </c>
      <c r="H280" s="339">
        <f t="shared" si="115"/>
        <v>0</v>
      </c>
      <c r="I280" s="337">
        <f t="shared" si="116"/>
        <v>130967.91293980929</v>
      </c>
      <c r="J280" s="340">
        <f t="shared" si="117"/>
        <v>1.5707886913368858</v>
      </c>
      <c r="K280" s="348">
        <f t="shared" si="133"/>
        <v>3.1699631796358618</v>
      </c>
      <c r="L280" s="349">
        <f t="shared" si="134"/>
        <v>1.2498538244120776</v>
      </c>
      <c r="M280" s="337">
        <f t="shared" si="118"/>
        <v>1.000157972883936</v>
      </c>
      <c r="N280" s="340">
        <f t="shared" si="119"/>
        <v>1.7773693512929713E-2</v>
      </c>
      <c r="O280" s="341">
        <f t="shared" si="120"/>
        <v>1.000621173056228</v>
      </c>
      <c r="P280" s="342">
        <f t="shared" si="121"/>
        <v>4.2841148302151126E-2</v>
      </c>
      <c r="Q280" s="343">
        <f t="shared" si="122"/>
        <v>3.1835918946847999</v>
      </c>
      <c r="R280" s="344">
        <f t="shared" si="123"/>
        <v>-46.320438744476448</v>
      </c>
      <c r="S280" s="346">
        <f t="shared" si="124"/>
        <v>133.67956125552354</v>
      </c>
      <c r="U280" s="319">
        <f t="shared" si="130"/>
        <v>1000000000</v>
      </c>
      <c r="V280" s="319">
        <f t="shared" si="131"/>
        <v>327374742.25</v>
      </c>
      <c r="X280" s="345">
        <f t="shared" si="125"/>
        <v>5.3836385928932105</v>
      </c>
      <c r="Y280" s="346">
        <f t="shared" si="126"/>
        <v>-19.406571020209395</v>
      </c>
      <c r="AA280" s="345">
        <f t="shared" si="127"/>
        <v>34.632703459886599</v>
      </c>
      <c r="AB280" s="346">
        <f t="shared" si="128"/>
        <v>-26.913867724267057</v>
      </c>
      <c r="AD280">
        <f t="shared" si="132"/>
        <v>0</v>
      </c>
      <c r="AE280">
        <f t="shared" si="109"/>
        <v>0</v>
      </c>
    </row>
    <row r="281" spans="1:31" x14ac:dyDescent="0.2">
      <c r="A281" s="347">
        <v>18197</v>
      </c>
      <c r="B281" s="364">
        <f t="shared" si="129"/>
        <v>18.196999999999999</v>
      </c>
      <c r="C281" s="337">
        <f t="shared" si="110"/>
        <v>1.1002124670683</v>
      </c>
      <c r="D281" s="338">
        <f t="shared" si="111"/>
        <v>0.43012088314053903</v>
      </c>
      <c r="E281" s="338">
        <f t="shared" si="112"/>
        <v>1.0000005775437812</v>
      </c>
      <c r="F281" s="339">
        <f t="shared" si="113"/>
        <v>1.0747497414885282E-3</v>
      </c>
      <c r="G281" s="338">
        <f t="shared" si="114"/>
        <v>1</v>
      </c>
      <c r="H281" s="339">
        <f t="shared" si="115"/>
        <v>0</v>
      </c>
      <c r="I281" s="337">
        <f t="shared" si="116"/>
        <v>131717.08689667127</v>
      </c>
      <c r="J281" s="340">
        <f t="shared" si="117"/>
        <v>1.5707887347654677</v>
      </c>
      <c r="K281" s="348">
        <f t="shared" si="133"/>
        <v>3.1862963726436875</v>
      </c>
      <c r="L281" s="349">
        <f t="shared" si="134"/>
        <v>1.2515574332353323</v>
      </c>
      <c r="M281" s="337">
        <f t="shared" si="118"/>
        <v>1.0001597852085382</v>
      </c>
      <c r="N281" s="340">
        <f t="shared" si="119"/>
        <v>1.7875342533486993E-2</v>
      </c>
      <c r="O281" s="341">
        <f t="shared" si="120"/>
        <v>1.0006282982312729</v>
      </c>
      <c r="P281" s="342">
        <f t="shared" si="121"/>
        <v>4.3086056268763558E-2</v>
      </c>
      <c r="Q281" s="343">
        <f t="shared" si="122"/>
        <v>3.1700352821244766</v>
      </c>
      <c r="R281" s="344">
        <f t="shared" si="123"/>
        <v>-46.365969843881125</v>
      </c>
      <c r="S281" s="346">
        <f t="shared" si="124"/>
        <v>133.63403015611888</v>
      </c>
      <c r="U281" s="319">
        <f t="shared" si="130"/>
        <v>1000000000</v>
      </c>
      <c r="V281" s="319">
        <f t="shared" si="131"/>
        <v>331130809</v>
      </c>
      <c r="X281" s="345">
        <f t="shared" si="125"/>
        <v>5.3787176751652765</v>
      </c>
      <c r="Y281" s="346">
        <f t="shared" si="126"/>
        <v>-19.314787972734788</v>
      </c>
      <c r="AA281" s="345">
        <f t="shared" si="127"/>
        <v>34.624067765054207</v>
      </c>
      <c r="AB281" s="346">
        <f t="shared" si="128"/>
        <v>-27.051181871146319</v>
      </c>
      <c r="AD281">
        <f t="shared" si="132"/>
        <v>0</v>
      </c>
      <c r="AE281">
        <f t="shared" si="109"/>
        <v>0</v>
      </c>
    </row>
    <row r="282" spans="1:31" x14ac:dyDescent="0.2">
      <c r="A282" s="347">
        <v>18303</v>
      </c>
      <c r="B282" s="364">
        <f t="shared" si="129"/>
        <v>18.303000000000001</v>
      </c>
      <c r="C282" s="337">
        <f t="shared" si="110"/>
        <v>1.1013294773262607</v>
      </c>
      <c r="D282" s="338">
        <f t="shared" si="111"/>
        <v>0.43232637312583266</v>
      </c>
      <c r="E282" s="338">
        <f t="shared" si="112"/>
        <v>1.0000005842919188</v>
      </c>
      <c r="F282" s="339">
        <f t="shared" si="113"/>
        <v>1.0810103000477467E-3</v>
      </c>
      <c r="G282" s="338">
        <f t="shared" si="114"/>
        <v>1</v>
      </c>
      <c r="H282" s="339">
        <f t="shared" si="115"/>
        <v>0</v>
      </c>
      <c r="I282" s="337">
        <f t="shared" si="116"/>
        <v>132484.3568428297</v>
      </c>
      <c r="J282" s="340">
        <f t="shared" si="117"/>
        <v>1.5707887787339494</v>
      </c>
      <c r="K282" s="348">
        <f t="shared" si="133"/>
        <v>3.2030335735553428</v>
      </c>
      <c r="L282" s="349">
        <f t="shared" si="134"/>
        <v>1.2532841779237993</v>
      </c>
      <c r="M282" s="337">
        <f t="shared" si="118"/>
        <v>1.0001616520206731</v>
      </c>
      <c r="N282" s="340">
        <f t="shared" si="119"/>
        <v>1.7979446461452577E-2</v>
      </c>
      <c r="O282" s="341">
        <f t="shared" si="120"/>
        <v>1.0006356375972607</v>
      </c>
      <c r="P282" s="342">
        <f t="shared" si="121"/>
        <v>4.3336877128159229E-2</v>
      </c>
      <c r="Q282" s="343">
        <f t="shared" si="122"/>
        <v>3.156198131446093</v>
      </c>
      <c r="R282" s="344">
        <f t="shared" si="123"/>
        <v>-46.413379436891134</v>
      </c>
      <c r="S282" s="346">
        <f t="shared" si="124"/>
        <v>133.58662056310885</v>
      </c>
      <c r="U282" s="319">
        <f t="shared" si="130"/>
        <v>1000000000</v>
      </c>
      <c r="V282" s="319">
        <f t="shared" si="131"/>
        <v>334999809</v>
      </c>
      <c r="X282" s="345">
        <f t="shared" si="125"/>
        <v>5.373758204794056</v>
      </c>
      <c r="Y282" s="346">
        <f t="shared" si="126"/>
        <v>-19.221820024594368</v>
      </c>
      <c r="AA282" s="345">
        <f t="shared" si="127"/>
        <v>34.615190084747042</v>
      </c>
      <c r="AB282" s="346">
        <f t="shared" si="128"/>
        <v>-27.191559412296797</v>
      </c>
      <c r="AD282">
        <f t="shared" si="132"/>
        <v>0</v>
      </c>
      <c r="AE282">
        <f t="shared" ref="AE282:AE345" si="135">IF(AD282&gt;0,S282,0)</f>
        <v>0</v>
      </c>
    </row>
    <row r="283" spans="1:31" x14ac:dyDescent="0.2">
      <c r="A283" s="347">
        <v>18409</v>
      </c>
      <c r="B283" s="364">
        <f t="shared" si="129"/>
        <v>18.408999999999999</v>
      </c>
      <c r="C283" s="337">
        <f t="shared" si="110"/>
        <v>1.1024518337849178</v>
      </c>
      <c r="D283" s="338">
        <f t="shared" si="111"/>
        <v>0.43452738317948753</v>
      </c>
      <c r="E283" s="338">
        <f t="shared" si="112"/>
        <v>1.0000005910792511</v>
      </c>
      <c r="F283" s="339">
        <f t="shared" si="113"/>
        <v>1.0872708585222253E-3</v>
      </c>
      <c r="G283" s="338">
        <f t="shared" si="114"/>
        <v>1</v>
      </c>
      <c r="H283" s="339">
        <f t="shared" si="115"/>
        <v>0</v>
      </c>
      <c r="I283" s="337">
        <f t="shared" si="116"/>
        <v>133251.62678898836</v>
      </c>
      <c r="J283" s="340">
        <f t="shared" si="117"/>
        <v>1.5707888221960853</v>
      </c>
      <c r="K283" s="348">
        <f t="shared" si="133"/>
        <v>3.2197802254769012</v>
      </c>
      <c r="L283" s="349">
        <f t="shared" si="134"/>
        <v>1.2549929654482515</v>
      </c>
      <c r="M283" s="337">
        <f t="shared" si="118"/>
        <v>1.0001635296721474</v>
      </c>
      <c r="N283" s="340">
        <f t="shared" si="119"/>
        <v>1.8083549999668522E-2</v>
      </c>
      <c r="O283" s="341">
        <f t="shared" si="120"/>
        <v>1.0006430195500082</v>
      </c>
      <c r="P283" s="342">
        <f t="shared" si="121"/>
        <v>4.3587695179995341E-2</v>
      </c>
      <c r="Q283" s="343">
        <f t="shared" si="122"/>
        <v>3.1424069879328926</v>
      </c>
      <c r="R283" s="344">
        <f t="shared" si="123"/>
        <v>-46.461561006237801</v>
      </c>
      <c r="S283" s="346">
        <f t="shared" si="124"/>
        <v>133.53843899376221</v>
      </c>
      <c r="U283" s="319">
        <f t="shared" si="130"/>
        <v>1000000000</v>
      </c>
      <c r="V283" s="319">
        <f t="shared" si="131"/>
        <v>338891281</v>
      </c>
      <c r="X283" s="345">
        <f t="shared" si="125"/>
        <v>5.3688782966763124</v>
      </c>
      <c r="Y283" s="346">
        <f t="shared" si="126"/>
        <v>-19.129880894822701</v>
      </c>
      <c r="AA283" s="345">
        <f t="shared" si="127"/>
        <v>34.60627884935159</v>
      </c>
      <c r="AB283" s="346">
        <f t="shared" si="128"/>
        <v>-27.331680111415114</v>
      </c>
      <c r="AD283">
        <f t="shared" si="132"/>
        <v>0</v>
      </c>
      <c r="AE283">
        <f t="shared" si="135"/>
        <v>0</v>
      </c>
    </row>
    <row r="284" spans="1:31" x14ac:dyDescent="0.2">
      <c r="A284" s="347">
        <v>18515</v>
      </c>
      <c r="B284" s="364">
        <f t="shared" si="129"/>
        <v>18.515000000000001</v>
      </c>
      <c r="C284" s="337">
        <f t="shared" si="110"/>
        <v>1.1035795201327796</v>
      </c>
      <c r="D284" s="338">
        <f t="shared" si="111"/>
        <v>0.4367239056772203</v>
      </c>
      <c r="E284" s="338">
        <f t="shared" si="112"/>
        <v>1.0000005979057778</v>
      </c>
      <c r="F284" s="339">
        <f t="shared" si="113"/>
        <v>1.0935314169114739E-3</v>
      </c>
      <c r="G284" s="338">
        <f t="shared" si="114"/>
        <v>1</v>
      </c>
      <c r="H284" s="339">
        <f t="shared" si="115"/>
        <v>0</v>
      </c>
      <c r="I284" s="337">
        <f t="shared" si="116"/>
        <v>134018.89673514728</v>
      </c>
      <c r="J284" s="340">
        <f t="shared" si="117"/>
        <v>1.5707888651605721</v>
      </c>
      <c r="K284" s="348">
        <f t="shared" si="133"/>
        <v>3.2365361817026628</v>
      </c>
      <c r="L284" s="349">
        <f t="shared" si="134"/>
        <v>1.2566840646508424</v>
      </c>
      <c r="M284" s="337">
        <f t="shared" si="118"/>
        <v>1.0001654181628996</v>
      </c>
      <c r="N284" s="340">
        <f t="shared" si="119"/>
        <v>1.8187653145880583E-2</v>
      </c>
      <c r="O284" s="341">
        <f t="shared" si="120"/>
        <v>1.000650444088788</v>
      </c>
      <c r="P284" s="342">
        <f t="shared" si="121"/>
        <v>4.383851040808924E-2</v>
      </c>
      <c r="Q284" s="343">
        <f t="shared" si="122"/>
        <v>3.1286604148943962</v>
      </c>
      <c r="R284" s="344">
        <f t="shared" si="123"/>
        <v>-46.510498711003009</v>
      </c>
      <c r="S284" s="346">
        <f t="shared" si="124"/>
        <v>133.48950128899699</v>
      </c>
      <c r="U284" s="319">
        <f t="shared" si="130"/>
        <v>1000000000</v>
      </c>
      <c r="V284" s="319">
        <f t="shared" si="131"/>
        <v>342805225</v>
      </c>
      <c r="X284" s="345">
        <f t="shared" si="125"/>
        <v>5.3640762753072799</v>
      </c>
      <c r="Y284" s="346">
        <f t="shared" si="126"/>
        <v>-19.038955180268157</v>
      </c>
      <c r="AA284" s="345">
        <f t="shared" si="127"/>
        <v>34.597334297682124</v>
      </c>
      <c r="AB284" s="346">
        <f t="shared" si="128"/>
        <v>-27.471543530734845</v>
      </c>
      <c r="AD284">
        <f t="shared" si="132"/>
        <v>0</v>
      </c>
      <c r="AE284">
        <f t="shared" si="135"/>
        <v>0</v>
      </c>
    </row>
    <row r="285" spans="1:31" x14ac:dyDescent="0.2">
      <c r="A285" s="347">
        <v>18621</v>
      </c>
      <c r="B285" s="364">
        <f t="shared" si="129"/>
        <v>18.620999999999999</v>
      </c>
      <c r="C285" s="337">
        <f t="shared" si="110"/>
        <v>1.104712520047654</v>
      </c>
      <c r="D285" s="338">
        <f t="shared" si="111"/>
        <v>0.4389159331990134</v>
      </c>
      <c r="E285" s="338">
        <f t="shared" si="112"/>
        <v>1.0000006047714991</v>
      </c>
      <c r="F285" s="339">
        <f t="shared" si="113"/>
        <v>1.0997919752150013E-3</v>
      </c>
      <c r="G285" s="338">
        <f t="shared" si="114"/>
        <v>1</v>
      </c>
      <c r="H285" s="339">
        <f t="shared" si="115"/>
        <v>0</v>
      </c>
      <c r="I285" s="337">
        <f t="shared" si="116"/>
        <v>134786.16668130644</v>
      </c>
      <c r="J285" s="340">
        <f t="shared" si="117"/>
        <v>1.5707889076359085</v>
      </c>
      <c r="K285" s="348">
        <f t="shared" si="133"/>
        <v>3.2533012984686502</v>
      </c>
      <c r="L285" s="349">
        <f t="shared" si="134"/>
        <v>1.2583577392413816</v>
      </c>
      <c r="M285" s="337">
        <f t="shared" si="118"/>
        <v>1.0001673174928687</v>
      </c>
      <c r="N285" s="340">
        <f t="shared" si="119"/>
        <v>1.829175589783455E-2</v>
      </c>
      <c r="O285" s="341">
        <f t="shared" si="120"/>
        <v>1.0006579112128695</v>
      </c>
      <c r="P285" s="342">
        <f t="shared" si="121"/>
        <v>4.4089322796259628E-2</v>
      </c>
      <c r="Q285" s="343">
        <f t="shared" si="122"/>
        <v>3.1149570184772508</v>
      </c>
      <c r="R285" s="344">
        <f t="shared" si="123"/>
        <v>-46.560177016022585</v>
      </c>
      <c r="S285" s="346">
        <f t="shared" si="124"/>
        <v>133.43982298397742</v>
      </c>
      <c r="U285" s="319">
        <f t="shared" si="130"/>
        <v>1000000000</v>
      </c>
      <c r="V285" s="319">
        <f t="shared" si="131"/>
        <v>346741641</v>
      </c>
      <c r="X285" s="345">
        <f t="shared" si="125"/>
        <v>5.3593505083188724</v>
      </c>
      <c r="Y285" s="346">
        <f t="shared" si="126"/>
        <v>-18.949027771829382</v>
      </c>
      <c r="AA285" s="345">
        <f t="shared" si="127"/>
        <v>34.588356668253383</v>
      </c>
      <c r="AB285" s="346">
        <f t="shared" si="128"/>
        <v>-27.611149244193207</v>
      </c>
      <c r="AD285">
        <f t="shared" si="132"/>
        <v>0</v>
      </c>
      <c r="AE285">
        <f t="shared" si="135"/>
        <v>0</v>
      </c>
    </row>
    <row r="286" spans="1:31" x14ac:dyDescent="0.2">
      <c r="A286" s="347">
        <v>18729.5</v>
      </c>
      <c r="B286" s="364">
        <f t="shared" si="129"/>
        <v>18.729500000000002</v>
      </c>
      <c r="C286" s="337">
        <f t="shared" si="110"/>
        <v>1.1058777276360314</v>
      </c>
      <c r="D286" s="338">
        <f t="shared" si="111"/>
        <v>0.44115499670490554</v>
      </c>
      <c r="E286" s="338">
        <f t="shared" si="112"/>
        <v>1.00000061183974</v>
      </c>
      <c r="F286" s="339">
        <f t="shared" si="113"/>
        <v>1.1062001881062089E-3</v>
      </c>
      <c r="G286" s="338">
        <f t="shared" si="114"/>
        <v>1</v>
      </c>
      <c r="H286" s="339">
        <f t="shared" si="115"/>
        <v>0</v>
      </c>
      <c r="I286" s="337">
        <f t="shared" si="116"/>
        <v>135571.53261676207</v>
      </c>
      <c r="J286" s="340">
        <f t="shared" si="117"/>
        <v>1.5707889506150992</v>
      </c>
      <c r="K286" s="348">
        <f t="shared" si="133"/>
        <v>3.2704711590486406</v>
      </c>
      <c r="L286" s="349">
        <f t="shared" si="134"/>
        <v>1.2600531113879101</v>
      </c>
      <c r="M286" s="337">
        <f t="shared" si="118"/>
        <v>1.0001692728439859</v>
      </c>
      <c r="N286" s="340">
        <f t="shared" si="119"/>
        <v>1.8398313492703912E-2</v>
      </c>
      <c r="O286" s="341">
        <f t="shared" si="120"/>
        <v>1.0006655985513015</v>
      </c>
      <c r="P286" s="342">
        <f t="shared" si="121"/>
        <v>4.4346047612872523E-2</v>
      </c>
      <c r="Q286" s="343">
        <f t="shared" si="122"/>
        <v>3.100973733537792</v>
      </c>
      <c r="R286" s="344">
        <f t="shared" si="123"/>
        <v>-46.611778084253409</v>
      </c>
      <c r="S286" s="346">
        <f t="shared" si="124"/>
        <v>133.38822191574658</v>
      </c>
      <c r="U286" s="319">
        <f t="shared" si="130"/>
        <v>1000000000</v>
      </c>
      <c r="V286" s="319">
        <f t="shared" si="131"/>
        <v>350794170.25</v>
      </c>
      <c r="X286" s="345">
        <f t="shared" si="125"/>
        <v>5.3545905978825239</v>
      </c>
      <c r="Y286" s="346">
        <f t="shared" si="126"/>
        <v>-18.857997866012557</v>
      </c>
      <c r="AA286" s="345">
        <f t="shared" si="127"/>
        <v>34.579133293750274</v>
      </c>
      <c r="AB286" s="346">
        <f t="shared" si="128"/>
        <v>-27.753780218240873</v>
      </c>
      <c r="AD286">
        <f t="shared" si="132"/>
        <v>0</v>
      </c>
      <c r="AE286">
        <f t="shared" si="135"/>
        <v>0</v>
      </c>
    </row>
    <row r="287" spans="1:31" x14ac:dyDescent="0.2">
      <c r="A287" s="347">
        <v>18838</v>
      </c>
      <c r="B287" s="364">
        <f t="shared" si="129"/>
        <v>18.838000000000001</v>
      </c>
      <c r="C287" s="337">
        <f t="shared" si="110"/>
        <v>1.1070484677506072</v>
      </c>
      <c r="D287" s="338">
        <f t="shared" si="111"/>
        <v>0.44338933562635646</v>
      </c>
      <c r="E287" s="338">
        <f t="shared" si="112"/>
        <v>1.000000618949046</v>
      </c>
      <c r="F287" s="339">
        <f t="shared" si="113"/>
        <v>1.112608400906564E-3</v>
      </c>
      <c r="G287" s="338">
        <f t="shared" si="114"/>
        <v>1</v>
      </c>
      <c r="H287" s="339">
        <f t="shared" si="115"/>
        <v>0</v>
      </c>
      <c r="I287" s="337">
        <f t="shared" si="116"/>
        <v>136356.89855221793</v>
      </c>
      <c r="J287" s="340">
        <f t="shared" si="117"/>
        <v>1.5707889930992007</v>
      </c>
      <c r="K287" s="348">
        <f t="shared" si="133"/>
        <v>3.2876503216983206</v>
      </c>
      <c r="L287" s="349">
        <f t="shared" si="134"/>
        <v>1.2617307704486573</v>
      </c>
      <c r="M287" s="337">
        <f t="shared" si="118"/>
        <v>1.0001712395515014</v>
      </c>
      <c r="N287" s="340">
        <f t="shared" si="119"/>
        <v>1.8504870669719689E-2</v>
      </c>
      <c r="O287" s="341">
        <f t="shared" si="120"/>
        <v>1.0006733305059006</v>
      </c>
      <c r="P287" s="342">
        <f t="shared" si="121"/>
        <v>4.4602769419720863E-2</v>
      </c>
      <c r="Q287" s="343">
        <f t="shared" si="122"/>
        <v>3.0870328625179964</v>
      </c>
      <c r="R287" s="344">
        <f t="shared" si="123"/>
        <v>-46.664123114044749</v>
      </c>
      <c r="S287" s="346">
        <f t="shared" si="124"/>
        <v>133.33587688595526</v>
      </c>
      <c r="U287" s="319">
        <f t="shared" si="130"/>
        <v>1000000000</v>
      </c>
      <c r="V287" s="319">
        <f t="shared" si="131"/>
        <v>354870244</v>
      </c>
      <c r="X287" s="345">
        <f t="shared" si="125"/>
        <v>5.3499072531289364</v>
      </c>
      <c r="Y287" s="346">
        <f t="shared" si="126"/>
        <v>-18.767982792946551</v>
      </c>
      <c r="AA287" s="345">
        <f t="shared" si="127"/>
        <v>34.569875767484064</v>
      </c>
      <c r="AB287" s="346">
        <f t="shared" si="128"/>
        <v>-27.896140321098194</v>
      </c>
      <c r="AD287">
        <f t="shared" si="132"/>
        <v>0</v>
      </c>
      <c r="AE287">
        <f t="shared" si="135"/>
        <v>0</v>
      </c>
    </row>
    <row r="288" spans="1:31" x14ac:dyDescent="0.2">
      <c r="A288" s="347">
        <v>18946.5</v>
      </c>
      <c r="B288" s="364">
        <f t="shared" si="129"/>
        <v>18.9465</v>
      </c>
      <c r="C288" s="337">
        <f t="shared" si="110"/>
        <v>1.108224722857527</v>
      </c>
      <c r="D288" s="338">
        <f t="shared" si="111"/>
        <v>0.44561894266323343</v>
      </c>
      <c r="E288" s="338">
        <f t="shared" si="112"/>
        <v>1.0000006260994174</v>
      </c>
      <c r="F288" s="339">
        <f t="shared" si="113"/>
        <v>1.1190166136155399E-3</v>
      </c>
      <c r="G288" s="338">
        <f t="shared" si="114"/>
        <v>1</v>
      </c>
      <c r="H288" s="339">
        <f t="shared" si="115"/>
        <v>0</v>
      </c>
      <c r="I288" s="337">
        <f t="shared" si="116"/>
        <v>137142.26448767405</v>
      </c>
      <c r="J288" s="340">
        <f t="shared" si="117"/>
        <v>1.5707890350967193</v>
      </c>
      <c r="K288" s="348">
        <f t="shared" si="133"/>
        <v>3.3048386413560569</v>
      </c>
      <c r="L288" s="349">
        <f t="shared" si="134"/>
        <v>1.263390983280527</v>
      </c>
      <c r="M288" s="337">
        <f t="shared" si="118"/>
        <v>1.0001732176153486</v>
      </c>
      <c r="N288" s="340">
        <f t="shared" si="119"/>
        <v>1.8611427426464565E-2</v>
      </c>
      <c r="O288" s="341">
        <f t="shared" si="120"/>
        <v>1.0006811070758694</v>
      </c>
      <c r="P288" s="342">
        <f t="shared" si="121"/>
        <v>4.4859488199455608E-2</v>
      </c>
      <c r="Q288" s="343">
        <f t="shared" si="122"/>
        <v>3.0731330415707685</v>
      </c>
      <c r="R288" s="344">
        <f t="shared" si="123"/>
        <v>-46.717196396710257</v>
      </c>
      <c r="S288" s="346">
        <f t="shared" si="124"/>
        <v>133.28280360328975</v>
      </c>
      <c r="U288" s="319">
        <f t="shared" si="130"/>
        <v>1000000000</v>
      </c>
      <c r="V288" s="319">
        <f t="shared" si="131"/>
        <v>358969862.25</v>
      </c>
      <c r="X288" s="345">
        <f t="shared" si="125"/>
        <v>5.3452988554873109</v>
      </c>
      <c r="Y288" s="346">
        <f t="shared" si="126"/>
        <v>-18.678967263205887</v>
      </c>
      <c r="AA288" s="345">
        <f t="shared" si="127"/>
        <v>34.560584344178466</v>
      </c>
      <c r="AB288" s="346">
        <f t="shared" si="128"/>
        <v>-28.03822913350438</v>
      </c>
      <c r="AD288">
        <f t="shared" si="132"/>
        <v>0</v>
      </c>
      <c r="AE288">
        <f t="shared" si="135"/>
        <v>0</v>
      </c>
    </row>
    <row r="289" spans="1:31" x14ac:dyDescent="0.2">
      <c r="A289" s="347">
        <v>19055</v>
      </c>
      <c r="B289" s="364">
        <f t="shared" si="129"/>
        <v>19.055</v>
      </c>
      <c r="C289" s="337">
        <f t="shared" si="110"/>
        <v>1.109406475414876</v>
      </c>
      <c r="D289" s="338">
        <f t="shared" si="111"/>
        <v>0.4478438107344726</v>
      </c>
      <c r="E289" s="338">
        <f t="shared" si="112"/>
        <v>1.000000633290854</v>
      </c>
      <c r="F289" s="339">
        <f t="shared" si="113"/>
        <v>1.1254248262326106E-3</v>
      </c>
      <c r="G289" s="338">
        <f t="shared" si="114"/>
        <v>1</v>
      </c>
      <c r="H289" s="339">
        <f t="shared" si="115"/>
        <v>0</v>
      </c>
      <c r="I289" s="337">
        <f t="shared" si="116"/>
        <v>137927.63042313038</v>
      </c>
      <c r="J289" s="340">
        <f t="shared" si="117"/>
        <v>1.5707890766159662</v>
      </c>
      <c r="K289" s="348">
        <f t="shared" si="133"/>
        <v>3.3220359758859002</v>
      </c>
      <c r="L289" s="349">
        <f t="shared" si="134"/>
        <v>1.26503401160375</v>
      </c>
      <c r="M289" s="337">
        <f t="shared" si="118"/>
        <v>1.0001752070354599</v>
      </c>
      <c r="N289" s="340">
        <f t="shared" si="119"/>
        <v>1.8717983760521268E-2</v>
      </c>
      <c r="O289" s="341">
        <f t="shared" si="120"/>
        <v>1.0006889282604055</v>
      </c>
      <c r="P289" s="342">
        <f t="shared" si="121"/>
        <v>4.5116203934729239E-2</v>
      </c>
      <c r="Q289" s="343">
        <f t="shared" si="122"/>
        <v>3.0592729483101166</v>
      </c>
      <c r="R289" s="344">
        <f t="shared" si="123"/>
        <v>-46.770982530414038</v>
      </c>
      <c r="S289" s="346">
        <f t="shared" si="124"/>
        <v>133.22901746958595</v>
      </c>
      <c r="U289" s="319">
        <f t="shared" si="130"/>
        <v>1000000000</v>
      </c>
      <c r="V289" s="319">
        <f t="shared" si="131"/>
        <v>363093025</v>
      </c>
      <c r="X289" s="345">
        <f t="shared" si="125"/>
        <v>5.3407638282390053</v>
      </c>
      <c r="Y289" s="346">
        <f t="shared" si="126"/>
        <v>-18.590936281663623</v>
      </c>
      <c r="AA289" s="345">
        <f t="shared" si="127"/>
        <v>34.551259278166121</v>
      </c>
      <c r="AB289" s="346">
        <f t="shared" si="128"/>
        <v>-28.18004624875044</v>
      </c>
      <c r="AD289">
        <f t="shared" si="132"/>
        <v>0</v>
      </c>
      <c r="AE289">
        <f t="shared" si="135"/>
        <v>0</v>
      </c>
    </row>
    <row r="290" spans="1:31" x14ac:dyDescent="0.2">
      <c r="A290" s="347">
        <v>19165.75</v>
      </c>
      <c r="B290" s="364">
        <f t="shared" si="129"/>
        <v>19.165749999999999</v>
      </c>
      <c r="C290" s="337">
        <f t="shared" si="110"/>
        <v>1.1106183857739305</v>
      </c>
      <c r="D290" s="338">
        <f t="shared" si="111"/>
        <v>0.45010992210197304</v>
      </c>
      <c r="E290" s="338">
        <f t="shared" si="112"/>
        <v>1.0000006406737731</v>
      </c>
      <c r="F290" s="339">
        <f t="shared" si="113"/>
        <v>1.1319659279560874E-3</v>
      </c>
      <c r="G290" s="338">
        <f t="shared" si="114"/>
        <v>1</v>
      </c>
      <c r="H290" s="339">
        <f t="shared" si="115"/>
        <v>0</v>
      </c>
      <c r="I290" s="337">
        <f t="shared" si="116"/>
        <v>138729.28274895358</v>
      </c>
      <c r="J290" s="340">
        <f t="shared" si="117"/>
        <v>1.5707891185113951</v>
      </c>
      <c r="K290" s="348">
        <f t="shared" si="133"/>
        <v>3.339599089773662</v>
      </c>
      <c r="L290" s="349">
        <f t="shared" si="134"/>
        <v>1.2666936557430399</v>
      </c>
      <c r="M290" s="337">
        <f t="shared" si="118"/>
        <v>1.0001772494227104</v>
      </c>
      <c r="N290" s="340">
        <f t="shared" si="119"/>
        <v>1.8826749349704033E-2</v>
      </c>
      <c r="O290" s="341">
        <f t="shared" si="120"/>
        <v>1.0006969576465072</v>
      </c>
      <c r="P290" s="342">
        <f t="shared" si="121"/>
        <v>4.5378240110370074E-2</v>
      </c>
      <c r="Q290" s="343">
        <f t="shared" si="122"/>
        <v>3.0451650744556651</v>
      </c>
      <c r="R290" s="344">
        <f t="shared" si="123"/>
        <v>-46.826603542136603</v>
      </c>
      <c r="S290" s="346">
        <f t="shared" si="124"/>
        <v>133.17339645786339</v>
      </c>
      <c r="U290" s="319">
        <f t="shared" si="130"/>
        <v>1000000000</v>
      </c>
      <c r="V290" s="319">
        <f t="shared" si="131"/>
        <v>367325973.0625</v>
      </c>
      <c r="X290" s="345">
        <f t="shared" si="125"/>
        <v>5.3362088300845842</v>
      </c>
      <c r="Y290" s="346">
        <f t="shared" si="126"/>
        <v>-18.502079886534833</v>
      </c>
      <c r="AA290" s="345">
        <f t="shared" si="127"/>
        <v>34.54170640246609</v>
      </c>
      <c r="AB290" s="346">
        <f t="shared" si="128"/>
        <v>-28.324523655601769</v>
      </c>
      <c r="AD290">
        <f t="shared" si="132"/>
        <v>0</v>
      </c>
      <c r="AE290">
        <f t="shared" si="135"/>
        <v>0</v>
      </c>
    </row>
    <row r="291" spans="1:31" x14ac:dyDescent="0.2">
      <c r="A291" s="347">
        <v>19276.5</v>
      </c>
      <c r="B291" s="364">
        <f t="shared" si="129"/>
        <v>19.276499999999999</v>
      </c>
      <c r="C291" s="337">
        <f t="shared" si="110"/>
        <v>1.1118359869975833</v>
      </c>
      <c r="D291" s="338">
        <f t="shared" si="111"/>
        <v>0.45237108170206103</v>
      </c>
      <c r="E291" s="338">
        <f t="shared" si="112"/>
        <v>1.0000006480994783</v>
      </c>
      <c r="F291" s="339">
        <f t="shared" si="113"/>
        <v>1.1385070295826995E-3</v>
      </c>
      <c r="G291" s="338">
        <f t="shared" si="114"/>
        <v>1</v>
      </c>
      <c r="H291" s="339">
        <f t="shared" si="115"/>
        <v>0</v>
      </c>
      <c r="I291" s="337">
        <f t="shared" si="116"/>
        <v>139530.93507477702</v>
      </c>
      <c r="J291" s="340">
        <f t="shared" si="117"/>
        <v>1.5707891599254173</v>
      </c>
      <c r="K291" s="348">
        <f t="shared" si="133"/>
        <v>3.3571713060549002</v>
      </c>
      <c r="L291" s="349">
        <f t="shared" si="134"/>
        <v>1.2683359304387771</v>
      </c>
      <c r="M291" s="337">
        <f t="shared" si="118"/>
        <v>1.0001793036419628</v>
      </c>
      <c r="N291" s="340">
        <f t="shared" si="119"/>
        <v>1.8935514493396852E-2</v>
      </c>
      <c r="O291" s="341">
        <f t="shared" si="120"/>
        <v>1.0007050335150329</v>
      </c>
      <c r="P291" s="342">
        <f t="shared" si="121"/>
        <v>4.5640273077453601E-2</v>
      </c>
      <c r="Q291" s="343">
        <f t="shared" si="122"/>
        <v>3.0310959354336466</v>
      </c>
      <c r="R291" s="344">
        <f t="shared" si="123"/>
        <v>-46.88293579735565</v>
      </c>
      <c r="S291" s="346">
        <f t="shared" si="124"/>
        <v>133.11706420264434</v>
      </c>
      <c r="U291" s="319">
        <f t="shared" si="130"/>
        <v>1000000000</v>
      </c>
      <c r="V291" s="319">
        <f t="shared" si="131"/>
        <v>371583452.25</v>
      </c>
      <c r="X291" s="345">
        <f t="shared" si="125"/>
        <v>5.3317270850904794</v>
      </c>
      <c r="Y291" s="346">
        <f t="shared" si="126"/>
        <v>-18.414218634107982</v>
      </c>
      <c r="AA291" s="345">
        <f t="shared" si="127"/>
        <v>34.53211900843818</v>
      </c>
      <c r="AB291" s="346">
        <f t="shared" si="128"/>
        <v>-28.468717163247675</v>
      </c>
      <c r="AD291">
        <f t="shared" si="132"/>
        <v>0</v>
      </c>
      <c r="AE291">
        <f t="shared" si="135"/>
        <v>0</v>
      </c>
    </row>
    <row r="292" spans="1:31" x14ac:dyDescent="0.2">
      <c r="A292" s="347">
        <v>19387.25</v>
      </c>
      <c r="B292" s="364">
        <f t="shared" si="129"/>
        <v>19.387250000000002</v>
      </c>
      <c r="C292" s="337">
        <f t="shared" si="110"/>
        <v>1.1130592604097309</v>
      </c>
      <c r="D292" s="338">
        <f t="shared" si="111"/>
        <v>0.45462728270139252</v>
      </c>
      <c r="E292" s="338">
        <f t="shared" si="112"/>
        <v>1.0000006555679695</v>
      </c>
      <c r="F292" s="339">
        <f t="shared" si="113"/>
        <v>1.1450481311118873E-3</v>
      </c>
      <c r="G292" s="338">
        <f t="shared" si="114"/>
        <v>1</v>
      </c>
      <c r="H292" s="339">
        <f t="shared" si="115"/>
        <v>0</v>
      </c>
      <c r="I292" s="337">
        <f t="shared" si="116"/>
        <v>140332.58740060072</v>
      </c>
      <c r="J292" s="340">
        <f t="shared" si="117"/>
        <v>1.5707892008662827</v>
      </c>
      <c r="K292" s="348">
        <f t="shared" si="133"/>
        <v>3.3747524825421005</v>
      </c>
      <c r="L292" s="349">
        <f t="shared" si="134"/>
        <v>1.2699610982270282</v>
      </c>
      <c r="M292" s="337">
        <f t="shared" si="118"/>
        <v>1.0001813696931443</v>
      </c>
      <c r="N292" s="340">
        <f t="shared" si="119"/>
        <v>1.9044279189029126E-2</v>
      </c>
      <c r="O292" s="341">
        <f t="shared" si="120"/>
        <v>1.0007131558651148</v>
      </c>
      <c r="P292" s="342">
        <f t="shared" si="121"/>
        <v>4.5902302817535379E-2</v>
      </c>
      <c r="Q292" s="343">
        <f t="shared" si="122"/>
        <v>3.0170642503468463</v>
      </c>
      <c r="R292" s="344">
        <f t="shared" si="123"/>
        <v>-46.939963861609471</v>
      </c>
      <c r="S292" s="346">
        <f t="shared" si="124"/>
        <v>133.06003613839053</v>
      </c>
      <c r="U292" s="319">
        <f t="shared" si="130"/>
        <v>1000000000</v>
      </c>
      <c r="V292" s="319">
        <f t="shared" si="131"/>
        <v>375865462.5625</v>
      </c>
      <c r="X292" s="345">
        <f t="shared" si="125"/>
        <v>5.3273170432326449</v>
      </c>
      <c r="Y292" s="346">
        <f t="shared" si="126"/>
        <v>-18.327337482499853</v>
      </c>
      <c r="AA292" s="345">
        <f t="shared" si="127"/>
        <v>34.522497365209212</v>
      </c>
      <c r="AB292" s="346">
        <f t="shared" si="128"/>
        <v>-28.612626379109614</v>
      </c>
      <c r="AD292">
        <f t="shared" si="132"/>
        <v>0</v>
      </c>
      <c r="AE292">
        <f t="shared" si="135"/>
        <v>0</v>
      </c>
    </row>
    <row r="293" spans="1:31" x14ac:dyDescent="0.2">
      <c r="A293" s="347">
        <v>19498</v>
      </c>
      <c r="B293" s="364">
        <f t="shared" si="129"/>
        <v>19.498000000000001</v>
      </c>
      <c r="C293" s="337">
        <f t="shared" si="110"/>
        <v>1.1142881873294677</v>
      </c>
      <c r="D293" s="338">
        <f t="shared" si="111"/>
        <v>0.4568785184984907</v>
      </c>
      <c r="E293" s="338">
        <f t="shared" si="112"/>
        <v>1.0000006630792466</v>
      </c>
      <c r="F293" s="339">
        <f t="shared" si="113"/>
        <v>1.1515892325430909E-3</v>
      </c>
      <c r="G293" s="338">
        <f t="shared" si="114"/>
        <v>1</v>
      </c>
      <c r="H293" s="339">
        <f t="shared" si="115"/>
        <v>0</v>
      </c>
      <c r="I293" s="337">
        <f t="shared" si="116"/>
        <v>141134.23972642462</v>
      </c>
      <c r="J293" s="340">
        <f t="shared" si="117"/>
        <v>1.5707892413420543</v>
      </c>
      <c r="K293" s="348">
        <f t="shared" si="133"/>
        <v>3.3923424799235966</v>
      </c>
      <c r="L293" s="349">
        <f t="shared" si="134"/>
        <v>1.2715694165642799</v>
      </c>
      <c r="M293" s="337">
        <f t="shared" si="118"/>
        <v>1.0001834475761813</v>
      </c>
      <c r="N293" s="340">
        <f t="shared" si="119"/>
        <v>1.9153043434030324E-2</v>
      </c>
      <c r="O293" s="341">
        <f t="shared" si="120"/>
        <v>1.0007213246958797</v>
      </c>
      <c r="P293" s="342">
        <f t="shared" si="121"/>
        <v>4.616432931217266E-2</v>
      </c>
      <c r="Q293" s="343">
        <f t="shared" si="122"/>
        <v>3.0030687779462379</v>
      </c>
      <c r="R293" s="344">
        <f t="shared" si="123"/>
        <v>-46.997672604749233</v>
      </c>
      <c r="S293" s="346">
        <f t="shared" si="124"/>
        <v>133.00232739525077</v>
      </c>
      <c r="U293" s="319">
        <f t="shared" si="130"/>
        <v>1000000000</v>
      </c>
      <c r="V293" s="319">
        <f t="shared" si="131"/>
        <v>380172004</v>
      </c>
      <c r="X293" s="345">
        <f t="shared" si="125"/>
        <v>5.3229771946251416</v>
      </c>
      <c r="Y293" s="346">
        <f t="shared" si="126"/>
        <v>-18.241421680855044</v>
      </c>
      <c r="AA293" s="345">
        <f t="shared" si="127"/>
        <v>34.512841741416111</v>
      </c>
      <c r="AB293" s="346">
        <f t="shared" si="128"/>
        <v>-28.756250923894168</v>
      </c>
      <c r="AD293">
        <f t="shared" si="132"/>
        <v>0</v>
      </c>
      <c r="AE293">
        <f t="shared" si="135"/>
        <v>0</v>
      </c>
    </row>
    <row r="294" spans="1:31" x14ac:dyDescent="0.2">
      <c r="A294" s="347">
        <v>19611.75</v>
      </c>
      <c r="B294" s="364">
        <f t="shared" si="129"/>
        <v>19.611750000000001</v>
      </c>
      <c r="C294" s="337">
        <f t="shared" si="110"/>
        <v>1.1155562691349366</v>
      </c>
      <c r="D294" s="338">
        <f t="shared" si="111"/>
        <v>0.45918556039132263</v>
      </c>
      <c r="E294" s="338">
        <f t="shared" si="112"/>
        <v>1.0000006708385298</v>
      </c>
      <c r="F294" s="339">
        <f t="shared" si="113"/>
        <v>1.1583075194635209E-3</v>
      </c>
      <c r="G294" s="338">
        <f t="shared" si="114"/>
        <v>1</v>
      </c>
      <c r="H294" s="339">
        <f t="shared" si="115"/>
        <v>0</v>
      </c>
      <c r="I294" s="337">
        <f t="shared" si="116"/>
        <v>141957.60723940426</v>
      </c>
      <c r="J294" s="340">
        <f t="shared" si="117"/>
        <v>1.5707892824383491</v>
      </c>
      <c r="K294" s="348">
        <f t="shared" si="133"/>
        <v>3.4104179949645701</v>
      </c>
      <c r="L294" s="349">
        <f t="shared" si="134"/>
        <v>1.273204026011125</v>
      </c>
      <c r="M294" s="337">
        <f t="shared" si="118"/>
        <v>1.0001855940618607</v>
      </c>
      <c r="N294" s="340">
        <f t="shared" si="119"/>
        <v>1.9264753417021899E-2</v>
      </c>
      <c r="O294" s="341">
        <f t="shared" si="120"/>
        <v>1.0007297631896475</v>
      </c>
      <c r="P294" s="342">
        <f t="shared" si="121"/>
        <v>4.6433450192085647E-2</v>
      </c>
      <c r="Q294" s="343">
        <f t="shared" si="122"/>
        <v>2.9887306298568901</v>
      </c>
      <c r="R294" s="344">
        <f t="shared" si="123"/>
        <v>-47.057637572291362</v>
      </c>
      <c r="S294" s="346">
        <f t="shared" si="124"/>
        <v>132.94236242770864</v>
      </c>
      <c r="U294" s="319">
        <f t="shared" si="130"/>
        <v>1000000000</v>
      </c>
      <c r="V294" s="319">
        <f t="shared" si="131"/>
        <v>384620738.0625</v>
      </c>
      <c r="X294" s="345">
        <f t="shared" si="125"/>
        <v>5.3185913143052428</v>
      </c>
      <c r="Y294" s="346">
        <f t="shared" si="126"/>
        <v>-18.154168323498038</v>
      </c>
      <c r="AA294" s="345">
        <f t="shared" si="127"/>
        <v>34.502889473646654</v>
      </c>
      <c r="AB294" s="346">
        <f t="shared" si="128"/>
        <v>-28.903469248793296</v>
      </c>
      <c r="AD294">
        <f t="shared" si="132"/>
        <v>0</v>
      </c>
      <c r="AE294">
        <f t="shared" si="135"/>
        <v>0</v>
      </c>
    </row>
    <row r="295" spans="1:31" x14ac:dyDescent="0.2">
      <c r="A295" s="347">
        <v>19725.5</v>
      </c>
      <c r="B295" s="364">
        <f t="shared" si="129"/>
        <v>19.7255</v>
      </c>
      <c r="C295" s="337">
        <f t="shared" si="110"/>
        <v>1.1168302749226786</v>
      </c>
      <c r="D295" s="338">
        <f t="shared" si="111"/>
        <v>0.46148735107179595</v>
      </c>
      <c r="E295" s="338">
        <f t="shared" si="112"/>
        <v>1.0000006786429485</v>
      </c>
      <c r="F295" s="339">
        <f t="shared" si="113"/>
        <v>1.1650258062793899E-3</v>
      </c>
      <c r="G295" s="338">
        <f t="shared" si="114"/>
        <v>1</v>
      </c>
      <c r="H295" s="339">
        <f t="shared" si="115"/>
        <v>0</v>
      </c>
      <c r="I295" s="337">
        <f t="shared" si="116"/>
        <v>142780.97475238415</v>
      </c>
      <c r="J295" s="340">
        <f t="shared" si="117"/>
        <v>1.5707893230606684</v>
      </c>
      <c r="K295" s="348">
        <f t="shared" si="133"/>
        <v>3.4285025263669513</v>
      </c>
      <c r="L295" s="349">
        <f t="shared" si="134"/>
        <v>1.2748213953932845</v>
      </c>
      <c r="M295" s="337">
        <f t="shared" si="118"/>
        <v>1.0001877530289227</v>
      </c>
      <c r="N295" s="340">
        <f t="shared" si="119"/>
        <v>1.9376462919141708E-2</v>
      </c>
      <c r="O295" s="341">
        <f t="shared" si="120"/>
        <v>1.0007382507144627</v>
      </c>
      <c r="P295" s="342">
        <f t="shared" si="121"/>
        <v>4.6702567608914815E-2</v>
      </c>
      <c r="Q295" s="343">
        <f t="shared" si="122"/>
        <v>2.9744281517684028</v>
      </c>
      <c r="R295" s="344">
        <f t="shared" si="123"/>
        <v>-47.118289197350968</v>
      </c>
      <c r="S295" s="346">
        <f t="shared" si="124"/>
        <v>132.88171080264902</v>
      </c>
      <c r="U295" s="319">
        <f t="shared" si="130"/>
        <v>1000000000</v>
      </c>
      <c r="V295" s="319">
        <f t="shared" si="131"/>
        <v>389095350.25</v>
      </c>
      <c r="X295" s="345">
        <f t="shared" si="125"/>
        <v>5.3142763776228001</v>
      </c>
      <c r="Y295" s="346">
        <f t="shared" si="126"/>
        <v>-18.067902694378475</v>
      </c>
      <c r="AA295" s="345">
        <f t="shared" si="127"/>
        <v>34.492901932240613</v>
      </c>
      <c r="AB295" s="346">
        <f t="shared" si="128"/>
        <v>-29.050386502972504</v>
      </c>
      <c r="AD295">
        <f t="shared" si="132"/>
        <v>0</v>
      </c>
      <c r="AE295">
        <f t="shared" si="135"/>
        <v>0</v>
      </c>
    </row>
    <row r="296" spans="1:31" x14ac:dyDescent="0.2">
      <c r="A296" s="347">
        <v>19839.25</v>
      </c>
      <c r="B296" s="364">
        <f t="shared" si="129"/>
        <v>19.83925</v>
      </c>
      <c r="C296" s="337">
        <f t="shared" si="110"/>
        <v>1.118110184442844</v>
      </c>
      <c r="D296" s="338">
        <f t="shared" si="111"/>
        <v>0.46378388414091504</v>
      </c>
      <c r="E296" s="338">
        <f t="shared" si="112"/>
        <v>1.0000006864925024</v>
      </c>
      <c r="F296" s="339">
        <f t="shared" si="113"/>
        <v>1.1717440929900908E-3</v>
      </c>
      <c r="G296" s="338">
        <f t="shared" si="114"/>
        <v>1</v>
      </c>
      <c r="H296" s="339">
        <f t="shared" si="115"/>
        <v>0</v>
      </c>
      <c r="I296" s="337">
        <f t="shared" si="116"/>
        <v>143604.34226536425</v>
      </c>
      <c r="J296" s="340">
        <f t="shared" si="117"/>
        <v>1.5707893632171648</v>
      </c>
      <c r="K296" s="348">
        <f t="shared" si="133"/>
        <v>3.4465959322022952</v>
      </c>
      <c r="L296" s="349">
        <f t="shared" si="134"/>
        <v>1.2764217876944721</v>
      </c>
      <c r="M296" s="337">
        <f t="shared" si="118"/>
        <v>1.0001899244772865</v>
      </c>
      <c r="N296" s="340">
        <f t="shared" si="119"/>
        <v>1.9488171937604822E-2</v>
      </c>
      <c r="O296" s="341">
        <f t="shared" si="120"/>
        <v>1.0007467872693638</v>
      </c>
      <c r="P296" s="342">
        <f t="shared" si="121"/>
        <v>4.6971681542683261E-2</v>
      </c>
      <c r="Q296" s="343">
        <f t="shared" si="122"/>
        <v>2.9601601213641255</v>
      </c>
      <c r="R296" s="344">
        <f t="shared" si="123"/>
        <v>-47.179612044598784</v>
      </c>
      <c r="S296" s="346">
        <f t="shared" si="124"/>
        <v>132.8203879554012</v>
      </c>
      <c r="U296" s="319">
        <f t="shared" si="130"/>
        <v>1000000000</v>
      </c>
      <c r="V296" s="319">
        <f t="shared" si="131"/>
        <v>393595840.5625</v>
      </c>
      <c r="X296" s="345">
        <f t="shared" si="125"/>
        <v>5.3100308729160783</v>
      </c>
      <c r="Y296" s="346">
        <f t="shared" si="126"/>
        <v>-17.982609725946975</v>
      </c>
      <c r="AA296" s="345">
        <f t="shared" si="127"/>
        <v>34.482879406543056</v>
      </c>
      <c r="AB296" s="346">
        <f t="shared" si="128"/>
        <v>-29.197002318651798</v>
      </c>
      <c r="AD296">
        <f t="shared" si="132"/>
        <v>0</v>
      </c>
      <c r="AE296">
        <f t="shared" si="135"/>
        <v>0</v>
      </c>
    </row>
    <row r="297" spans="1:31" x14ac:dyDescent="0.2">
      <c r="A297" s="347">
        <v>19953</v>
      </c>
      <c r="B297" s="364">
        <f t="shared" si="129"/>
        <v>19.952999999999999</v>
      </c>
      <c r="C297" s="337">
        <f t="shared" si="110"/>
        <v>1.1193959774445745</v>
      </c>
      <c r="D297" s="338">
        <f t="shared" si="111"/>
        <v>0.46607515345071321</v>
      </c>
      <c r="E297" s="338">
        <f t="shared" si="112"/>
        <v>1.000000694387192</v>
      </c>
      <c r="F297" s="339">
        <f t="shared" si="113"/>
        <v>1.1784623795950177E-3</v>
      </c>
      <c r="G297" s="338">
        <f t="shared" si="114"/>
        <v>1</v>
      </c>
      <c r="H297" s="339">
        <f t="shared" si="115"/>
        <v>0</v>
      </c>
      <c r="I297" s="337">
        <f t="shared" si="116"/>
        <v>144427.70977834461</v>
      </c>
      <c r="J297" s="340">
        <f t="shared" si="117"/>
        <v>1.5707894029158049</v>
      </c>
      <c r="K297" s="348">
        <f t="shared" si="133"/>
        <v>3.4646980734379555</v>
      </c>
      <c r="L297" s="349">
        <f t="shared" si="134"/>
        <v>1.2780054607542353</v>
      </c>
      <c r="M297" s="337">
        <f t="shared" si="118"/>
        <v>1.000192108406871</v>
      </c>
      <c r="N297" s="340">
        <f t="shared" si="119"/>
        <v>1.9599880469626386E-2</v>
      </c>
      <c r="O297" s="341">
        <f t="shared" si="120"/>
        <v>1.0007553728533829</v>
      </c>
      <c r="P297" s="342">
        <f t="shared" si="121"/>
        <v>4.7240791973415935E-2</v>
      </c>
      <c r="Q297" s="343">
        <f t="shared" si="122"/>
        <v>2.9459253551479985</v>
      </c>
      <c r="R297" s="344">
        <f t="shared" si="123"/>
        <v>-47.241590987816792</v>
      </c>
      <c r="S297" s="346">
        <f t="shared" si="124"/>
        <v>132.75840901218322</v>
      </c>
      <c r="U297" s="319">
        <f t="shared" si="130"/>
        <v>1000000000</v>
      </c>
      <c r="V297" s="319">
        <f t="shared" si="131"/>
        <v>398122209</v>
      </c>
      <c r="X297" s="345">
        <f t="shared" si="125"/>
        <v>5.3058533279593521</v>
      </c>
      <c r="Y297" s="346">
        <f t="shared" si="126"/>
        <v>-17.898274645382589</v>
      </c>
      <c r="AA297" s="345">
        <f t="shared" si="127"/>
        <v>34.472822185283654</v>
      </c>
      <c r="AB297" s="346">
        <f t="shared" si="128"/>
        <v>-29.343316342434189</v>
      </c>
      <c r="AD297">
        <f t="shared" si="132"/>
        <v>0</v>
      </c>
      <c r="AE297">
        <f t="shared" si="135"/>
        <v>0</v>
      </c>
    </row>
    <row r="298" spans="1:31" x14ac:dyDescent="0.2">
      <c r="A298" s="347">
        <v>20069</v>
      </c>
      <c r="B298" s="364">
        <f t="shared" si="129"/>
        <v>20.068999999999999</v>
      </c>
      <c r="C298" s="337">
        <f t="shared" si="110"/>
        <v>1.1207132419187391</v>
      </c>
      <c r="D298" s="338">
        <f t="shared" si="111"/>
        <v>0.46840631749079803</v>
      </c>
      <c r="E298" s="338">
        <f t="shared" si="112"/>
        <v>1.0000007024845234</v>
      </c>
      <c r="F298" s="339">
        <f t="shared" si="113"/>
        <v>1.1853135552759744E-3</v>
      </c>
      <c r="G298" s="338">
        <f t="shared" si="114"/>
        <v>1</v>
      </c>
      <c r="H298" s="339">
        <f t="shared" si="115"/>
        <v>0</v>
      </c>
      <c r="I298" s="337">
        <f t="shared" si="116"/>
        <v>145267.36368169184</v>
      </c>
      <c r="J298" s="340">
        <f t="shared" si="117"/>
        <v>1.570789442936233</v>
      </c>
      <c r="K298" s="348">
        <f t="shared" si="133"/>
        <v>3.4831671341099062</v>
      </c>
      <c r="L298" s="349">
        <f t="shared" si="134"/>
        <v>1.2796035026954071</v>
      </c>
      <c r="M298" s="337">
        <f t="shared" si="118"/>
        <v>1.0001943483889622</v>
      </c>
      <c r="N298" s="340">
        <f t="shared" si="119"/>
        <v>1.9713798117106211E-2</v>
      </c>
      <c r="O298" s="341">
        <f t="shared" si="120"/>
        <v>1.000764178754552</v>
      </c>
      <c r="P298" s="342">
        <f t="shared" si="121"/>
        <v>4.7515221839251096E-2</v>
      </c>
      <c r="Q298" s="343">
        <f t="shared" si="122"/>
        <v>2.9314420920621109</v>
      </c>
      <c r="R298" s="344">
        <f t="shared" si="123"/>
        <v>-47.305456213072979</v>
      </c>
      <c r="S298" s="346">
        <f t="shared" si="124"/>
        <v>132.69454378692703</v>
      </c>
      <c r="U298" s="319">
        <f t="shared" si="130"/>
        <v>1000000000</v>
      </c>
      <c r="V298" s="319">
        <f t="shared" si="131"/>
        <v>402764761</v>
      </c>
      <c r="X298" s="345">
        <f t="shared" si="125"/>
        <v>5.3016616533033929</v>
      </c>
      <c r="Y298" s="346">
        <f t="shared" si="126"/>
        <v>-17.813242879985662</v>
      </c>
      <c r="AA298" s="345">
        <f t="shared" si="127"/>
        <v>34.462530596853725</v>
      </c>
      <c r="AB298" s="346">
        <f t="shared" si="128"/>
        <v>-29.492213333087332</v>
      </c>
      <c r="AD298">
        <f t="shared" si="132"/>
        <v>0</v>
      </c>
      <c r="AE298">
        <f t="shared" si="135"/>
        <v>0</v>
      </c>
    </row>
    <row r="299" spans="1:31" x14ac:dyDescent="0.2">
      <c r="A299" s="347">
        <v>20185</v>
      </c>
      <c r="B299" s="364">
        <f t="shared" si="129"/>
        <v>20.184999999999999</v>
      </c>
      <c r="C299" s="337">
        <f t="shared" si="110"/>
        <v>1.1220365823944847</v>
      </c>
      <c r="D299" s="338">
        <f t="shared" si="111"/>
        <v>0.4707319953510995</v>
      </c>
      <c r="E299" s="338">
        <f t="shared" si="112"/>
        <v>1.0000007106287936</v>
      </c>
      <c r="F299" s="339">
        <f t="shared" si="113"/>
        <v>1.1921647308456571E-3</v>
      </c>
      <c r="G299" s="338">
        <f t="shared" si="114"/>
        <v>1</v>
      </c>
      <c r="H299" s="339">
        <f t="shared" si="115"/>
        <v>0</v>
      </c>
      <c r="I299" s="337">
        <f t="shared" si="116"/>
        <v>146107.01758503928</v>
      </c>
      <c r="J299" s="340">
        <f t="shared" si="117"/>
        <v>1.5707894824966793</v>
      </c>
      <c r="K299" s="348">
        <f t="shared" si="133"/>
        <v>3.5016449960326037</v>
      </c>
      <c r="L299" s="349">
        <f t="shared" si="134"/>
        <v>1.2811846831953315</v>
      </c>
      <c r="M299" s="337">
        <f t="shared" si="118"/>
        <v>1.0001966013507473</v>
      </c>
      <c r="N299" s="340">
        <f t="shared" si="119"/>
        <v>1.9827715252861044E-2</v>
      </c>
      <c r="O299" s="341">
        <f t="shared" si="120"/>
        <v>1.000773035641586</v>
      </c>
      <c r="P299" s="342">
        <f t="shared" si="121"/>
        <v>4.7789648020147284E-2</v>
      </c>
      <c r="Q299" s="343">
        <f t="shared" si="122"/>
        <v>2.9169910542904418</v>
      </c>
      <c r="R299" s="344">
        <f t="shared" si="123"/>
        <v>-47.369972926002909</v>
      </c>
      <c r="S299" s="346">
        <f t="shared" si="124"/>
        <v>132.6300270739971</v>
      </c>
      <c r="U299" s="319">
        <f t="shared" si="130"/>
        <v>1000000000</v>
      </c>
      <c r="V299" s="319">
        <f t="shared" si="131"/>
        <v>407434225</v>
      </c>
      <c r="X299" s="345">
        <f t="shared" si="125"/>
        <v>5.2975376812273698</v>
      </c>
      <c r="Y299" s="346">
        <f t="shared" si="126"/>
        <v>-17.729177148335118</v>
      </c>
      <c r="AA299" s="345">
        <f t="shared" si="127"/>
        <v>34.452203531158084</v>
      </c>
      <c r="AB299" s="346">
        <f t="shared" si="128"/>
        <v>-29.640795777667797</v>
      </c>
      <c r="AD299">
        <f t="shared" si="132"/>
        <v>0</v>
      </c>
      <c r="AE299">
        <f t="shared" si="135"/>
        <v>0</v>
      </c>
    </row>
    <row r="300" spans="1:31" x14ac:dyDescent="0.2">
      <c r="A300" s="347">
        <v>20301</v>
      </c>
      <c r="B300" s="364">
        <f t="shared" si="129"/>
        <v>20.300999999999998</v>
      </c>
      <c r="C300" s="337">
        <f t="shared" si="110"/>
        <v>1.1233659773989728</v>
      </c>
      <c r="D300" s="338">
        <f t="shared" si="111"/>
        <v>0.47305218130637311</v>
      </c>
      <c r="E300" s="338">
        <f t="shared" si="112"/>
        <v>1.0000007188200024</v>
      </c>
      <c r="F300" s="339">
        <f t="shared" si="113"/>
        <v>1.1990159063034228E-3</v>
      </c>
      <c r="G300" s="338">
        <f t="shared" si="114"/>
        <v>1</v>
      </c>
      <c r="H300" s="339">
        <f t="shared" si="115"/>
        <v>0</v>
      </c>
      <c r="I300" s="337">
        <f t="shared" si="116"/>
        <v>146946.67148838696</v>
      </c>
      <c r="J300" s="340">
        <f t="shared" si="117"/>
        <v>1.5707895216050283</v>
      </c>
      <c r="K300" s="348">
        <f t="shared" si="133"/>
        <v>3.5201315206075678</v>
      </c>
      <c r="L300" s="349">
        <f t="shared" si="134"/>
        <v>1.2827492599363555</v>
      </c>
      <c r="M300" s="337">
        <f t="shared" si="118"/>
        <v>1.0001988672921391</v>
      </c>
      <c r="N300" s="340">
        <f t="shared" si="119"/>
        <v>1.9941631873937722E-2</v>
      </c>
      <c r="O300" s="341">
        <f t="shared" si="120"/>
        <v>1.0007819435134413</v>
      </c>
      <c r="P300" s="342">
        <f t="shared" si="121"/>
        <v>4.8064070494926676E-2</v>
      </c>
      <c r="Q300" s="343">
        <f t="shared" si="122"/>
        <v>2.9025711036696231</v>
      </c>
      <c r="R300" s="344">
        <f t="shared" si="123"/>
        <v>-47.435126033532491</v>
      </c>
      <c r="S300" s="346">
        <f t="shared" si="124"/>
        <v>132.5648739664675</v>
      </c>
      <c r="U300" s="319">
        <f t="shared" si="130"/>
        <v>1000000000</v>
      </c>
      <c r="V300" s="319">
        <f t="shared" si="131"/>
        <v>412130601</v>
      </c>
      <c r="X300" s="345">
        <f t="shared" si="125"/>
        <v>5.2934799694505976</v>
      </c>
      <c r="Y300" s="346">
        <f t="shared" si="126"/>
        <v>-17.646062686602576</v>
      </c>
      <c r="AA300" s="345">
        <f t="shared" si="127"/>
        <v>34.441841292314031</v>
      </c>
      <c r="AB300" s="346">
        <f t="shared" si="128"/>
        <v>-29.78906334692989</v>
      </c>
      <c r="AD300">
        <f t="shared" si="132"/>
        <v>0</v>
      </c>
      <c r="AE300">
        <f t="shared" si="135"/>
        <v>0</v>
      </c>
    </row>
    <row r="301" spans="1:31" x14ac:dyDescent="0.2">
      <c r="A301" s="347">
        <v>20417</v>
      </c>
      <c r="B301" s="364">
        <f t="shared" si="129"/>
        <v>20.417000000000002</v>
      </c>
      <c r="C301" s="337">
        <f t="shared" si="110"/>
        <v>1.1247014054628781</v>
      </c>
      <c r="D301" s="338">
        <f t="shared" si="111"/>
        <v>0.47536686989489513</v>
      </c>
      <c r="E301" s="338">
        <f t="shared" si="112"/>
        <v>1.0000007270581499</v>
      </c>
      <c r="F301" s="339">
        <f t="shared" si="113"/>
        <v>1.205867081648628E-3</v>
      </c>
      <c r="G301" s="338">
        <f t="shared" si="114"/>
        <v>1</v>
      </c>
      <c r="H301" s="339">
        <f t="shared" si="115"/>
        <v>0</v>
      </c>
      <c r="I301" s="337">
        <f t="shared" si="116"/>
        <v>147786.32539173486</v>
      </c>
      <c r="J301" s="340">
        <f t="shared" si="117"/>
        <v>1.5707895602689859</v>
      </c>
      <c r="K301" s="348">
        <f t="shared" si="133"/>
        <v>3.538626572068285</v>
      </c>
      <c r="L301" s="349">
        <f t="shared" si="134"/>
        <v>1.2842974855425511</v>
      </c>
      <c r="M301" s="337">
        <f t="shared" si="118"/>
        <v>1.0002011462130496</v>
      </c>
      <c r="N301" s="340">
        <f t="shared" si="119"/>
        <v>2.0055547977383157E-2</v>
      </c>
      <c r="O301" s="341">
        <f t="shared" si="120"/>
        <v>1.000790902369068</v>
      </c>
      <c r="P301" s="342">
        <f t="shared" si="121"/>
        <v>4.8338489242413532E-2</v>
      </c>
      <c r="Q301" s="343">
        <f t="shared" si="122"/>
        <v>2.8881811389321066</v>
      </c>
      <c r="R301" s="344">
        <f t="shared" si="123"/>
        <v>-47.500900747493787</v>
      </c>
      <c r="S301" s="346">
        <f t="shared" si="124"/>
        <v>132.4990992525062</v>
      </c>
      <c r="U301" s="319">
        <f t="shared" si="130"/>
        <v>1000000000</v>
      </c>
      <c r="V301" s="319">
        <f t="shared" si="131"/>
        <v>416853889</v>
      </c>
      <c r="X301" s="345">
        <f t="shared" si="125"/>
        <v>5.2894871133266266</v>
      </c>
      <c r="Y301" s="346">
        <f t="shared" si="126"/>
        <v>-17.563885020767167</v>
      </c>
      <c r="AA301" s="345">
        <f t="shared" si="127"/>
        <v>34.431444183700492</v>
      </c>
      <c r="AB301" s="346">
        <f t="shared" si="128"/>
        <v>-29.937015726726631</v>
      </c>
      <c r="AD301">
        <f t="shared" si="132"/>
        <v>0</v>
      </c>
      <c r="AE301">
        <f t="shared" si="135"/>
        <v>0</v>
      </c>
    </row>
    <row r="302" spans="1:31" x14ac:dyDescent="0.2">
      <c r="A302" s="347">
        <v>20536</v>
      </c>
      <c r="B302" s="364">
        <f t="shared" si="129"/>
        <v>20.536000000000001</v>
      </c>
      <c r="C302" s="337">
        <f t="shared" si="110"/>
        <v>1.1260776170807978</v>
      </c>
      <c r="D302" s="338">
        <f t="shared" si="111"/>
        <v>0.47773570320566977</v>
      </c>
      <c r="E302" s="338">
        <f t="shared" si="112"/>
        <v>1.000000735558128</v>
      </c>
      <c r="F302" s="339">
        <f t="shared" si="113"/>
        <v>1.2128954424454673E-3</v>
      </c>
      <c r="G302" s="338">
        <f t="shared" si="114"/>
        <v>1</v>
      </c>
      <c r="H302" s="339">
        <f t="shared" si="115"/>
        <v>0</v>
      </c>
      <c r="I302" s="337">
        <f t="shared" si="116"/>
        <v>148647.69448223853</v>
      </c>
      <c r="J302" s="340">
        <f t="shared" si="117"/>
        <v>1.5707895994789871</v>
      </c>
      <c r="K302" s="348">
        <f t="shared" si="133"/>
        <v>3.5576086649649801</v>
      </c>
      <c r="L302" s="349">
        <f t="shared" si="134"/>
        <v>1.285869020113956</v>
      </c>
      <c r="M302" s="337">
        <f t="shared" si="118"/>
        <v>1.0002034975588512</v>
      </c>
      <c r="N302" s="340">
        <f t="shared" si="119"/>
        <v>2.0172409645972316E-2</v>
      </c>
      <c r="O302" s="341">
        <f t="shared" si="120"/>
        <v>1.0008001458967708</v>
      </c>
      <c r="P302" s="342">
        <f t="shared" si="121"/>
        <v>4.8620001131149303E-2</v>
      </c>
      <c r="Q302" s="343">
        <f t="shared" si="122"/>
        <v>2.8734490625433096</v>
      </c>
      <c r="R302" s="344">
        <f t="shared" si="123"/>
        <v>-47.569007275009987</v>
      </c>
      <c r="S302" s="346">
        <f t="shared" si="124"/>
        <v>132.43099272499001</v>
      </c>
      <c r="U302" s="319">
        <f t="shared" si="130"/>
        <v>1000000000</v>
      </c>
      <c r="V302" s="319">
        <f t="shared" si="131"/>
        <v>421727296</v>
      </c>
      <c r="X302" s="345">
        <f t="shared" si="125"/>
        <v>5.2854569532592919</v>
      </c>
      <c r="Y302" s="346">
        <f t="shared" si="126"/>
        <v>-17.480540649336131</v>
      </c>
      <c r="AA302" s="345">
        <f t="shared" si="127"/>
        <v>34.420742267379026</v>
      </c>
      <c r="AB302" s="346">
        <f t="shared" si="128"/>
        <v>-30.088466625673838</v>
      </c>
      <c r="AD302">
        <f t="shared" si="132"/>
        <v>0</v>
      </c>
      <c r="AE302">
        <f t="shared" si="135"/>
        <v>0</v>
      </c>
    </row>
    <row r="303" spans="1:31" x14ac:dyDescent="0.2">
      <c r="A303" s="347">
        <v>20655</v>
      </c>
      <c r="B303" s="364">
        <f t="shared" si="129"/>
        <v>20.655000000000001</v>
      </c>
      <c r="C303" s="337">
        <f t="shared" si="110"/>
        <v>1.1274601320917035</v>
      </c>
      <c r="D303" s="338">
        <f t="shared" si="111"/>
        <v>0.48009874032416555</v>
      </c>
      <c r="E303" s="338">
        <f t="shared" si="112"/>
        <v>1.0000007441075041</v>
      </c>
      <c r="F303" s="339">
        <f t="shared" si="113"/>
        <v>1.2199238031224775E-3</v>
      </c>
      <c r="G303" s="338">
        <f t="shared" si="114"/>
        <v>1</v>
      </c>
      <c r="H303" s="339">
        <f t="shared" si="115"/>
        <v>0</v>
      </c>
      <c r="I303" s="337">
        <f t="shared" si="116"/>
        <v>149509.06357274242</v>
      </c>
      <c r="J303" s="340">
        <f t="shared" si="117"/>
        <v>1.5707896382371858</v>
      </c>
      <c r="K303" s="348">
        <f t="shared" si="133"/>
        <v>3.576599450886504</v>
      </c>
      <c r="L303" s="349">
        <f t="shared" si="134"/>
        <v>1.2874238696354956</v>
      </c>
      <c r="M303" s="337">
        <f t="shared" si="118"/>
        <v>1.0002058625640176</v>
      </c>
      <c r="N303" s="340">
        <f t="shared" si="119"/>
        <v>2.0289270763514267E-2</v>
      </c>
      <c r="O303" s="341">
        <f t="shared" si="120"/>
        <v>1.0008094430771795</v>
      </c>
      <c r="P303" s="342">
        <f t="shared" si="121"/>
        <v>4.8901509052168633E-2</v>
      </c>
      <c r="Q303" s="343">
        <f t="shared" si="122"/>
        <v>2.8587463093081689</v>
      </c>
      <c r="R303" s="344">
        <f t="shared" si="123"/>
        <v>-47.637737403324671</v>
      </c>
      <c r="S303" s="346">
        <f t="shared" si="124"/>
        <v>132.36226259667532</v>
      </c>
      <c r="U303" s="319">
        <f t="shared" si="130"/>
        <v>1000000000</v>
      </c>
      <c r="V303" s="319">
        <f t="shared" si="131"/>
        <v>426629025</v>
      </c>
      <c r="X303" s="345">
        <f t="shared" si="125"/>
        <v>5.2814921687030409</v>
      </c>
      <c r="Y303" s="346">
        <f t="shared" si="126"/>
        <v>-17.398152203385372</v>
      </c>
      <c r="AA303" s="345">
        <f t="shared" si="127"/>
        <v>34.410004298700137</v>
      </c>
      <c r="AB303" s="346">
        <f t="shared" si="128"/>
        <v>-30.239585199939299</v>
      </c>
      <c r="AD303">
        <f t="shared" si="132"/>
        <v>0</v>
      </c>
      <c r="AE303">
        <f t="shared" si="135"/>
        <v>0</v>
      </c>
    </row>
    <row r="304" spans="1:31" x14ac:dyDescent="0.2">
      <c r="A304" s="347">
        <v>20774</v>
      </c>
      <c r="B304" s="364">
        <f t="shared" si="129"/>
        <v>20.774000000000001</v>
      </c>
      <c r="C304" s="337">
        <f t="shared" si="110"/>
        <v>1.1288489273360698</v>
      </c>
      <c r="D304" s="338">
        <f t="shared" si="111"/>
        <v>0.48245597620479347</v>
      </c>
      <c r="E304" s="338">
        <f t="shared" si="112"/>
        <v>1.0000007527062782</v>
      </c>
      <c r="F304" s="339">
        <f t="shared" si="113"/>
        <v>1.2269521636789646E-3</v>
      </c>
      <c r="G304" s="338">
        <f t="shared" si="114"/>
        <v>1</v>
      </c>
      <c r="H304" s="339">
        <f t="shared" si="115"/>
        <v>0</v>
      </c>
      <c r="I304" s="337">
        <f t="shared" si="116"/>
        <v>150370.43266324658</v>
      </c>
      <c r="J304" s="340">
        <f t="shared" si="117"/>
        <v>1.570789676551346</v>
      </c>
      <c r="K304" s="348">
        <f t="shared" si="133"/>
        <v>3.5955987920916503</v>
      </c>
      <c r="L304" s="349">
        <f t="shared" si="134"/>
        <v>1.2889622910232941</v>
      </c>
      <c r="M304" s="337">
        <f t="shared" si="118"/>
        <v>1.000208241228451</v>
      </c>
      <c r="N304" s="340">
        <f t="shared" si="119"/>
        <v>2.0406131326821099E-2</v>
      </c>
      <c r="O304" s="341">
        <f t="shared" si="120"/>
        <v>1.0008187939091415</v>
      </c>
      <c r="P304" s="342">
        <f t="shared" si="121"/>
        <v>4.9183012982616951E-2</v>
      </c>
      <c r="Q304" s="343">
        <f t="shared" si="122"/>
        <v>2.8440718037268882</v>
      </c>
      <c r="R304" s="344">
        <f t="shared" si="123"/>
        <v>-47.707076122090093</v>
      </c>
      <c r="S304" s="346">
        <f t="shared" si="124"/>
        <v>132.29292387790991</v>
      </c>
      <c r="U304" s="319">
        <f t="shared" si="130"/>
        <v>1000000000</v>
      </c>
      <c r="V304" s="319">
        <f t="shared" si="131"/>
        <v>431559076</v>
      </c>
      <c r="X304" s="345">
        <f t="shared" si="125"/>
        <v>5.2775913591651813</v>
      </c>
      <c r="Y304" s="346">
        <f t="shared" si="126"/>
        <v>-17.316704962967478</v>
      </c>
      <c r="AA304" s="345">
        <f t="shared" si="127"/>
        <v>34.399230602656715</v>
      </c>
      <c r="AB304" s="346">
        <f t="shared" si="128"/>
        <v>-30.390371159122633</v>
      </c>
      <c r="AD304">
        <f t="shared" si="132"/>
        <v>0</v>
      </c>
      <c r="AE304">
        <f t="shared" si="135"/>
        <v>0</v>
      </c>
    </row>
    <row r="305" spans="1:31" x14ac:dyDescent="0.2">
      <c r="A305" s="347">
        <v>20893</v>
      </c>
      <c r="B305" s="364">
        <f t="shared" si="129"/>
        <v>20.893000000000001</v>
      </c>
      <c r="C305" s="337">
        <f t="shared" si="110"/>
        <v>1.1302439796632535</v>
      </c>
      <c r="D305" s="338">
        <f t="shared" si="111"/>
        <v>0.48480740608458484</v>
      </c>
      <c r="E305" s="338">
        <f t="shared" si="112"/>
        <v>1.0000007613544499</v>
      </c>
      <c r="F305" s="339">
        <f t="shared" si="113"/>
        <v>1.2339805241142338E-3</v>
      </c>
      <c r="G305" s="338">
        <f t="shared" si="114"/>
        <v>1</v>
      </c>
      <c r="H305" s="339">
        <f t="shared" si="115"/>
        <v>0</v>
      </c>
      <c r="I305" s="337">
        <f t="shared" si="116"/>
        <v>151231.80175375089</v>
      </c>
      <c r="J305" s="340">
        <f t="shared" si="117"/>
        <v>1.5707897144290555</v>
      </c>
      <c r="K305" s="348">
        <f t="shared" si="133"/>
        <v>3.6146065536738292</v>
      </c>
      <c r="L305" s="349">
        <f t="shared" si="134"/>
        <v>1.2904845361041137</v>
      </c>
      <c r="M305" s="337">
        <f t="shared" si="118"/>
        <v>1.0002106335520546</v>
      </c>
      <c r="N305" s="340">
        <f t="shared" si="119"/>
        <v>2.0522991332704993E-2</v>
      </c>
      <c r="O305" s="341">
        <f t="shared" si="120"/>
        <v>1.0008281983914973</v>
      </c>
      <c r="P305" s="342">
        <f t="shared" si="121"/>
        <v>4.9464512899642044E-2</v>
      </c>
      <c r="Q305" s="343">
        <f t="shared" si="122"/>
        <v>2.8294245061669487</v>
      </c>
      <c r="R305" s="344">
        <f t="shared" si="123"/>
        <v>-47.777008728740419</v>
      </c>
      <c r="S305" s="346">
        <f t="shared" si="124"/>
        <v>132.22299127125959</v>
      </c>
      <c r="U305" s="319">
        <f t="shared" si="130"/>
        <v>1000000000</v>
      </c>
      <c r="V305" s="319">
        <f t="shared" si="131"/>
        <v>436517449</v>
      </c>
      <c r="X305" s="345">
        <f t="shared" si="125"/>
        <v>5.2737531609150601</v>
      </c>
      <c r="Y305" s="346">
        <f t="shared" si="126"/>
        <v>-17.236184499723858</v>
      </c>
      <c r="AA305" s="345">
        <f t="shared" si="127"/>
        <v>34.388421503346898</v>
      </c>
      <c r="AB305" s="346">
        <f t="shared" si="128"/>
        <v>-30.540824229016533</v>
      </c>
      <c r="AD305">
        <f t="shared" si="132"/>
        <v>0</v>
      </c>
      <c r="AE305">
        <f t="shared" si="135"/>
        <v>0</v>
      </c>
    </row>
    <row r="306" spans="1:31" x14ac:dyDescent="0.2">
      <c r="A306" s="347">
        <v>21014.75</v>
      </c>
      <c r="B306" s="364">
        <f t="shared" si="129"/>
        <v>21.014749999999999</v>
      </c>
      <c r="C306" s="337">
        <f t="shared" si="110"/>
        <v>1.1316777221096246</v>
      </c>
      <c r="D306" s="338">
        <f t="shared" si="111"/>
        <v>0.48720716224756644</v>
      </c>
      <c r="E306" s="338">
        <f t="shared" si="112"/>
        <v>1.000000770253598</v>
      </c>
      <c r="F306" s="339">
        <f t="shared" si="113"/>
        <v>1.2411713045174194E-3</v>
      </c>
      <c r="G306" s="338">
        <f t="shared" si="114"/>
        <v>1</v>
      </c>
      <c r="H306" s="339">
        <f t="shared" si="115"/>
        <v>0</v>
      </c>
      <c r="I306" s="337">
        <f t="shared" si="116"/>
        <v>152113.07643248141</v>
      </c>
      <c r="J306" s="340">
        <f t="shared" si="117"/>
        <v>1.570789752738126</v>
      </c>
      <c r="K306" s="348">
        <f t="shared" si="133"/>
        <v>3.6340621469628482</v>
      </c>
      <c r="L306" s="349">
        <f t="shared" si="134"/>
        <v>1.2920254751779643</v>
      </c>
      <c r="M306" s="337">
        <f t="shared" si="118"/>
        <v>1.0002130952966422</v>
      </c>
      <c r="N306" s="340">
        <f t="shared" si="119"/>
        <v>2.0642551304724636E-2</v>
      </c>
      <c r="O306" s="341">
        <f t="shared" si="120"/>
        <v>1.0008378757275611</v>
      </c>
      <c r="P306" s="342">
        <f t="shared" si="121"/>
        <v>4.9752513889404673E-2</v>
      </c>
      <c r="Q306" s="343">
        <f t="shared" si="122"/>
        <v>2.8144658312281678</v>
      </c>
      <c r="R306" s="344">
        <f t="shared" si="123"/>
        <v>-47.84915703998773</v>
      </c>
      <c r="S306" s="346">
        <f t="shared" si="124"/>
        <v>132.15084296001226</v>
      </c>
      <c r="U306" s="319">
        <f t="shared" si="130"/>
        <v>1000000000</v>
      </c>
      <c r="V306" s="319">
        <f t="shared" si="131"/>
        <v>441619717.5625</v>
      </c>
      <c r="X306" s="345">
        <f t="shared" si="125"/>
        <v>5.2698896782852014</v>
      </c>
      <c r="Y306" s="346">
        <f t="shared" si="126"/>
        <v>-17.154747670955857</v>
      </c>
      <c r="AA306" s="345">
        <f t="shared" si="127"/>
        <v>34.377326311037976</v>
      </c>
      <c r="AB306" s="346">
        <f t="shared" si="128"/>
        <v>-30.69440936903187</v>
      </c>
      <c r="AD306">
        <f t="shared" si="132"/>
        <v>0</v>
      </c>
      <c r="AE306">
        <f t="shared" si="135"/>
        <v>0</v>
      </c>
    </row>
    <row r="307" spans="1:31" x14ac:dyDescent="0.2">
      <c r="A307" s="347">
        <v>21136.5</v>
      </c>
      <c r="B307" s="364">
        <f t="shared" si="129"/>
        <v>21.136500000000002</v>
      </c>
      <c r="C307" s="337">
        <f t="shared" si="110"/>
        <v>1.1331179651809777</v>
      </c>
      <c r="D307" s="338">
        <f t="shared" si="111"/>
        <v>0.48960083177362285</v>
      </c>
      <c r="E307" s="338">
        <f t="shared" si="112"/>
        <v>1.0000007792044534</v>
      </c>
      <c r="F307" s="339">
        <f t="shared" si="113"/>
        <v>1.2483620847922499E-3</v>
      </c>
      <c r="G307" s="338">
        <f t="shared" si="114"/>
        <v>1</v>
      </c>
      <c r="H307" s="339">
        <f t="shared" si="115"/>
        <v>0</v>
      </c>
      <c r="I307" s="337">
        <f t="shared" si="116"/>
        <v>152994.35111121213</v>
      </c>
      <c r="J307" s="340">
        <f t="shared" si="117"/>
        <v>1.5707897906058625</v>
      </c>
      <c r="K307" s="348">
        <f t="shared" si="133"/>
        <v>3.653526277393834</v>
      </c>
      <c r="L307" s="349">
        <f t="shared" si="134"/>
        <v>1.2935499991598782</v>
      </c>
      <c r="M307" s="337">
        <f t="shared" si="118"/>
        <v>1.0002155713387921</v>
      </c>
      <c r="N307" s="340">
        <f t="shared" si="119"/>
        <v>2.076211068650987E-2</v>
      </c>
      <c r="O307" s="341">
        <f t="shared" si="120"/>
        <v>1.0008476092198335</v>
      </c>
      <c r="P307" s="342">
        <f t="shared" si="121"/>
        <v>5.0040510629720023E-2</v>
      </c>
      <c r="Q307" s="343">
        <f t="shared" si="122"/>
        <v>2.7995335447569984</v>
      </c>
      <c r="R307" s="344">
        <f t="shared" si="123"/>
        <v>-47.921896825544188</v>
      </c>
      <c r="S307" s="346">
        <f t="shared" si="124"/>
        <v>132.0781031744558</v>
      </c>
      <c r="U307" s="319">
        <f t="shared" si="130"/>
        <v>1000000000</v>
      </c>
      <c r="V307" s="319">
        <f t="shared" si="131"/>
        <v>446751632.25</v>
      </c>
      <c r="X307" s="345">
        <f t="shared" si="125"/>
        <v>5.2660889591880249</v>
      </c>
      <c r="Y307" s="346">
        <f t="shared" si="126"/>
        <v>-17.074251298572701</v>
      </c>
      <c r="AA307" s="345">
        <f t="shared" si="127"/>
        <v>34.366194743663982</v>
      </c>
      <c r="AB307" s="346">
        <f t="shared" si="128"/>
        <v>-30.847645526971515</v>
      </c>
      <c r="AD307">
        <f t="shared" si="132"/>
        <v>0</v>
      </c>
      <c r="AE307">
        <f t="shared" si="135"/>
        <v>0</v>
      </c>
    </row>
    <row r="308" spans="1:31" x14ac:dyDescent="0.2">
      <c r="A308" s="347">
        <v>21258.25</v>
      </c>
      <c r="B308" s="364">
        <f t="shared" si="129"/>
        <v>21.25825</v>
      </c>
      <c r="C308" s="337">
        <f t="shared" si="110"/>
        <v>1.1345646841211747</v>
      </c>
      <c r="D308" s="338">
        <f t="shared" si="111"/>
        <v>0.49198841046481151</v>
      </c>
      <c r="E308" s="338">
        <f t="shared" si="112"/>
        <v>1.0000007882070161</v>
      </c>
      <c r="F308" s="339">
        <f t="shared" si="113"/>
        <v>1.2555528649379809E-3</v>
      </c>
      <c r="G308" s="338">
        <f t="shared" si="114"/>
        <v>1</v>
      </c>
      <c r="H308" s="339">
        <f t="shared" si="115"/>
        <v>0</v>
      </c>
      <c r="I308" s="337">
        <f t="shared" si="116"/>
        <v>153875.62578994309</v>
      </c>
      <c r="J308" s="340">
        <f t="shared" si="117"/>
        <v>1.5707898280398478</v>
      </c>
      <c r="K308" s="348">
        <f t="shared" si="133"/>
        <v>3.6729988092454984</v>
      </c>
      <c r="L308" s="349">
        <f t="shared" si="134"/>
        <v>1.2950583619819969</v>
      </c>
      <c r="M308" s="337">
        <f t="shared" si="118"/>
        <v>1.0002180616783984</v>
      </c>
      <c r="N308" s="340">
        <f t="shared" si="119"/>
        <v>2.0881669474647022E-2</v>
      </c>
      <c r="O308" s="341">
        <f t="shared" si="120"/>
        <v>1.0008573988670511</v>
      </c>
      <c r="P308" s="342">
        <f t="shared" si="121"/>
        <v>5.0328503096122489E-2</v>
      </c>
      <c r="Q308" s="343">
        <f t="shared" si="122"/>
        <v>2.7846266425282491</v>
      </c>
      <c r="R308" s="344">
        <f t="shared" si="123"/>
        <v>-47.995213294482618</v>
      </c>
      <c r="S308" s="346">
        <f t="shared" si="124"/>
        <v>132.00478670551738</v>
      </c>
      <c r="U308" s="319">
        <f t="shared" si="130"/>
        <v>1000000000</v>
      </c>
      <c r="V308" s="319">
        <f t="shared" si="131"/>
        <v>451913193.0625</v>
      </c>
      <c r="X308" s="345">
        <f t="shared" si="125"/>
        <v>5.2623496553364006</v>
      </c>
      <c r="Y308" s="346">
        <f t="shared" si="126"/>
        <v>-16.994680833573256</v>
      </c>
      <c r="AA308" s="345">
        <f t="shared" si="127"/>
        <v>34.355027145286861</v>
      </c>
      <c r="AB308" s="346">
        <f t="shared" si="128"/>
        <v>-31.000532460909369</v>
      </c>
      <c r="AD308">
        <f t="shared" si="132"/>
        <v>0</v>
      </c>
      <c r="AE308">
        <f t="shared" si="135"/>
        <v>0</v>
      </c>
    </row>
    <row r="309" spans="1:31" x14ac:dyDescent="0.2">
      <c r="A309" s="347">
        <v>21380</v>
      </c>
      <c r="B309" s="364">
        <f t="shared" si="129"/>
        <v>21.38</v>
      </c>
      <c r="C309" s="337">
        <f t="shared" si="110"/>
        <v>1.1360178541891557</v>
      </c>
      <c r="D309" s="338">
        <f t="shared" si="111"/>
        <v>0.49436989442229234</v>
      </c>
      <c r="E309" s="338">
        <f t="shared" si="112"/>
        <v>1.0000007972612861</v>
      </c>
      <c r="F309" s="339">
        <f t="shared" si="113"/>
        <v>1.2627436449538696E-3</v>
      </c>
      <c r="G309" s="338">
        <f t="shared" si="114"/>
        <v>1</v>
      </c>
      <c r="H309" s="339">
        <f t="shared" si="115"/>
        <v>0</v>
      </c>
      <c r="I309" s="337">
        <f t="shared" si="116"/>
        <v>154756.90046867426</v>
      </c>
      <c r="J309" s="340">
        <f t="shared" si="117"/>
        <v>1.5707898650474916</v>
      </c>
      <c r="K309" s="348">
        <f t="shared" si="133"/>
        <v>3.6924796096015253</v>
      </c>
      <c r="L309" s="349">
        <f t="shared" si="134"/>
        <v>1.2965508125153098</v>
      </c>
      <c r="M309" s="337">
        <f t="shared" si="118"/>
        <v>1.0002205663153543</v>
      </c>
      <c r="N309" s="340">
        <f t="shared" si="119"/>
        <v>2.1001227665722516E-2</v>
      </c>
      <c r="O309" s="341">
        <f t="shared" si="120"/>
        <v>1.0008672446679436</v>
      </c>
      <c r="P309" s="342">
        <f t="shared" si="121"/>
        <v>5.0616491264149105E-2</v>
      </c>
      <c r="Q309" s="343">
        <f t="shared" si="122"/>
        <v>2.7697441547593376</v>
      </c>
      <c r="R309" s="344">
        <f t="shared" si="123"/>
        <v>-48.069091962985866</v>
      </c>
      <c r="S309" s="346">
        <f t="shared" si="124"/>
        <v>131.93090803701415</v>
      </c>
      <c r="U309" s="319">
        <f t="shared" si="130"/>
        <v>1000000000</v>
      </c>
      <c r="V309" s="319">
        <f t="shared" si="131"/>
        <v>457104400</v>
      </c>
      <c r="X309" s="345">
        <f t="shared" si="125"/>
        <v>5.2586704539462437</v>
      </c>
      <c r="Y309" s="346">
        <f t="shared" si="126"/>
        <v>-16.916022016929148</v>
      </c>
      <c r="AA309" s="345">
        <f t="shared" si="127"/>
        <v>34.343823858908102</v>
      </c>
      <c r="AB309" s="346">
        <f t="shared" si="128"/>
        <v>-31.153069946056743</v>
      </c>
      <c r="AD309">
        <f t="shared" si="132"/>
        <v>0</v>
      </c>
      <c r="AE309">
        <f t="shared" si="135"/>
        <v>0</v>
      </c>
    </row>
    <row r="310" spans="1:31" x14ac:dyDescent="0.2">
      <c r="A310" s="347">
        <v>21504.5</v>
      </c>
      <c r="B310" s="364">
        <f t="shared" si="129"/>
        <v>21.5045</v>
      </c>
      <c r="C310" s="337">
        <f t="shared" si="110"/>
        <v>1.1375104929827311</v>
      </c>
      <c r="D310" s="338">
        <f t="shared" si="111"/>
        <v>0.49679886306328813</v>
      </c>
      <c r="E310" s="338">
        <f t="shared" si="112"/>
        <v>1.00000080657354</v>
      </c>
      <c r="F310" s="339">
        <f t="shared" si="113"/>
        <v>1.2700968449172031E-3</v>
      </c>
      <c r="G310" s="338">
        <f t="shared" si="114"/>
        <v>1</v>
      </c>
      <c r="H310" s="339">
        <f t="shared" si="115"/>
        <v>0</v>
      </c>
      <c r="I310" s="337">
        <f t="shared" si="116"/>
        <v>155658.08073563158</v>
      </c>
      <c r="J310" s="340">
        <f t="shared" si="117"/>
        <v>1.5707899024576872</v>
      </c>
      <c r="K310" s="348">
        <f t="shared" si="133"/>
        <v>3.7124088431697317</v>
      </c>
      <c r="L310" s="349">
        <f t="shared" si="134"/>
        <v>1.2980607720885462</v>
      </c>
      <c r="M310" s="337">
        <f t="shared" si="118"/>
        <v>1.0002231423105106</v>
      </c>
      <c r="N310" s="340">
        <f t="shared" si="119"/>
        <v>2.1123485728820734E-2</v>
      </c>
      <c r="O310" s="341">
        <f t="shared" si="120"/>
        <v>1.0008773709277945</v>
      </c>
      <c r="P310" s="342">
        <f t="shared" si="121"/>
        <v>5.0910979827803085E-2</v>
      </c>
      <c r="Q310" s="343">
        <f t="shared" si="122"/>
        <v>2.754549784578515</v>
      </c>
      <c r="R310" s="344">
        <f t="shared" si="123"/>
        <v>-48.14520596295143</v>
      </c>
      <c r="S310" s="346">
        <f t="shared" si="124"/>
        <v>131.85479403704858</v>
      </c>
      <c r="U310" s="319">
        <f t="shared" si="130"/>
        <v>1000000000</v>
      </c>
      <c r="V310" s="319">
        <f t="shared" si="131"/>
        <v>462443520.25</v>
      </c>
      <c r="X310" s="345">
        <f t="shared" si="125"/>
        <v>5.254968971784888</v>
      </c>
      <c r="Y310" s="346">
        <f t="shared" si="126"/>
        <v>-16.836514720529763</v>
      </c>
      <c r="AA310" s="345">
        <f t="shared" si="127"/>
        <v>34.332330970888634</v>
      </c>
      <c r="AB310" s="346">
        <f t="shared" si="128"/>
        <v>-31.308691242421681</v>
      </c>
      <c r="AD310">
        <f t="shared" si="132"/>
        <v>0</v>
      </c>
      <c r="AE310">
        <f t="shared" si="135"/>
        <v>0</v>
      </c>
    </row>
    <row r="311" spans="1:31" x14ac:dyDescent="0.2">
      <c r="A311" s="347">
        <v>21629</v>
      </c>
      <c r="B311" s="364">
        <f t="shared" si="129"/>
        <v>21.629000000000001</v>
      </c>
      <c r="C311" s="337">
        <f t="shared" si="110"/>
        <v>1.1390098253488805</v>
      </c>
      <c r="D311" s="338">
        <f t="shared" si="111"/>
        <v>0.49922145123398765</v>
      </c>
      <c r="E311" s="338">
        <f t="shared" si="112"/>
        <v>1.0000008159398632</v>
      </c>
      <c r="F311" s="339">
        <f t="shared" si="113"/>
        <v>1.2774500447431893E-3</v>
      </c>
      <c r="G311" s="338">
        <f t="shared" si="114"/>
        <v>1</v>
      </c>
      <c r="H311" s="339">
        <f t="shared" si="115"/>
        <v>0</v>
      </c>
      <c r="I311" s="337">
        <f t="shared" si="116"/>
        <v>156559.26100258913</v>
      </c>
      <c r="J311" s="340">
        <f t="shared" si="117"/>
        <v>1.5707899394372047</v>
      </c>
      <c r="K311" s="348">
        <f t="shared" si="133"/>
        <v>3.7323464505459398</v>
      </c>
      <c r="L311" s="349">
        <f t="shared" si="134"/>
        <v>1.2995546031045986</v>
      </c>
      <c r="M311" s="337">
        <f t="shared" si="118"/>
        <v>1.0002257332559592</v>
      </c>
      <c r="N311" s="340">
        <f t="shared" si="119"/>
        <v>2.1245743160361357E-2</v>
      </c>
      <c r="O311" s="341">
        <f t="shared" si="120"/>
        <v>1.0008875559039754</v>
      </c>
      <c r="P311" s="342">
        <f t="shared" si="121"/>
        <v>5.1205463844980779E-2</v>
      </c>
      <c r="Q311" s="343">
        <f t="shared" si="122"/>
        <v>2.7393789985979824</v>
      </c>
      <c r="R311" s="344">
        <f t="shared" si="123"/>
        <v>-48.221878165806949</v>
      </c>
      <c r="S311" s="346">
        <f t="shared" si="124"/>
        <v>131.77812183419306</v>
      </c>
      <c r="U311" s="319">
        <f t="shared" si="130"/>
        <v>1000000000</v>
      </c>
      <c r="V311" s="319">
        <f t="shared" si="131"/>
        <v>467813641</v>
      </c>
      <c r="X311" s="345">
        <f t="shared" si="125"/>
        <v>5.2513276702536906</v>
      </c>
      <c r="Y311" s="346">
        <f t="shared" si="126"/>
        <v>-16.757931461526098</v>
      </c>
      <c r="AA311" s="345">
        <f t="shared" si="127"/>
        <v>34.320801486439301</v>
      </c>
      <c r="AB311" s="346">
        <f t="shared" si="128"/>
        <v>-31.463946704280879</v>
      </c>
      <c r="AD311">
        <f t="shared" si="132"/>
        <v>0</v>
      </c>
      <c r="AE311">
        <f t="shared" si="135"/>
        <v>0</v>
      </c>
    </row>
    <row r="312" spans="1:31" x14ac:dyDescent="0.2">
      <c r="A312" s="347">
        <v>21753.5</v>
      </c>
      <c r="B312" s="364">
        <f t="shared" si="129"/>
        <v>21.753499999999999</v>
      </c>
      <c r="C312" s="337">
        <f t="shared" si="110"/>
        <v>1.1405158248893117</v>
      </c>
      <c r="D312" s="338">
        <f t="shared" si="111"/>
        <v>0.50163765571797791</v>
      </c>
      <c r="E312" s="338">
        <f t="shared" si="112"/>
        <v>1.0000008253602561</v>
      </c>
      <c r="F312" s="339">
        <f t="shared" si="113"/>
        <v>1.2848032444310329E-3</v>
      </c>
      <c r="G312" s="338">
        <f t="shared" si="114"/>
        <v>1</v>
      </c>
      <c r="H312" s="339">
        <f t="shared" si="115"/>
        <v>0</v>
      </c>
      <c r="I312" s="337">
        <f t="shared" si="116"/>
        <v>157460.44126954689</v>
      </c>
      <c r="J312" s="340">
        <f t="shared" si="117"/>
        <v>1.5707899759934385</v>
      </c>
      <c r="K312" s="348">
        <f t="shared" si="133"/>
        <v>3.7522922982487885</v>
      </c>
      <c r="L312" s="349">
        <f t="shared" si="134"/>
        <v>1.3010325560437044</v>
      </c>
      <c r="M312" s="337">
        <f t="shared" si="118"/>
        <v>1.0002283391515838</v>
      </c>
      <c r="N312" s="340">
        <f t="shared" si="119"/>
        <v>2.136799995669458E-2</v>
      </c>
      <c r="O312" s="341">
        <f t="shared" si="120"/>
        <v>1.0008977995951041</v>
      </c>
      <c r="P312" s="342">
        <f t="shared" si="121"/>
        <v>5.1499943289532592E-2</v>
      </c>
      <c r="Q312" s="343">
        <f t="shared" si="122"/>
        <v>2.724230864391159</v>
      </c>
      <c r="R312" s="344">
        <f t="shared" si="123"/>
        <v>-48.299094034521438</v>
      </c>
      <c r="S312" s="346">
        <f t="shared" si="124"/>
        <v>131.70090596547857</v>
      </c>
      <c r="U312" s="319">
        <f t="shared" si="130"/>
        <v>1000000000</v>
      </c>
      <c r="V312" s="319">
        <f t="shared" si="131"/>
        <v>473214762.25</v>
      </c>
      <c r="X312" s="345">
        <f t="shared" si="125"/>
        <v>5.2477452537176674</v>
      </c>
      <c r="Y312" s="346">
        <f t="shared" si="126"/>
        <v>-16.680257888672212</v>
      </c>
      <c r="AA312" s="345">
        <f t="shared" si="127"/>
        <v>34.309235768768502</v>
      </c>
      <c r="AB312" s="346">
        <f t="shared" si="128"/>
        <v>-31.618836145849237</v>
      </c>
      <c r="AD312">
        <f t="shared" si="132"/>
        <v>0</v>
      </c>
      <c r="AE312">
        <f t="shared" si="135"/>
        <v>0</v>
      </c>
    </row>
    <row r="313" spans="1:31" x14ac:dyDescent="0.2">
      <c r="A313" s="347">
        <v>21878</v>
      </c>
      <c r="B313" s="364">
        <f t="shared" si="129"/>
        <v>21.878</v>
      </c>
      <c r="C313" s="337">
        <f t="shared" si="110"/>
        <v>1.1420284652279011</v>
      </c>
      <c r="D313" s="338">
        <f t="shared" si="111"/>
        <v>0.50404747361391844</v>
      </c>
      <c r="E313" s="338">
        <f t="shared" si="112"/>
        <v>1.0000008348347187</v>
      </c>
      <c r="F313" s="339">
        <f t="shared" si="113"/>
        <v>1.2921564439799392E-3</v>
      </c>
      <c r="G313" s="338">
        <f t="shared" si="114"/>
        <v>1</v>
      </c>
      <c r="H313" s="339">
        <f t="shared" si="115"/>
        <v>0</v>
      </c>
      <c r="I313" s="337">
        <f t="shared" si="116"/>
        <v>158361.62153650486</v>
      </c>
      <c r="J313" s="340">
        <f t="shared" si="117"/>
        <v>1.5707900121336151</v>
      </c>
      <c r="K313" s="348">
        <f t="shared" si="133"/>
        <v>3.7722462555654728</v>
      </c>
      <c r="L313" s="349">
        <f t="shared" si="134"/>
        <v>1.3024948763670259</v>
      </c>
      <c r="M313" s="337">
        <f t="shared" si="118"/>
        <v>1.0002309599972674</v>
      </c>
      <c r="N313" s="340">
        <f t="shared" si="119"/>
        <v>2.14902561141707E-2</v>
      </c>
      <c r="O313" s="341">
        <f t="shared" si="120"/>
        <v>1.0009081019997907</v>
      </c>
      <c r="P313" s="342">
        <f t="shared" si="121"/>
        <v>5.1794418135311854E-2</v>
      </c>
      <c r="Q313" s="343">
        <f t="shared" si="122"/>
        <v>2.7091044824920369</v>
      </c>
      <c r="R313" s="344">
        <f t="shared" si="123"/>
        <v>-48.376839337678554</v>
      </c>
      <c r="S313" s="346">
        <f t="shared" si="124"/>
        <v>131.62316066232145</v>
      </c>
      <c r="U313" s="319">
        <f t="shared" si="130"/>
        <v>1000000000</v>
      </c>
      <c r="V313" s="319">
        <f t="shared" si="131"/>
        <v>478646884</v>
      </c>
      <c r="X313" s="345">
        <f t="shared" si="125"/>
        <v>5.2442204607443532</v>
      </c>
      <c r="Y313" s="346">
        <f t="shared" si="126"/>
        <v>-16.603479938284423</v>
      </c>
      <c r="AA313" s="345">
        <f t="shared" si="127"/>
        <v>34.297634179842689</v>
      </c>
      <c r="AB313" s="346">
        <f t="shared" si="128"/>
        <v>-31.773359399394138</v>
      </c>
      <c r="AD313">
        <f t="shared" si="132"/>
        <v>0</v>
      </c>
      <c r="AE313">
        <f t="shared" si="135"/>
        <v>0</v>
      </c>
    </row>
    <row r="314" spans="1:31" x14ac:dyDescent="0.2">
      <c r="A314" s="347">
        <v>22005.25</v>
      </c>
      <c r="B314" s="364">
        <f t="shared" si="129"/>
        <v>22.00525</v>
      </c>
      <c r="C314" s="337">
        <f t="shared" si="110"/>
        <v>1.1435813523130032</v>
      </c>
      <c r="D314" s="338">
        <f t="shared" si="111"/>
        <v>0.50650391797568062</v>
      </c>
      <c r="E314" s="338">
        <f t="shared" si="112"/>
        <v>1.0000008445743307</v>
      </c>
      <c r="F314" s="339">
        <f t="shared" si="113"/>
        <v>1.2996720634548002E-3</v>
      </c>
      <c r="G314" s="338">
        <f t="shared" si="114"/>
        <v>1</v>
      </c>
      <c r="H314" s="339">
        <f t="shared" si="115"/>
        <v>0</v>
      </c>
      <c r="I314" s="337">
        <f t="shared" si="116"/>
        <v>159282.70739168901</v>
      </c>
      <c r="J314" s="340">
        <f t="shared" si="117"/>
        <v>1.5707900486494759</v>
      </c>
      <c r="K314" s="348">
        <f t="shared" si="133"/>
        <v>3.7926492099818403</v>
      </c>
      <c r="L314" s="349">
        <f t="shared" si="134"/>
        <v>1.3039735929562857</v>
      </c>
      <c r="M314" s="337">
        <f t="shared" si="118"/>
        <v>1.000233654182034</v>
      </c>
      <c r="N314" s="340">
        <f t="shared" si="119"/>
        <v>2.161521204488109E-2</v>
      </c>
      <c r="O314" s="341">
        <f t="shared" si="120"/>
        <v>1.000918692639388</v>
      </c>
      <c r="P314" s="342">
        <f t="shared" si="121"/>
        <v>5.2095392666077579E-2</v>
      </c>
      <c r="Q314" s="343">
        <f t="shared" si="122"/>
        <v>2.6936655590765914</v>
      </c>
      <c r="R314" s="344">
        <f t="shared" si="123"/>
        <v>-48.456834509384073</v>
      </c>
      <c r="S314" s="346">
        <f t="shared" si="124"/>
        <v>131.54316549061593</v>
      </c>
      <c r="U314" s="319">
        <f t="shared" si="130"/>
        <v>1000000000</v>
      </c>
      <c r="V314" s="319">
        <f t="shared" si="131"/>
        <v>484231027.5625</v>
      </c>
      <c r="X314" s="345">
        <f t="shared" si="125"/>
        <v>5.2406760792812843</v>
      </c>
      <c r="Y314" s="346">
        <f t="shared" si="126"/>
        <v>-16.52591725819477</v>
      </c>
      <c r="AA314" s="345">
        <f t="shared" si="127"/>
        <v>34.285739637890316</v>
      </c>
      <c r="AB314" s="346">
        <f t="shared" si="128"/>
        <v>-31.930917251189324</v>
      </c>
      <c r="AD314">
        <f t="shared" si="132"/>
        <v>0</v>
      </c>
      <c r="AE314">
        <f t="shared" si="135"/>
        <v>0</v>
      </c>
    </row>
    <row r="315" spans="1:31" x14ac:dyDescent="0.2">
      <c r="A315" s="347">
        <v>22132.5</v>
      </c>
      <c r="B315" s="364">
        <f t="shared" si="129"/>
        <v>22.1325</v>
      </c>
      <c r="C315" s="337">
        <f t="shared" si="110"/>
        <v>1.1451411211646241</v>
      </c>
      <c r="D315" s="338">
        <f t="shared" si="111"/>
        <v>0.5089536853599933</v>
      </c>
      <c r="E315" s="338">
        <f t="shared" si="112"/>
        <v>1.0000008543704273</v>
      </c>
      <c r="F315" s="339">
        <f t="shared" si="113"/>
        <v>1.3071876827828388E-3</v>
      </c>
      <c r="G315" s="338">
        <f t="shared" si="114"/>
        <v>1</v>
      </c>
      <c r="H315" s="339">
        <f t="shared" si="115"/>
        <v>0</v>
      </c>
      <c r="I315" s="337">
        <f t="shared" si="116"/>
        <v>160203.79324687339</v>
      </c>
      <c r="J315" s="340">
        <f t="shared" si="117"/>
        <v>1.5707900847454437</v>
      </c>
      <c r="K315" s="348">
        <f t="shared" si="133"/>
        <v>3.8130603686562057</v>
      </c>
      <c r="L315" s="349">
        <f t="shared" si="134"/>
        <v>1.305436481695065</v>
      </c>
      <c r="M315" s="337">
        <f t="shared" si="118"/>
        <v>1.0002363639843492</v>
      </c>
      <c r="N315" s="340">
        <f t="shared" si="119"/>
        <v>2.1740167300490811E-2</v>
      </c>
      <c r="O315" s="341">
        <f t="shared" si="120"/>
        <v>1.0009293446119998</v>
      </c>
      <c r="P315" s="342">
        <f t="shared" si="121"/>
        <v>5.2396362337445698E-2</v>
      </c>
      <c r="Q315" s="343">
        <f t="shared" si="122"/>
        <v>2.6782475602145479</v>
      </c>
      <c r="R315" s="344">
        <f t="shared" si="123"/>
        <v>-48.537353646340677</v>
      </c>
      <c r="S315" s="346">
        <f t="shared" si="124"/>
        <v>131.46264635365932</v>
      </c>
      <c r="U315" s="319">
        <f t="shared" si="130"/>
        <v>1000000000</v>
      </c>
      <c r="V315" s="319">
        <f t="shared" si="131"/>
        <v>489847556.25</v>
      </c>
      <c r="X315" s="345">
        <f t="shared" si="125"/>
        <v>5.2371893352356258</v>
      </c>
      <c r="Y315" s="346">
        <f t="shared" si="126"/>
        <v>-16.449261384398934</v>
      </c>
      <c r="AA315" s="345">
        <f t="shared" si="127"/>
        <v>34.273808383073934</v>
      </c>
      <c r="AB315" s="346">
        <f t="shared" si="128"/>
        <v>-32.08809226194176</v>
      </c>
      <c r="AD315">
        <f t="shared" si="132"/>
        <v>0</v>
      </c>
      <c r="AE315">
        <f t="shared" si="135"/>
        <v>0</v>
      </c>
    </row>
    <row r="316" spans="1:31" x14ac:dyDescent="0.2">
      <c r="A316" s="347">
        <v>22259.75</v>
      </c>
      <c r="B316" s="364">
        <f t="shared" si="129"/>
        <v>22.25975</v>
      </c>
      <c r="C316" s="337">
        <f t="shared" si="110"/>
        <v>1.1467077437007218</v>
      </c>
      <c r="D316" s="338">
        <f t="shared" si="111"/>
        <v>0.51139677366940406</v>
      </c>
      <c r="E316" s="338">
        <f t="shared" si="112"/>
        <v>1.0000008642230085</v>
      </c>
      <c r="F316" s="339">
        <f t="shared" si="113"/>
        <v>1.3147033019632051E-3</v>
      </c>
      <c r="G316" s="338">
        <f t="shared" si="114"/>
        <v>1</v>
      </c>
      <c r="H316" s="339">
        <f t="shared" si="115"/>
        <v>0</v>
      </c>
      <c r="I316" s="337">
        <f t="shared" si="116"/>
        <v>161124.87910205798</v>
      </c>
      <c r="J316" s="340">
        <f t="shared" si="117"/>
        <v>1.5707901204287191</v>
      </c>
      <c r="K316" s="348">
        <f t="shared" si="133"/>
        <v>3.8334796005391625</v>
      </c>
      <c r="L316" s="349">
        <f t="shared" si="134"/>
        <v>1.3068837891952048</v>
      </c>
      <c r="M316" s="337">
        <f t="shared" si="118"/>
        <v>1.000239089404086</v>
      </c>
      <c r="N316" s="340">
        <f t="shared" si="119"/>
        <v>2.1865121877103304E-2</v>
      </c>
      <c r="O316" s="341">
        <f t="shared" si="120"/>
        <v>1.0009400579161163</v>
      </c>
      <c r="P316" s="342">
        <f t="shared" si="121"/>
        <v>5.2697327121508111E-2</v>
      </c>
      <c r="Q316" s="343">
        <f t="shared" si="122"/>
        <v>2.6628496253340463</v>
      </c>
      <c r="R316" s="344">
        <f t="shared" si="123"/>
        <v>-48.618382497145831</v>
      </c>
      <c r="S316" s="346">
        <f t="shared" si="124"/>
        <v>131.38161750285417</v>
      </c>
      <c r="U316" s="319">
        <f t="shared" si="130"/>
        <v>1000000000</v>
      </c>
      <c r="V316" s="319">
        <f t="shared" si="131"/>
        <v>495496470.0625</v>
      </c>
      <c r="X316" s="345">
        <f t="shared" si="125"/>
        <v>5.2337589856985893</v>
      </c>
      <c r="Y316" s="346">
        <f t="shared" si="126"/>
        <v>-16.373498187268542</v>
      </c>
      <c r="AA316" s="345">
        <f t="shared" si="127"/>
        <v>34.261840797730464</v>
      </c>
      <c r="AB316" s="346">
        <f t="shared" si="128"/>
        <v>-32.244884309877278</v>
      </c>
      <c r="AD316">
        <f t="shared" si="132"/>
        <v>0</v>
      </c>
      <c r="AE316">
        <f t="shared" si="135"/>
        <v>0</v>
      </c>
    </row>
    <row r="317" spans="1:31" x14ac:dyDescent="0.2">
      <c r="A317" s="347">
        <v>22387</v>
      </c>
      <c r="B317" s="364">
        <f t="shared" si="129"/>
        <v>22.387</v>
      </c>
      <c r="C317" s="337">
        <f t="shared" si="110"/>
        <v>1.1482811918694489</v>
      </c>
      <c r="D317" s="338">
        <f t="shared" si="111"/>
        <v>0.5138331811368011</v>
      </c>
      <c r="E317" s="338">
        <f t="shared" si="112"/>
        <v>1.0000008741320743</v>
      </c>
      <c r="F317" s="339">
        <f t="shared" si="113"/>
        <v>1.3222189209950504E-3</v>
      </c>
      <c r="G317" s="338">
        <f t="shared" si="114"/>
        <v>1</v>
      </c>
      <c r="H317" s="339">
        <f t="shared" si="115"/>
        <v>0</v>
      </c>
      <c r="I317" s="337">
        <f t="shared" si="116"/>
        <v>162045.96495724272</v>
      </c>
      <c r="J317" s="340">
        <f t="shared" si="117"/>
        <v>1.57079015570634</v>
      </c>
      <c r="K317" s="348">
        <f t="shared" si="133"/>
        <v>3.853906777307381</v>
      </c>
      <c r="L317" s="349">
        <f t="shared" si="134"/>
        <v>1.3083157571042139</v>
      </c>
      <c r="M317" s="337">
        <f t="shared" si="118"/>
        <v>1.0002418304411169</v>
      </c>
      <c r="N317" s="340">
        <f t="shared" si="119"/>
        <v>2.199007577082215E-2</v>
      </c>
      <c r="O317" s="341">
        <f t="shared" si="120"/>
        <v>1.0009508325502197</v>
      </c>
      <c r="P317" s="342">
        <f t="shared" si="121"/>
        <v>5.299828699036007E-2</v>
      </c>
      <c r="Q317" s="343">
        <f t="shared" si="122"/>
        <v>2.6474709252976818</v>
      </c>
      <c r="R317" s="344">
        <f t="shared" si="123"/>
        <v>-48.699907113750264</v>
      </c>
      <c r="S317" s="346">
        <f t="shared" si="124"/>
        <v>131.30009288624973</v>
      </c>
      <c r="U317" s="319">
        <f t="shared" si="130"/>
        <v>1000000000</v>
      </c>
      <c r="V317" s="319">
        <f t="shared" si="131"/>
        <v>501177769</v>
      </c>
      <c r="X317" s="345">
        <f t="shared" si="125"/>
        <v>5.2303838206351774</v>
      </c>
      <c r="Y317" s="346">
        <f t="shared" si="126"/>
        <v>-16.298613821601183</v>
      </c>
      <c r="AA317" s="345">
        <f t="shared" si="127"/>
        <v>34.249837262757509</v>
      </c>
      <c r="AB317" s="346">
        <f t="shared" si="128"/>
        <v>-32.401293292149091</v>
      </c>
      <c r="AD317">
        <f t="shared" si="132"/>
        <v>0</v>
      </c>
      <c r="AE317">
        <f t="shared" si="135"/>
        <v>0</v>
      </c>
    </row>
    <row r="318" spans="1:31" x14ac:dyDescent="0.2">
      <c r="A318" s="347">
        <v>22517.5</v>
      </c>
      <c r="B318" s="364">
        <f t="shared" si="129"/>
        <v>22.517499999999998</v>
      </c>
      <c r="C318" s="337">
        <f t="shared" si="110"/>
        <v>1.1499018863384713</v>
      </c>
      <c r="D318" s="338">
        <f t="shared" si="111"/>
        <v>0.51632487464783527</v>
      </c>
      <c r="E318" s="338">
        <f t="shared" si="112"/>
        <v>1.0000008843528871</v>
      </c>
      <c r="F318" s="339">
        <f t="shared" si="113"/>
        <v>1.3299264908489853E-3</v>
      </c>
      <c r="G318" s="338">
        <f t="shared" si="114"/>
        <v>1</v>
      </c>
      <c r="H318" s="339">
        <f t="shared" si="115"/>
        <v>0</v>
      </c>
      <c r="I318" s="337">
        <f t="shared" si="116"/>
        <v>162990.57559851298</v>
      </c>
      <c r="J318" s="340">
        <f t="shared" si="117"/>
        <v>1.5707901914708366</v>
      </c>
      <c r="K318" s="348">
        <f t="shared" si="133"/>
        <v>3.8748637900215432</v>
      </c>
      <c r="L318" s="349">
        <f t="shared" si="134"/>
        <v>1.3097686136225724</v>
      </c>
      <c r="M318" s="337">
        <f t="shared" si="118"/>
        <v>1.0002446577055455</v>
      </c>
      <c r="N318" s="340">
        <f t="shared" si="119"/>
        <v>2.2118220307995429E-2</v>
      </c>
      <c r="O318" s="341">
        <f t="shared" si="120"/>
        <v>1.0009619460694088</v>
      </c>
      <c r="P318" s="342">
        <f t="shared" si="121"/>
        <v>5.3306928322697796E-2</v>
      </c>
      <c r="Q318" s="343">
        <f t="shared" si="122"/>
        <v>2.6317185905698053</v>
      </c>
      <c r="R318" s="344">
        <f t="shared" si="123"/>
        <v>-48.78401451393448</v>
      </c>
      <c r="S318" s="346">
        <f t="shared" si="124"/>
        <v>131.21598548606551</v>
      </c>
      <c r="U318" s="319">
        <f t="shared" si="130"/>
        <v>1000000000</v>
      </c>
      <c r="V318" s="319">
        <f t="shared" si="131"/>
        <v>507037806.25</v>
      </c>
      <c r="X318" s="345">
        <f t="shared" si="125"/>
        <v>5.2269785356209528</v>
      </c>
      <c r="Y318" s="346">
        <f t="shared" si="126"/>
        <v>-16.222715465076845</v>
      </c>
      <c r="AA318" s="345">
        <f t="shared" si="127"/>
        <v>34.237490213043863</v>
      </c>
      <c r="AB318" s="346">
        <f t="shared" si="128"/>
        <v>-32.561299048857634</v>
      </c>
      <c r="AD318">
        <f t="shared" si="132"/>
        <v>0</v>
      </c>
      <c r="AE318">
        <f t="shared" si="135"/>
        <v>0</v>
      </c>
    </row>
    <row r="319" spans="1:31" x14ac:dyDescent="0.2">
      <c r="A319" s="347">
        <v>22648</v>
      </c>
      <c r="B319" s="364">
        <f t="shared" si="129"/>
        <v>22.648</v>
      </c>
      <c r="C319" s="337">
        <f t="shared" si="110"/>
        <v>1.1515296998937399</v>
      </c>
      <c r="D319" s="338">
        <f t="shared" si="111"/>
        <v>0.51880953898450599</v>
      </c>
      <c r="E319" s="338">
        <f t="shared" si="112"/>
        <v>1.0000008946331069</v>
      </c>
      <c r="F319" s="339">
        <f t="shared" si="113"/>
        <v>1.3376340605449069E-3</v>
      </c>
      <c r="G319" s="338">
        <f t="shared" si="114"/>
        <v>1</v>
      </c>
      <c r="H319" s="339">
        <f t="shared" si="115"/>
        <v>0</v>
      </c>
      <c r="I319" s="337">
        <f t="shared" si="116"/>
        <v>163935.18623978345</v>
      </c>
      <c r="J319" s="340">
        <f t="shared" si="117"/>
        <v>1.5707902268231764</v>
      </c>
      <c r="K319" s="348">
        <f t="shared" si="133"/>
        <v>3.8958288937617422</v>
      </c>
      <c r="L319" s="349">
        <f t="shared" si="134"/>
        <v>1.3112058362761028</v>
      </c>
      <c r="M319" s="337">
        <f t="shared" si="118"/>
        <v>1.0002475013949212</v>
      </c>
      <c r="N319" s="340">
        <f t="shared" si="119"/>
        <v>2.2246364118646771E-2</v>
      </c>
      <c r="O319" s="341">
        <f t="shared" si="120"/>
        <v>1.0009731240880981</v>
      </c>
      <c r="P319" s="342">
        <f t="shared" si="121"/>
        <v>5.3615564426111692E-2</v>
      </c>
      <c r="Q319" s="343">
        <f t="shared" si="122"/>
        <v>2.6159848163748602</v>
      </c>
      <c r="R319" s="344">
        <f t="shared" si="123"/>
        <v>-48.868614561739179</v>
      </c>
      <c r="S319" s="346">
        <f t="shared" si="124"/>
        <v>131.13138543826082</v>
      </c>
      <c r="U319" s="319">
        <f t="shared" si="130"/>
        <v>1000000000</v>
      </c>
      <c r="V319" s="319">
        <f t="shared" si="131"/>
        <v>512931904</v>
      </c>
      <c r="X319" s="345">
        <f t="shared" si="125"/>
        <v>5.2236288138406852</v>
      </c>
      <c r="Y319" s="346">
        <f t="shared" si="126"/>
        <v>-16.147712797784163</v>
      </c>
      <c r="AA319" s="345">
        <f t="shared" si="127"/>
        <v>34.225106160629181</v>
      </c>
      <c r="AB319" s="346">
        <f t="shared" si="128"/>
        <v>-32.720901763955013</v>
      </c>
      <c r="AD319">
        <f t="shared" si="132"/>
        <v>0</v>
      </c>
      <c r="AE319">
        <f t="shared" si="135"/>
        <v>0</v>
      </c>
    </row>
    <row r="320" spans="1:31" x14ac:dyDescent="0.2">
      <c r="A320" s="347">
        <v>22778.5</v>
      </c>
      <c r="B320" s="364">
        <f t="shared" si="129"/>
        <v>22.778500000000001</v>
      </c>
      <c r="C320" s="337">
        <f t="shared" si="110"/>
        <v>1.15316460238723</v>
      </c>
      <c r="D320" s="338">
        <f t="shared" si="111"/>
        <v>0.52128717330065588</v>
      </c>
      <c r="E320" s="338">
        <f t="shared" si="112"/>
        <v>1.0000009049727332</v>
      </c>
      <c r="F320" s="339">
        <f t="shared" si="113"/>
        <v>1.3453416300818997E-3</v>
      </c>
      <c r="G320" s="338">
        <f t="shared" si="114"/>
        <v>1</v>
      </c>
      <c r="H320" s="339">
        <f t="shared" si="115"/>
        <v>0</v>
      </c>
      <c r="I320" s="337">
        <f t="shared" si="116"/>
        <v>164879.79688105409</v>
      </c>
      <c r="J320" s="340">
        <f t="shared" si="117"/>
        <v>1.570790261770443</v>
      </c>
      <c r="K320" s="348">
        <f t="shared" si="133"/>
        <v>3.9168019586037195</v>
      </c>
      <c r="L320" s="349">
        <f t="shared" si="134"/>
        <v>1.3126276702203217</v>
      </c>
      <c r="M320" s="337">
        <f t="shared" si="118"/>
        <v>1.0002503615091036</v>
      </c>
      <c r="N320" s="340">
        <f t="shared" si="119"/>
        <v>2.2374507198573926E-2</v>
      </c>
      <c r="O320" s="341">
        <f t="shared" si="120"/>
        <v>1.0009843666046214</v>
      </c>
      <c r="P320" s="342">
        <f t="shared" si="121"/>
        <v>5.392419527051482E-2</v>
      </c>
      <c r="Q320" s="343">
        <f t="shared" si="122"/>
        <v>2.6002688046602458</v>
      </c>
      <c r="R320" s="344">
        <f t="shared" si="123"/>
        <v>-48.953693160747967</v>
      </c>
      <c r="S320" s="346">
        <f t="shared" si="124"/>
        <v>131.04630683925203</v>
      </c>
      <c r="U320" s="319">
        <f t="shared" si="130"/>
        <v>1000000000</v>
      </c>
      <c r="V320" s="319">
        <f t="shared" si="131"/>
        <v>518860062.25</v>
      </c>
      <c r="X320" s="345">
        <f t="shared" si="125"/>
        <v>5.2203334512545894</v>
      </c>
      <c r="Y320" s="346">
        <f t="shared" si="126"/>
        <v>-16.073591773511801</v>
      </c>
      <c r="AA320" s="345">
        <f t="shared" si="127"/>
        <v>34.212685511500659</v>
      </c>
      <c r="AB320" s="346">
        <f t="shared" si="128"/>
        <v>-32.880101387236174</v>
      </c>
      <c r="AD320">
        <f t="shared" si="132"/>
        <v>0</v>
      </c>
      <c r="AE320">
        <f t="shared" si="135"/>
        <v>0</v>
      </c>
    </row>
    <row r="321" spans="1:31" x14ac:dyDescent="0.2">
      <c r="A321" s="347">
        <v>22909</v>
      </c>
      <c r="B321" s="364">
        <f t="shared" si="129"/>
        <v>22.908999999999999</v>
      </c>
      <c r="C321" s="337">
        <f t="shared" si="110"/>
        <v>1.1548065637107232</v>
      </c>
      <c r="D321" s="338">
        <f t="shared" si="111"/>
        <v>0.52375777710014615</v>
      </c>
      <c r="E321" s="338">
        <f t="shared" si="112"/>
        <v>1.0000009153717664</v>
      </c>
      <c r="F321" s="339">
        <f t="shared" si="113"/>
        <v>1.3530491994590481E-3</v>
      </c>
      <c r="G321" s="338">
        <f t="shared" si="114"/>
        <v>1</v>
      </c>
      <c r="H321" s="339">
        <f t="shared" si="115"/>
        <v>0</v>
      </c>
      <c r="I321" s="337">
        <f t="shared" si="116"/>
        <v>165824.40752232497</v>
      </c>
      <c r="J321" s="340">
        <f t="shared" si="117"/>
        <v>1.5707902963195586</v>
      </c>
      <c r="K321" s="348">
        <f t="shared" si="133"/>
        <v>3.9377828573423646</v>
      </c>
      <c r="L321" s="349">
        <f t="shared" si="134"/>
        <v>1.3140343556377601</v>
      </c>
      <c r="M321" s="337">
        <f t="shared" si="118"/>
        <v>1.0002532380479521</v>
      </c>
      <c r="N321" s="340">
        <f t="shared" si="119"/>
        <v>2.2502649543574799E-2</v>
      </c>
      <c r="O321" s="341">
        <f t="shared" si="120"/>
        <v>1.0009956736173033</v>
      </c>
      <c r="P321" s="342">
        <f t="shared" si="121"/>
        <v>5.4232820825824021E-2</v>
      </c>
      <c r="Q321" s="343">
        <f t="shared" si="122"/>
        <v>2.5845697877042668</v>
      </c>
      <c r="R321" s="344">
        <f t="shared" si="123"/>
        <v>-49.039236519521126</v>
      </c>
      <c r="S321" s="346">
        <f t="shared" si="124"/>
        <v>130.96076348047887</v>
      </c>
      <c r="U321" s="319">
        <f t="shared" si="130"/>
        <v>1000000000</v>
      </c>
      <c r="V321" s="319">
        <f t="shared" si="131"/>
        <v>524822281</v>
      </c>
      <c r="X321" s="345">
        <f t="shared" si="125"/>
        <v>5.2170912758319545</v>
      </c>
      <c r="Y321" s="346">
        <f t="shared" si="126"/>
        <v>-16.000338630970244</v>
      </c>
      <c r="AA321" s="345">
        <f t="shared" si="127"/>
        <v>34.200228669967323</v>
      </c>
      <c r="AB321" s="346">
        <f t="shared" si="128"/>
        <v>-33.038897888550892</v>
      </c>
      <c r="AD321">
        <f t="shared" si="132"/>
        <v>0</v>
      </c>
      <c r="AE321">
        <f t="shared" si="135"/>
        <v>0</v>
      </c>
    </row>
    <row r="322" spans="1:31" x14ac:dyDescent="0.2">
      <c r="A322" s="347">
        <v>23042.25</v>
      </c>
      <c r="B322" s="364">
        <f t="shared" si="129"/>
        <v>23.042249999999999</v>
      </c>
      <c r="C322" s="337">
        <f t="shared" si="110"/>
        <v>1.1564903780313804</v>
      </c>
      <c r="D322" s="338">
        <f t="shared" si="111"/>
        <v>0.52627318897117314</v>
      </c>
      <c r="E322" s="338">
        <f t="shared" si="112"/>
        <v>1.0000009260512337</v>
      </c>
      <c r="F322" s="339">
        <f t="shared" si="113"/>
        <v>1.3609191887146584E-3</v>
      </c>
      <c r="G322" s="338">
        <f t="shared" si="114"/>
        <v>1</v>
      </c>
      <c r="H322" s="339">
        <f t="shared" si="115"/>
        <v>0</v>
      </c>
      <c r="I322" s="337">
        <f t="shared" si="116"/>
        <v>166788.92375182206</v>
      </c>
      <c r="J322" s="340">
        <f t="shared" si="117"/>
        <v>1.5707903311929254</v>
      </c>
      <c r="K322" s="348">
        <f t="shared" si="133"/>
        <v>3.9592138361500897</v>
      </c>
      <c r="L322" s="349">
        <f t="shared" si="134"/>
        <v>1.3154552976304916</v>
      </c>
      <c r="M322" s="337">
        <f t="shared" si="118"/>
        <v>1.0002561921508553</v>
      </c>
      <c r="N322" s="340">
        <f t="shared" si="119"/>
        <v>2.2633491443504593E-2</v>
      </c>
      <c r="O322" s="341">
        <f t="shared" si="120"/>
        <v>1.0010072854477674</v>
      </c>
      <c r="P322" s="342">
        <f t="shared" si="121"/>
        <v>5.4547944496082017E-2</v>
      </c>
      <c r="Q322" s="343">
        <f t="shared" si="122"/>
        <v>2.5685567171579429</v>
      </c>
      <c r="R322" s="344">
        <f t="shared" si="123"/>
        <v>-49.127048050359491</v>
      </c>
      <c r="S322" s="346">
        <f t="shared" si="124"/>
        <v>130.87295194964051</v>
      </c>
      <c r="U322" s="319">
        <f t="shared" si="130"/>
        <v>1000000000</v>
      </c>
      <c r="V322" s="319">
        <f t="shared" si="131"/>
        <v>530945285.0625</v>
      </c>
      <c r="X322" s="345">
        <f t="shared" si="125"/>
        <v>5.2138344734298148</v>
      </c>
      <c r="Y322" s="346">
        <f t="shared" si="126"/>
        <v>-15.926423338515553</v>
      </c>
      <c r="AA322" s="345">
        <f t="shared" si="127"/>
        <v>34.187472401823136</v>
      </c>
      <c r="AB322" s="346">
        <f t="shared" si="128"/>
        <v>-33.200624711843936</v>
      </c>
      <c r="AD322">
        <f t="shared" si="132"/>
        <v>0</v>
      </c>
      <c r="AE322">
        <f t="shared" si="135"/>
        <v>0</v>
      </c>
    </row>
    <row r="323" spans="1:31" x14ac:dyDescent="0.2">
      <c r="A323" s="347">
        <v>23175.5</v>
      </c>
      <c r="B323" s="364">
        <f t="shared" si="129"/>
        <v>23.1755</v>
      </c>
      <c r="C323" s="337">
        <f t="shared" si="110"/>
        <v>1.1581814885061628</v>
      </c>
      <c r="D323" s="338">
        <f t="shared" si="111"/>
        <v>0.52878127095150063</v>
      </c>
      <c r="E323" s="338">
        <f t="shared" si="112"/>
        <v>1.0000009367926379</v>
      </c>
      <c r="F323" s="339">
        <f t="shared" si="113"/>
        <v>1.368789177801687E-3</v>
      </c>
      <c r="G323" s="338">
        <f t="shared" si="114"/>
        <v>1</v>
      </c>
      <c r="H323" s="339">
        <f t="shared" si="115"/>
        <v>0</v>
      </c>
      <c r="I323" s="337">
        <f t="shared" si="116"/>
        <v>167753.43998131936</v>
      </c>
      <c r="J323" s="340">
        <f t="shared" si="117"/>
        <v>1.5707903656652762</v>
      </c>
      <c r="K323" s="348">
        <f t="shared" si="133"/>
        <v>3.9806527228272115</v>
      </c>
      <c r="L323" s="349">
        <f t="shared" si="134"/>
        <v>1.3168609366976307</v>
      </c>
      <c r="M323" s="337">
        <f t="shared" si="118"/>
        <v>1.0002591633776461</v>
      </c>
      <c r="N323" s="340">
        <f t="shared" si="119"/>
        <v>2.2764332568353855E-2</v>
      </c>
      <c r="O323" s="341">
        <f t="shared" si="120"/>
        <v>1.0010189645176992</v>
      </c>
      <c r="P323" s="342">
        <f t="shared" si="121"/>
        <v>5.4863062588607688E-2</v>
      </c>
      <c r="Q323" s="343">
        <f t="shared" si="122"/>
        <v>2.5525598397750509</v>
      </c>
      <c r="R323" s="344">
        <f t="shared" si="123"/>
        <v>-49.215316015491389</v>
      </c>
      <c r="S323" s="346">
        <f t="shared" si="124"/>
        <v>130.7846839845086</v>
      </c>
      <c r="U323" s="319">
        <f t="shared" si="130"/>
        <v>1000000000</v>
      </c>
      <c r="V323" s="319">
        <f t="shared" si="131"/>
        <v>537103800.25</v>
      </c>
      <c r="X323" s="345">
        <f t="shared" si="125"/>
        <v>5.2106307515127401</v>
      </c>
      <c r="Y323" s="346">
        <f t="shared" si="126"/>
        <v>-15.853384771727121</v>
      </c>
      <c r="AA323" s="345">
        <f t="shared" si="127"/>
        <v>34.174679246357314</v>
      </c>
      <c r="AB323" s="346">
        <f t="shared" si="128"/>
        <v>-33.361931243764268</v>
      </c>
      <c r="AD323">
        <f t="shared" si="132"/>
        <v>0</v>
      </c>
      <c r="AE323">
        <f t="shared" si="135"/>
        <v>0</v>
      </c>
    </row>
    <row r="324" spans="1:31" x14ac:dyDescent="0.2">
      <c r="A324" s="347">
        <v>23308.75</v>
      </c>
      <c r="B324" s="364">
        <f t="shared" si="129"/>
        <v>23.30875</v>
      </c>
      <c r="C324" s="337">
        <f t="shared" si="110"/>
        <v>1.1598798632215865</v>
      </c>
      <c r="D324" s="338">
        <f t="shared" si="111"/>
        <v>0.53128202361717658</v>
      </c>
      <c r="E324" s="338">
        <f t="shared" si="112"/>
        <v>1.000000947595979</v>
      </c>
      <c r="F324" s="339">
        <f t="shared" si="113"/>
        <v>1.3766591667191586E-3</v>
      </c>
      <c r="G324" s="338">
        <f t="shared" si="114"/>
        <v>1</v>
      </c>
      <c r="H324" s="339">
        <f t="shared" si="115"/>
        <v>0</v>
      </c>
      <c r="I324" s="337">
        <f t="shared" si="116"/>
        <v>168717.9562108168</v>
      </c>
      <c r="J324" s="340">
        <f t="shared" si="117"/>
        <v>1.570790399743488</v>
      </c>
      <c r="K324" s="348">
        <f t="shared" si="133"/>
        <v>4.002099390288496</v>
      </c>
      <c r="L324" s="349">
        <f t="shared" si="134"/>
        <v>1.3182515132579451</v>
      </c>
      <c r="M324" s="337">
        <f t="shared" si="118"/>
        <v>1.0002621517281718</v>
      </c>
      <c r="N324" s="340">
        <f t="shared" si="119"/>
        <v>2.2895172913649679E-2</v>
      </c>
      <c r="O324" s="341">
        <f t="shared" si="120"/>
        <v>1.0010307108252841</v>
      </c>
      <c r="P324" s="342">
        <f t="shared" si="121"/>
        <v>5.5178175071387912E-2</v>
      </c>
      <c r="Q324" s="343">
        <f t="shared" si="122"/>
        <v>2.5365784296429728</v>
      </c>
      <c r="R324" s="344">
        <f t="shared" si="123"/>
        <v>-49.304026671244841</v>
      </c>
      <c r="S324" s="346">
        <f t="shared" si="124"/>
        <v>130.69597332875514</v>
      </c>
      <c r="U324" s="319">
        <f t="shared" si="130"/>
        <v>1000000000</v>
      </c>
      <c r="V324" s="319">
        <f t="shared" si="131"/>
        <v>543297826.5625</v>
      </c>
      <c r="X324" s="345">
        <f t="shared" si="125"/>
        <v>5.2074789593031943</v>
      </c>
      <c r="Y324" s="346">
        <f t="shared" si="126"/>
        <v>-15.781209155762021</v>
      </c>
      <c r="AA324" s="345">
        <f t="shared" si="127"/>
        <v>34.161849628434787</v>
      </c>
      <c r="AB324" s="346">
        <f t="shared" si="128"/>
        <v>-33.522817515482835</v>
      </c>
      <c r="AD324">
        <f t="shared" si="132"/>
        <v>0</v>
      </c>
      <c r="AE324">
        <f t="shared" si="135"/>
        <v>0</v>
      </c>
    </row>
    <row r="325" spans="1:31" x14ac:dyDescent="0.2">
      <c r="A325" s="347">
        <v>23442</v>
      </c>
      <c r="B325" s="364">
        <f t="shared" si="129"/>
        <v>23.442</v>
      </c>
      <c r="C325" s="337">
        <f t="shared" si="110"/>
        <v>1.1615854703141268</v>
      </c>
      <c r="D325" s="338">
        <f t="shared" si="111"/>
        <v>0.5337754479075717</v>
      </c>
      <c r="E325" s="338">
        <f t="shared" si="112"/>
        <v>1.0000009584612566</v>
      </c>
      <c r="F325" s="339">
        <f t="shared" si="113"/>
        <v>1.384529155466099E-3</v>
      </c>
      <c r="G325" s="338">
        <f t="shared" si="114"/>
        <v>1</v>
      </c>
      <c r="H325" s="339">
        <f t="shared" si="115"/>
        <v>0</v>
      </c>
      <c r="I325" s="337">
        <f t="shared" si="116"/>
        <v>169682.47244031448</v>
      </c>
      <c r="J325" s="340">
        <f t="shared" si="117"/>
        <v>1.5707904334342824</v>
      </c>
      <c r="K325" s="348">
        <f t="shared" si="133"/>
        <v>4.0235537141126718</v>
      </c>
      <c r="L325" s="349">
        <f t="shared" si="134"/>
        <v>1.319627262838188</v>
      </c>
      <c r="M325" s="337">
        <f t="shared" si="118"/>
        <v>1.0002651572022785</v>
      </c>
      <c r="N325" s="340">
        <f t="shared" si="119"/>
        <v>2.3026012474919297E-2</v>
      </c>
      <c r="O325" s="341">
        <f t="shared" si="120"/>
        <v>1.0010425243686973</v>
      </c>
      <c r="P325" s="342">
        <f t="shared" si="121"/>
        <v>5.5493281912413796E-2</v>
      </c>
      <c r="Q325" s="343">
        <f t="shared" si="122"/>
        <v>2.5206117895533287</v>
      </c>
      <c r="R325" s="344">
        <f t="shared" si="123"/>
        <v>-49.393166575047815</v>
      </c>
      <c r="S325" s="346">
        <f t="shared" si="124"/>
        <v>130.60683342495219</v>
      </c>
      <c r="U325" s="319">
        <f t="shared" si="130"/>
        <v>1000000000</v>
      </c>
      <c r="V325" s="319">
        <f t="shared" si="131"/>
        <v>549527364</v>
      </c>
      <c r="X325" s="345">
        <f t="shared" si="125"/>
        <v>5.2043779766378515</v>
      </c>
      <c r="Y325" s="346">
        <f t="shared" si="126"/>
        <v>-15.709882996060122</v>
      </c>
      <c r="AA325" s="345">
        <f t="shared" si="127"/>
        <v>34.148983971010487</v>
      </c>
      <c r="AB325" s="346">
        <f t="shared" si="128"/>
        <v>-33.683283578987712</v>
      </c>
      <c r="AD325">
        <f t="shared" si="132"/>
        <v>0</v>
      </c>
      <c r="AE325">
        <f t="shared" si="135"/>
        <v>0</v>
      </c>
    </row>
    <row r="326" spans="1:31" x14ac:dyDescent="0.2">
      <c r="A326" s="347">
        <v>23578.5</v>
      </c>
      <c r="B326" s="364">
        <f t="shared" si="129"/>
        <v>23.578499999999998</v>
      </c>
      <c r="C326" s="337">
        <f t="shared" si="110"/>
        <v>1.1633401434540533</v>
      </c>
      <c r="D326" s="338">
        <f t="shared" si="111"/>
        <v>0.5363220901176865</v>
      </c>
      <c r="E326" s="338">
        <f t="shared" si="112"/>
        <v>1.0000009696557624</v>
      </c>
      <c r="F326" s="339">
        <f t="shared" si="113"/>
        <v>1.3925910949802458E-3</v>
      </c>
      <c r="G326" s="338">
        <f t="shared" si="114"/>
        <v>1</v>
      </c>
      <c r="H326" s="339">
        <f t="shared" si="115"/>
        <v>0</v>
      </c>
      <c r="I326" s="337">
        <f t="shared" si="116"/>
        <v>170670.51345589766</v>
      </c>
      <c r="J326" s="340">
        <f t="shared" si="117"/>
        <v>1.5707904675519626</v>
      </c>
      <c r="K326" s="348">
        <f t="shared" si="133"/>
        <v>4.0455391255491353</v>
      </c>
      <c r="L326" s="349">
        <f t="shared" si="134"/>
        <v>1.3210214346272171</v>
      </c>
      <c r="M326" s="337">
        <f t="shared" si="118"/>
        <v>1.0002682537356176</v>
      </c>
      <c r="N326" s="340">
        <f t="shared" si="119"/>
        <v>2.316004242738183E-2</v>
      </c>
      <c r="O326" s="341">
        <f t="shared" si="120"/>
        <v>1.0010546957610729</v>
      </c>
      <c r="P326" s="342">
        <f t="shared" si="121"/>
        <v>5.5816068402854614E-2</v>
      </c>
      <c r="Q326" s="343">
        <f t="shared" si="122"/>
        <v>2.5042703343697865</v>
      </c>
      <c r="R326" s="344">
        <f t="shared" si="123"/>
        <v>-49.484911960175303</v>
      </c>
      <c r="S326" s="346">
        <f t="shared" si="124"/>
        <v>130.51508803982469</v>
      </c>
      <c r="U326" s="319">
        <f t="shared" si="130"/>
        <v>1000000000</v>
      </c>
      <c r="V326" s="319">
        <f t="shared" si="131"/>
        <v>555945662.25</v>
      </c>
      <c r="X326" s="345">
        <f t="shared" si="125"/>
        <v>5.2012529040506976</v>
      </c>
      <c r="Y326" s="346">
        <f t="shared" si="126"/>
        <v>-15.637684141953581</v>
      </c>
      <c r="AA326" s="345">
        <f t="shared" si="127"/>
        <v>34.135767588414097</v>
      </c>
      <c r="AB326" s="346">
        <f t="shared" si="128"/>
        <v>-33.847227818221732</v>
      </c>
      <c r="AD326">
        <f t="shared" si="132"/>
        <v>0</v>
      </c>
      <c r="AE326">
        <f t="shared" si="135"/>
        <v>0</v>
      </c>
    </row>
    <row r="327" spans="1:31" x14ac:dyDescent="0.2">
      <c r="A327" s="347">
        <v>23715</v>
      </c>
      <c r="B327" s="364">
        <f t="shared" si="129"/>
        <v>23.715</v>
      </c>
      <c r="C327" s="337">
        <f t="shared" si="110"/>
        <v>1.1651023385509578</v>
      </c>
      <c r="D327" s="338">
        <f t="shared" si="111"/>
        <v>0.5388610452568231</v>
      </c>
      <c r="E327" s="338">
        <f t="shared" si="112"/>
        <v>1.000000980915263</v>
      </c>
      <c r="F327" s="339">
        <f t="shared" si="113"/>
        <v>1.4006530343133703E-3</v>
      </c>
      <c r="G327" s="338">
        <f t="shared" si="114"/>
        <v>1</v>
      </c>
      <c r="H327" s="339">
        <f t="shared" si="115"/>
        <v>0</v>
      </c>
      <c r="I327" s="337">
        <f t="shared" si="116"/>
        <v>171658.55447148104</v>
      </c>
      <c r="J327" s="340">
        <f t="shared" si="117"/>
        <v>1.5707905012768903</v>
      </c>
      <c r="K327" s="348">
        <f t="shared" si="133"/>
        <v>4.0675323153471004</v>
      </c>
      <c r="L327" s="349">
        <f t="shared" si="134"/>
        <v>1.3224005324698107</v>
      </c>
      <c r="M327" s="337">
        <f t="shared" si="118"/>
        <v>1.0002713682376922</v>
      </c>
      <c r="N327" s="340">
        <f t="shared" si="119"/>
        <v>2.3294071547605415E-2</v>
      </c>
      <c r="O327" s="341">
        <f t="shared" si="120"/>
        <v>1.0010669377051613</v>
      </c>
      <c r="P327" s="342">
        <f t="shared" si="121"/>
        <v>5.6138848904992884E-2</v>
      </c>
      <c r="Q327" s="343">
        <f t="shared" si="122"/>
        <v>2.4879429855214497</v>
      </c>
      <c r="R327" s="344">
        <f t="shared" si="123"/>
        <v>-49.577080168809836</v>
      </c>
      <c r="S327" s="346">
        <f t="shared" si="124"/>
        <v>130.42291983119017</v>
      </c>
      <c r="U327" s="319">
        <f t="shared" si="130"/>
        <v>1000000000</v>
      </c>
      <c r="V327" s="319">
        <f t="shared" si="131"/>
        <v>562401225</v>
      </c>
      <c r="X327" s="345">
        <f t="shared" si="125"/>
        <v>5.1981788644921609</v>
      </c>
      <c r="Y327" s="346">
        <f t="shared" si="126"/>
        <v>-15.566348891172536</v>
      </c>
      <c r="AA327" s="345">
        <f t="shared" si="127"/>
        <v>34.122514279124296</v>
      </c>
      <c r="AB327" s="346">
        <f t="shared" si="128"/>
        <v>-34.010731277637305</v>
      </c>
      <c r="AD327">
        <f t="shared" si="132"/>
        <v>0</v>
      </c>
      <c r="AE327">
        <f t="shared" si="135"/>
        <v>0</v>
      </c>
    </row>
    <row r="328" spans="1:31" x14ac:dyDescent="0.2">
      <c r="A328" s="347">
        <v>23851.5</v>
      </c>
      <c r="B328" s="364">
        <f t="shared" si="129"/>
        <v>23.851500000000001</v>
      </c>
      <c r="C328" s="337">
        <f t="shared" si="110"/>
        <v>1.1668720215261534</v>
      </c>
      <c r="D328" s="338">
        <f t="shared" si="111"/>
        <v>0.54139231549221911</v>
      </c>
      <c r="E328" s="338">
        <f t="shared" si="112"/>
        <v>1.0000009922397588</v>
      </c>
      <c r="F328" s="339">
        <f t="shared" si="113"/>
        <v>1.408714973464424E-3</v>
      </c>
      <c r="G328" s="338">
        <f t="shared" si="114"/>
        <v>1</v>
      </c>
      <c r="H328" s="339">
        <f t="shared" si="115"/>
        <v>0</v>
      </c>
      <c r="I328" s="337">
        <f t="shared" si="116"/>
        <v>172646.59548706459</v>
      </c>
      <c r="J328" s="340">
        <f t="shared" si="117"/>
        <v>1.5707905346158086</v>
      </c>
      <c r="K328" s="348">
        <f t="shared" si="133"/>
        <v>4.0895331580123093</v>
      </c>
      <c r="L328" s="349">
        <f t="shared" si="134"/>
        <v>1.3237647943615127</v>
      </c>
      <c r="M328" s="337">
        <f t="shared" si="118"/>
        <v>1.0002745007083347</v>
      </c>
      <c r="N328" s="340">
        <f t="shared" si="119"/>
        <v>2.3428099830782506E-2</v>
      </c>
      <c r="O328" s="341">
        <f t="shared" si="120"/>
        <v>1.001079250198968</v>
      </c>
      <c r="P328" s="342">
        <f t="shared" si="121"/>
        <v>5.6461623384433751E-2</v>
      </c>
      <c r="Q328" s="343">
        <f t="shared" si="122"/>
        <v>2.4716290809068679</v>
      </c>
      <c r="R328" s="344">
        <f t="shared" si="123"/>
        <v>-49.669657687125031</v>
      </c>
      <c r="S328" s="346">
        <f t="shared" si="124"/>
        <v>130.33034231287496</v>
      </c>
      <c r="U328" s="319">
        <f t="shared" si="130"/>
        <v>1000000000</v>
      </c>
      <c r="V328" s="319">
        <f t="shared" si="131"/>
        <v>568894052.25</v>
      </c>
      <c r="X328" s="345">
        <f t="shared" si="125"/>
        <v>5.1951547475615403</v>
      </c>
      <c r="Y328" s="346">
        <f t="shared" si="126"/>
        <v>-15.495863607687685</v>
      </c>
      <c r="AA328" s="345">
        <f t="shared" si="127"/>
        <v>34.109224491440337</v>
      </c>
      <c r="AB328" s="346">
        <f t="shared" si="128"/>
        <v>-34.17379407943735</v>
      </c>
      <c r="AD328">
        <f t="shared" si="132"/>
        <v>0</v>
      </c>
      <c r="AE328">
        <f t="shared" si="135"/>
        <v>0</v>
      </c>
    </row>
    <row r="329" spans="1:31" x14ac:dyDescent="0.2">
      <c r="A329" s="347">
        <v>23988</v>
      </c>
      <c r="B329" s="364">
        <f t="shared" si="129"/>
        <v>23.988</v>
      </c>
      <c r="C329" s="337">
        <f t="shared" si="110"/>
        <v>1.1686491583630052</v>
      </c>
      <c r="D329" s="338">
        <f t="shared" si="111"/>
        <v>0.54391590337192763</v>
      </c>
      <c r="E329" s="338">
        <f t="shared" si="112"/>
        <v>1.0000010036292493</v>
      </c>
      <c r="F329" s="339">
        <f t="shared" si="113"/>
        <v>1.4167769124323593E-3</v>
      </c>
      <c r="G329" s="338">
        <f t="shared" si="114"/>
        <v>1</v>
      </c>
      <c r="H329" s="339">
        <f t="shared" si="115"/>
        <v>0</v>
      </c>
      <c r="I329" s="337">
        <f t="shared" si="116"/>
        <v>173634.63650264835</v>
      </c>
      <c r="J329" s="340">
        <f t="shared" si="117"/>
        <v>1.5707905675753069</v>
      </c>
      <c r="K329" s="348">
        <f t="shared" si="133"/>
        <v>4.1115415306933754</v>
      </c>
      <c r="L329" s="349">
        <f t="shared" si="134"/>
        <v>1.3251144534256412</v>
      </c>
      <c r="M329" s="337">
        <f t="shared" si="118"/>
        <v>1.0002776511473761</v>
      </c>
      <c r="N329" s="340">
        <f t="shared" si="119"/>
        <v>2.3562127272105739E-2</v>
      </c>
      <c r="O329" s="341">
        <f t="shared" si="120"/>
        <v>1.001091633240486</v>
      </c>
      <c r="P329" s="342">
        <f t="shared" si="121"/>
        <v>5.6784391806787057E-2</v>
      </c>
      <c r="Q329" s="343">
        <f t="shared" si="122"/>
        <v>2.4553279858879029</v>
      </c>
      <c r="R329" s="344">
        <f t="shared" si="123"/>
        <v>-49.762631302263102</v>
      </c>
      <c r="S329" s="346">
        <f t="shared" si="124"/>
        <v>130.23736869773688</v>
      </c>
      <c r="U329" s="319">
        <f t="shared" si="130"/>
        <v>1000000000</v>
      </c>
      <c r="V329" s="319">
        <f t="shared" si="131"/>
        <v>575424144</v>
      </c>
      <c r="X329" s="345">
        <f t="shared" si="125"/>
        <v>5.1921794725102268</v>
      </c>
      <c r="Y329" s="346">
        <f t="shared" si="126"/>
        <v>-15.426214934618871</v>
      </c>
      <c r="AA329" s="345">
        <f t="shared" si="127"/>
        <v>34.095898671472689</v>
      </c>
      <c r="AB329" s="346">
        <f t="shared" si="128"/>
        <v>-34.336416367644226</v>
      </c>
      <c r="AD329">
        <f t="shared" si="132"/>
        <v>0</v>
      </c>
      <c r="AE329">
        <f t="shared" si="135"/>
        <v>0</v>
      </c>
    </row>
    <row r="330" spans="1:31" x14ac:dyDescent="0.2">
      <c r="A330" s="347">
        <v>24127.75</v>
      </c>
      <c r="B330" s="364">
        <f t="shared" si="129"/>
        <v>24.127749999999999</v>
      </c>
      <c r="C330" s="337">
        <f t="shared" si="110"/>
        <v>1.1704762947115905</v>
      </c>
      <c r="D330" s="338">
        <f t="shared" si="111"/>
        <v>0.54649162082989233</v>
      </c>
      <c r="E330" s="338">
        <f t="shared" si="112"/>
        <v>1.0000010153572527</v>
      </c>
      <c r="F330" s="339">
        <f t="shared" si="113"/>
        <v>1.4250308021372976E-3</v>
      </c>
      <c r="G330" s="338">
        <f t="shared" si="114"/>
        <v>1</v>
      </c>
      <c r="H330" s="339">
        <f t="shared" si="115"/>
        <v>0</v>
      </c>
      <c r="I330" s="337">
        <f t="shared" si="116"/>
        <v>174646.20230431762</v>
      </c>
      <c r="J330" s="340">
        <f t="shared" si="117"/>
        <v>1.5707906009332013</v>
      </c>
      <c r="K330" s="348">
        <f t="shared" si="133"/>
        <v>4.1340815877476116</v>
      </c>
      <c r="L330" s="349">
        <f t="shared" si="134"/>
        <v>1.3264813571749146</v>
      </c>
      <c r="M330" s="337">
        <f t="shared" si="118"/>
        <v>1.0002808952119142</v>
      </c>
      <c r="N330" s="340">
        <f t="shared" si="119"/>
        <v>2.3699344965805835E-2</v>
      </c>
      <c r="O330" s="341">
        <f t="shared" si="120"/>
        <v>1.0011043842014882</v>
      </c>
      <c r="P330" s="342">
        <f t="shared" si="121"/>
        <v>5.7114838880542453E-2</v>
      </c>
      <c r="Q330" s="343">
        <f t="shared" si="122"/>
        <v>2.4386514054089488</v>
      </c>
      <c r="R330" s="344">
        <f t="shared" si="123"/>
        <v>-49.858215441721939</v>
      </c>
      <c r="S330" s="346">
        <f t="shared" si="124"/>
        <v>130.14178455827806</v>
      </c>
      <c r="U330" s="319">
        <f t="shared" si="130"/>
        <v>1000000000</v>
      </c>
      <c r="V330" s="319">
        <f t="shared" si="131"/>
        <v>582148320.0625</v>
      </c>
      <c r="X330" s="345">
        <f t="shared" si="125"/>
        <v>5.189182859273731</v>
      </c>
      <c r="Y330" s="346">
        <f t="shared" si="126"/>
        <v>-15.355761024694486</v>
      </c>
      <c r="AA330" s="345">
        <f t="shared" si="127"/>
        <v>34.082218704230229</v>
      </c>
      <c r="AB330" s="346">
        <f t="shared" si="128"/>
        <v>-34.502454417027472</v>
      </c>
      <c r="AD330">
        <f t="shared" si="132"/>
        <v>0</v>
      </c>
      <c r="AE330">
        <f t="shared" si="135"/>
        <v>0</v>
      </c>
    </row>
    <row r="331" spans="1:31" x14ac:dyDescent="0.2">
      <c r="A331" s="347">
        <v>24267.5</v>
      </c>
      <c r="B331" s="364">
        <f t="shared" si="129"/>
        <v>24.267499999999998</v>
      </c>
      <c r="C331" s="337">
        <f t="shared" si="110"/>
        <v>1.1723111721392947</v>
      </c>
      <c r="D331" s="338">
        <f t="shared" si="111"/>
        <v>0.5490592923579023</v>
      </c>
      <c r="E331" s="338">
        <f t="shared" si="112"/>
        <v>1.0000010271533828</v>
      </c>
      <c r="F331" s="339">
        <f t="shared" si="113"/>
        <v>1.4332846916480706E-3</v>
      </c>
      <c r="G331" s="338">
        <f t="shared" si="114"/>
        <v>1</v>
      </c>
      <c r="H331" s="339">
        <f t="shared" si="115"/>
        <v>0</v>
      </c>
      <c r="I331" s="337">
        <f t="shared" si="116"/>
        <v>175657.76810598708</v>
      </c>
      <c r="J331" s="340">
        <f t="shared" si="117"/>
        <v>1.5707906339068975</v>
      </c>
      <c r="K331" s="348">
        <f t="shared" si="133"/>
        <v>4.1566292852464759</v>
      </c>
      <c r="L331" s="349">
        <f t="shared" si="134"/>
        <v>1.3278334338481421</v>
      </c>
      <c r="M331" s="337">
        <f t="shared" si="118"/>
        <v>1.0002841581103143</v>
      </c>
      <c r="N331" s="340">
        <f t="shared" si="119"/>
        <v>2.3836561766889124E-2</v>
      </c>
      <c r="O331" s="341">
        <f t="shared" si="120"/>
        <v>1.0011172091053162</v>
      </c>
      <c r="P331" s="342">
        <f t="shared" si="121"/>
        <v>5.7445279532406225E-2</v>
      </c>
      <c r="Q331" s="343">
        <f t="shared" si="122"/>
        <v>2.4219869896038513</v>
      </c>
      <c r="R331" s="344">
        <f t="shared" si="123"/>
        <v>-49.954187671140261</v>
      </c>
      <c r="S331" s="346">
        <f t="shared" si="124"/>
        <v>130.04581232885974</v>
      </c>
      <c r="U331" s="319">
        <f t="shared" si="130"/>
        <v>1000000000</v>
      </c>
      <c r="V331" s="319">
        <f t="shared" si="131"/>
        <v>588911556.25</v>
      </c>
      <c r="X331" s="345">
        <f t="shared" si="125"/>
        <v>5.1862352400118548</v>
      </c>
      <c r="Y331" s="346">
        <f t="shared" si="126"/>
        <v>-15.286156570494914</v>
      </c>
      <c r="AA331" s="345">
        <f t="shared" si="127"/>
        <v>34.068501907687001</v>
      </c>
      <c r="AB331" s="346">
        <f t="shared" si="128"/>
        <v>-34.668031100645358</v>
      </c>
      <c r="AD331">
        <f t="shared" si="132"/>
        <v>0</v>
      </c>
      <c r="AE331">
        <f t="shared" si="135"/>
        <v>0</v>
      </c>
    </row>
    <row r="332" spans="1:31" x14ac:dyDescent="0.2">
      <c r="A332" s="347">
        <v>24407.25</v>
      </c>
      <c r="B332" s="364">
        <f t="shared" si="129"/>
        <v>24.407250000000001</v>
      </c>
      <c r="C332" s="337">
        <f t="shared" si="110"/>
        <v>1.1741537543546237</v>
      </c>
      <c r="D332" s="338">
        <f t="shared" si="111"/>
        <v>0.55161892189904316</v>
      </c>
      <c r="E332" s="338">
        <f t="shared" si="112"/>
        <v>1.0000010390176399</v>
      </c>
      <c r="F332" s="339">
        <f t="shared" si="113"/>
        <v>1.4415385809635535E-3</v>
      </c>
      <c r="G332" s="338">
        <f t="shared" si="114"/>
        <v>1</v>
      </c>
      <c r="H332" s="339">
        <f t="shared" si="115"/>
        <v>0</v>
      </c>
      <c r="I332" s="337">
        <f t="shared" si="116"/>
        <v>176669.33390765675</v>
      </c>
      <c r="J332" s="340">
        <f t="shared" si="117"/>
        <v>1.5707906665029949</v>
      </c>
      <c r="K332" s="348">
        <f t="shared" si="133"/>
        <v>4.179184499523906</v>
      </c>
      <c r="L332" s="349">
        <f t="shared" si="134"/>
        <v>1.3291709185282485</v>
      </c>
      <c r="M332" s="337">
        <f t="shared" si="118"/>
        <v>1.000287439842392</v>
      </c>
      <c r="N332" s="340">
        <f t="shared" si="119"/>
        <v>2.3973777670197201E-2</v>
      </c>
      <c r="O332" s="341">
        <f t="shared" si="120"/>
        <v>1.0011301079497803</v>
      </c>
      <c r="P332" s="342">
        <f t="shared" si="121"/>
        <v>5.7775713725488287E-2</v>
      </c>
      <c r="Q332" s="343">
        <f t="shared" si="122"/>
        <v>2.4053341407482263</v>
      </c>
      <c r="R332" s="344">
        <f t="shared" si="123"/>
        <v>-50.050534745149747</v>
      </c>
      <c r="S332" s="346">
        <f t="shared" si="124"/>
        <v>129.94946525485025</v>
      </c>
      <c r="U332" s="319">
        <f t="shared" si="130"/>
        <v>1000000000</v>
      </c>
      <c r="V332" s="319">
        <f t="shared" si="131"/>
        <v>595713852.5625</v>
      </c>
      <c r="X332" s="345">
        <f t="shared" si="125"/>
        <v>5.1833355455186956</v>
      </c>
      <c r="Y332" s="346">
        <f t="shared" si="126"/>
        <v>-15.217388102843261</v>
      </c>
      <c r="AA332" s="345">
        <f t="shared" si="127"/>
        <v>34.054748753324539</v>
      </c>
      <c r="AB332" s="346">
        <f t="shared" si="128"/>
        <v>-34.833146642306481</v>
      </c>
      <c r="AD332">
        <f t="shared" si="132"/>
        <v>0</v>
      </c>
      <c r="AE332">
        <f t="shared" si="135"/>
        <v>0</v>
      </c>
    </row>
    <row r="333" spans="1:31" x14ac:dyDescent="0.2">
      <c r="A333" s="347">
        <v>24547</v>
      </c>
      <c r="B333" s="364">
        <f t="shared" si="129"/>
        <v>24.547000000000001</v>
      </c>
      <c r="C333" s="337">
        <f t="shared" ref="C333:C396" si="136">SQRT(1+(A333/pole1)^2)</f>
        <v>1.1760040051416185</v>
      </c>
      <c r="D333" s="338">
        <f t="shared" ref="D333:D396" si="137">ATAN(A333/pole1)</f>
        <v>0.55417051379324778</v>
      </c>
      <c r="E333" s="338">
        <f t="shared" ref="E333:E396" si="138">SQRT(1+(A333/Zero1)^2)</f>
        <v>1.0000010509500235</v>
      </c>
      <c r="F333" s="339">
        <f t="shared" ref="F333:F396" si="139">ATAN(A333/Zero1)</f>
        <v>1.4497924700826218E-3</v>
      </c>
      <c r="G333" s="338">
        <f t="shared" ref="G333:G396" si="140">IF(VIN_nom&gt;Vout, 1, SQRT(1+(A333/z_RHP)^2))</f>
        <v>1</v>
      </c>
      <c r="H333" s="339">
        <f t="shared" ref="H333:H396" si="141">IF(VIN_nom&gt;Vout, 0, -ATAN(A333/z_RHP))</f>
        <v>0</v>
      </c>
      <c r="I333" s="337">
        <f t="shared" ref="I333:I396" si="142">SQRT(1+(A333/Pole2)^2)</f>
        <v>177680.89970932659</v>
      </c>
      <c r="J333" s="340">
        <f t="shared" ref="J333:J396" si="143">ATAN(A333/Pole2)</f>
        <v>1.5707906987279427</v>
      </c>
      <c r="K333" s="348">
        <f t="shared" si="133"/>
        <v>4.2017471095284371</v>
      </c>
      <c r="L333" s="349">
        <f t="shared" si="134"/>
        <v>1.3304940414601087</v>
      </c>
      <c r="M333" s="337">
        <f t="shared" ref="M333:M396" si="144">SQRT(1+(A333/pole4)^2)</f>
        <v>1.0002907404079622</v>
      </c>
      <c r="N333" s="340">
        <f t="shared" ref="N333:N396" si="145">ATAN(A333/pole4)</f>
        <v>2.4110992670571877E-2</v>
      </c>
      <c r="O333" s="341">
        <f t="shared" ref="O333:O396" si="146">SQRT((1-(V333/pterm2))^2+(A333/pterm1)^2)</f>
        <v>1.0011430807326769</v>
      </c>
      <c r="P333" s="342">
        <f t="shared" ref="P333:P396" si="147">IF((ATAN((A333/pterm1)/(1-A333^2/pterm2))&gt;0),ATAN((A333/pterm1)/(1-A333^2/pterm2)),PI()+ATAN((A333/pterm1)/(1-A333^2/pterm2)))</f>
        <v>5.8106141422903865E-2</v>
      </c>
      <c r="Q333" s="343">
        <f t="shared" ref="Q333:Q396" si="148">20*LOG10(((E333*K333*G333)/(C333*I333*O333*M333))*Adc)</f>
        <v>2.3886922872694853</v>
      </c>
      <c r="R333" s="344">
        <f t="shared" ref="R333:R396" si="149">((F333+L333+H333)-(D333+J333+P333+N333))*radconv</f>
        <v>-50.147243718311316</v>
      </c>
      <c r="S333" s="346">
        <f t="shared" ref="S333:S396" si="150">IF(R333&gt;0,R333,R333+180)</f>
        <v>129.8527562816887</v>
      </c>
      <c r="U333" s="319">
        <f t="shared" si="130"/>
        <v>1000000000</v>
      </c>
      <c r="V333" s="319">
        <f t="shared" si="131"/>
        <v>602555209</v>
      </c>
      <c r="X333" s="345">
        <f t="shared" ref="X333:X396" si="151">20*LOG10((K333/(I333*M333))*AEA)</f>
        <v>5.1804827352290017</v>
      </c>
      <c r="Y333" s="346">
        <f t="shared" ref="Y333:Y396" si="152">(L333-(J333+N333))*radconv</f>
        <v>-15.149442429753915</v>
      </c>
      <c r="AA333" s="345">
        <f t="shared" ref="AA333:AA396" si="153">20*LOG10((E333*G333/(C333*O333))*Acs*Am)</f>
        <v>34.040959710135489</v>
      </c>
      <c r="AB333" s="346">
        <f t="shared" ref="AB333:AB396" si="154">(F333+H333-(D333+P333))*radconv</f>
        <v>-34.997801288557383</v>
      </c>
      <c r="AD333">
        <f t="shared" si="132"/>
        <v>0</v>
      </c>
      <c r="AE333">
        <f t="shared" si="135"/>
        <v>0</v>
      </c>
    </row>
    <row r="334" spans="1:31" x14ac:dyDescent="0.2">
      <c r="A334" s="347">
        <v>24690</v>
      </c>
      <c r="B334" s="364">
        <f t="shared" ref="B334:B397" si="155">A334/1000</f>
        <v>24.69</v>
      </c>
      <c r="C334" s="337">
        <f t="shared" si="136"/>
        <v>1.1779051854717792</v>
      </c>
      <c r="D334" s="338">
        <f t="shared" si="137"/>
        <v>0.55677312976834759</v>
      </c>
      <c r="E334" s="338">
        <f t="shared" si="138"/>
        <v>1.0000010632304261</v>
      </c>
      <c r="F334" s="339">
        <f t="shared" si="139"/>
        <v>1.4582383099069436E-3</v>
      </c>
      <c r="G334" s="338">
        <f t="shared" si="140"/>
        <v>1</v>
      </c>
      <c r="H334" s="339">
        <f t="shared" si="141"/>
        <v>0</v>
      </c>
      <c r="I334" s="337">
        <f t="shared" si="142"/>
        <v>178715.99029708197</v>
      </c>
      <c r="J334" s="340">
        <f t="shared" si="143"/>
        <v>1.5707907313246852</v>
      </c>
      <c r="K334" s="348">
        <f t="shared" si="133"/>
        <v>4.2248419635047778</v>
      </c>
      <c r="L334" s="349">
        <f t="shared" si="134"/>
        <v>1.3318333033073193</v>
      </c>
      <c r="M334" s="337">
        <f t="shared" si="144"/>
        <v>1.0002941372262442</v>
      </c>
      <c r="N334" s="340">
        <f t="shared" si="145"/>
        <v>2.4251397777410939E-2</v>
      </c>
      <c r="O334" s="341">
        <f t="shared" si="146"/>
        <v>1.0011564317435626</v>
      </c>
      <c r="P334" s="342">
        <f t="shared" si="147"/>
        <v>5.8444246722887769E-2</v>
      </c>
      <c r="Q334" s="343">
        <f t="shared" si="148"/>
        <v>2.3716742260631292</v>
      </c>
      <c r="R334" s="344">
        <f t="shared" si="149"/>
        <v>-50.246563161426714</v>
      </c>
      <c r="S334" s="346">
        <f t="shared" si="150"/>
        <v>129.75343683857329</v>
      </c>
      <c r="U334" s="319">
        <f t="shared" ref="U334:U397" si="156">IF(Q334&lt;0,A334,1000000000)</f>
        <v>1000000000</v>
      </c>
      <c r="V334" s="319">
        <f t="shared" ref="V334:V397" si="157">A334^2</f>
        <v>609596100</v>
      </c>
      <c r="X334" s="345">
        <f t="shared" si="151"/>
        <v>5.1776110564907265</v>
      </c>
      <c r="Y334" s="346">
        <f t="shared" si="152"/>
        <v>-15.080754865867105</v>
      </c>
      <c r="AA334" s="345">
        <f t="shared" si="153"/>
        <v>34.026813327667412</v>
      </c>
      <c r="AB334" s="346">
        <f t="shared" si="154"/>
        <v>-35.165808295559607</v>
      </c>
      <c r="AD334">
        <f t="shared" ref="AD334:AD397" si="158">SUM((Q335&lt;0)*(Q334&gt;0))*A334</f>
        <v>0</v>
      </c>
      <c r="AE334">
        <f t="shared" si="135"/>
        <v>0</v>
      </c>
    </row>
    <row r="335" spans="1:31" x14ac:dyDescent="0.2">
      <c r="A335" s="347">
        <v>24833</v>
      </c>
      <c r="B335" s="364">
        <f t="shared" si="155"/>
        <v>24.832999999999998</v>
      </c>
      <c r="C335" s="337">
        <f t="shared" si="136"/>
        <v>1.1798143187266836</v>
      </c>
      <c r="D335" s="338">
        <f t="shared" si="137"/>
        <v>0.55936734034852054</v>
      </c>
      <c r="E335" s="338">
        <f t="shared" si="138"/>
        <v>1.0000010755821613</v>
      </c>
      <c r="F335" s="339">
        <f t="shared" si="139"/>
        <v>1.4666841495232263E-3</v>
      </c>
      <c r="G335" s="338">
        <f t="shared" si="140"/>
        <v>1</v>
      </c>
      <c r="H335" s="339">
        <f t="shared" si="141"/>
        <v>0</v>
      </c>
      <c r="I335" s="337">
        <f t="shared" si="142"/>
        <v>179751.08088483752</v>
      </c>
      <c r="J335" s="340">
        <f t="shared" si="143"/>
        <v>1.5707907635460132</v>
      </c>
      <c r="K335" s="348">
        <f t="shared" si="133"/>
        <v>4.2479443128476522</v>
      </c>
      <c r="L335" s="349">
        <f t="shared" si="134"/>
        <v>1.3331580004183456</v>
      </c>
      <c r="M335" s="337">
        <f t="shared" si="144"/>
        <v>1.0002975537637844</v>
      </c>
      <c r="N335" s="340">
        <f t="shared" si="145"/>
        <v>2.4391801927904608E-2</v>
      </c>
      <c r="O335" s="341">
        <f t="shared" si="146"/>
        <v>1.0011698601671593</v>
      </c>
      <c r="P335" s="342">
        <f t="shared" si="147"/>
        <v>5.8782345143446393E-2</v>
      </c>
      <c r="Q335" s="343">
        <f t="shared" si="148"/>
        <v>2.3546665466433399</v>
      </c>
      <c r="R335" s="344">
        <f t="shared" si="149"/>
        <v>-50.346235038346826</v>
      </c>
      <c r="S335" s="346">
        <f t="shared" si="150"/>
        <v>129.65376496165317</v>
      </c>
      <c r="U335" s="319">
        <f t="shared" si="156"/>
        <v>1000000000</v>
      </c>
      <c r="V335" s="319">
        <f t="shared" si="157"/>
        <v>616677889</v>
      </c>
      <c r="X335" s="345">
        <f t="shared" si="151"/>
        <v>5.1747863515461976</v>
      </c>
      <c r="Y335" s="346">
        <f t="shared" si="152"/>
        <v>-15.012901723590097</v>
      </c>
      <c r="AA335" s="345">
        <f t="shared" si="153"/>
        <v>34.012630353192151</v>
      </c>
      <c r="AB335" s="346">
        <f t="shared" si="154"/>
        <v>-35.333333314756722</v>
      </c>
      <c r="AD335">
        <f t="shared" si="158"/>
        <v>0</v>
      </c>
      <c r="AE335">
        <f t="shared" si="135"/>
        <v>0</v>
      </c>
    </row>
    <row r="336" spans="1:31" x14ac:dyDescent="0.2">
      <c r="A336" s="347">
        <v>24976</v>
      </c>
      <c r="B336" s="364">
        <f t="shared" si="155"/>
        <v>24.975999999999999</v>
      </c>
      <c r="C336" s="337">
        <f t="shared" si="136"/>
        <v>1.181731366361549</v>
      </c>
      <c r="D336" s="338">
        <f t="shared" si="137"/>
        <v>0.56195315143843094</v>
      </c>
      <c r="E336" s="338">
        <f t="shared" si="138"/>
        <v>1.0000010880052286</v>
      </c>
      <c r="F336" s="339">
        <f t="shared" si="139"/>
        <v>1.4751299889302651E-3</v>
      </c>
      <c r="G336" s="338">
        <f t="shared" si="140"/>
        <v>1</v>
      </c>
      <c r="H336" s="339">
        <f t="shared" si="141"/>
        <v>0</v>
      </c>
      <c r="I336" s="337">
        <f t="shared" si="142"/>
        <v>180786.17147259327</v>
      </c>
      <c r="J336" s="340">
        <f t="shared" si="143"/>
        <v>1.5707907953983753</v>
      </c>
      <c r="K336" s="348">
        <f t="shared" si="133"/>
        <v>4.2710540359286</v>
      </c>
      <c r="L336" s="349">
        <f t="shared" si="134"/>
        <v>1.3344683645254931</v>
      </c>
      <c r="M336" s="337">
        <f t="shared" si="144"/>
        <v>1.000300990020381</v>
      </c>
      <c r="N336" s="340">
        <f t="shared" si="145"/>
        <v>2.4532205116527043E-2</v>
      </c>
      <c r="O336" s="341">
        <f t="shared" si="146"/>
        <v>1.0011833660010663</v>
      </c>
      <c r="P336" s="342">
        <f t="shared" si="147"/>
        <v>5.9120436645078697E-2</v>
      </c>
      <c r="Q336" s="343">
        <f t="shared" si="148"/>
        <v>2.3376687157265312</v>
      </c>
      <c r="R336" s="344">
        <f t="shared" si="149"/>
        <v>-50.446246407890598</v>
      </c>
      <c r="S336" s="346">
        <f t="shared" si="150"/>
        <v>129.55375359210939</v>
      </c>
      <c r="U336" s="319">
        <f t="shared" si="156"/>
        <v>1000000000</v>
      </c>
      <c r="V336" s="319">
        <f t="shared" si="157"/>
        <v>623800576</v>
      </c>
      <c r="X336" s="345">
        <f t="shared" si="151"/>
        <v>5.1720075928483791</v>
      </c>
      <c r="Y336" s="346">
        <f t="shared" si="152"/>
        <v>-14.945869725692688</v>
      </c>
      <c r="AA336" s="345">
        <f t="shared" si="153"/>
        <v>33.998411280973158</v>
      </c>
      <c r="AB336" s="346">
        <f t="shared" si="154"/>
        <v>-35.500376682197889</v>
      </c>
      <c r="AD336">
        <f t="shared" si="158"/>
        <v>0</v>
      </c>
      <c r="AE336">
        <f t="shared" si="135"/>
        <v>0</v>
      </c>
    </row>
    <row r="337" spans="1:31" x14ac:dyDescent="0.2">
      <c r="A337" s="347">
        <v>25119</v>
      </c>
      <c r="B337" s="364">
        <f t="shared" si="155"/>
        <v>25.119</v>
      </c>
      <c r="C337" s="337">
        <f t="shared" si="136"/>
        <v>1.1836562899220286</v>
      </c>
      <c r="D337" s="338">
        <f t="shared" si="137"/>
        <v>0.56453056935386725</v>
      </c>
      <c r="E337" s="338">
        <f t="shared" si="138"/>
        <v>1.0000011004996281</v>
      </c>
      <c r="F337" s="339">
        <f t="shared" si="139"/>
        <v>1.4835758281268553E-3</v>
      </c>
      <c r="G337" s="338">
        <f t="shared" si="140"/>
        <v>1</v>
      </c>
      <c r="H337" s="339">
        <f t="shared" si="141"/>
        <v>0</v>
      </c>
      <c r="I337" s="337">
        <f t="shared" si="142"/>
        <v>181821.26206034923</v>
      </c>
      <c r="J337" s="340">
        <f t="shared" si="143"/>
        <v>1.5707908268880724</v>
      </c>
      <c r="K337" s="348">
        <f t="shared" si="133"/>
        <v>4.2941710136990032</v>
      </c>
      <c r="L337" s="349">
        <f t="shared" si="134"/>
        <v>1.3357646225703748</v>
      </c>
      <c r="M337" s="337">
        <f t="shared" si="144"/>
        <v>1.0003044459958308</v>
      </c>
      <c r="N337" s="340">
        <f t="shared" si="145"/>
        <v>2.4672607337752638E-2</v>
      </c>
      <c r="O337" s="341">
        <f t="shared" si="146"/>
        <v>1.0011969492428685</v>
      </c>
      <c r="P337" s="342">
        <f t="shared" si="147"/>
        <v>5.9458521188289509E-2</v>
      </c>
      <c r="Q337" s="343">
        <f t="shared" si="148"/>
        <v>2.3206802248121186</v>
      </c>
      <c r="R337" s="344">
        <f t="shared" si="149"/>
        <v>-50.546584626910949</v>
      </c>
      <c r="S337" s="346">
        <f t="shared" si="150"/>
        <v>129.45341537308906</v>
      </c>
      <c r="U337" s="319">
        <f t="shared" si="156"/>
        <v>1000000000</v>
      </c>
      <c r="V337" s="319">
        <f t="shared" si="157"/>
        <v>630964161</v>
      </c>
      <c r="X337" s="345">
        <f t="shared" si="151"/>
        <v>5.1692737804426168</v>
      </c>
      <c r="Y337" s="346">
        <f t="shared" si="152"/>
        <v>-14.879645869422639</v>
      </c>
      <c r="AA337" s="345">
        <f t="shared" si="153"/>
        <v>33.984156602464509</v>
      </c>
      <c r="AB337" s="346">
        <f t="shared" si="154"/>
        <v>-35.666938757488296</v>
      </c>
      <c r="AD337">
        <f t="shared" si="158"/>
        <v>0</v>
      </c>
      <c r="AE337">
        <f t="shared" si="135"/>
        <v>0</v>
      </c>
    </row>
    <row r="338" spans="1:31" x14ac:dyDescent="0.2">
      <c r="A338" s="347">
        <v>25265.25</v>
      </c>
      <c r="B338" s="364">
        <f t="shared" si="155"/>
        <v>25.265250000000002</v>
      </c>
      <c r="C338" s="337">
        <f t="shared" si="136"/>
        <v>1.18563306822256</v>
      </c>
      <c r="D338" s="338">
        <f t="shared" si="137"/>
        <v>0.56715789048291743</v>
      </c>
      <c r="E338" s="338">
        <f t="shared" si="138"/>
        <v>1.0000011133517739</v>
      </c>
      <c r="F338" s="339">
        <f t="shared" si="139"/>
        <v>1.492213617995344E-3</v>
      </c>
      <c r="G338" s="338">
        <f t="shared" si="140"/>
        <v>1</v>
      </c>
      <c r="H338" s="339">
        <f t="shared" si="141"/>
        <v>0</v>
      </c>
      <c r="I338" s="337">
        <f t="shared" si="142"/>
        <v>182879.87743419068</v>
      </c>
      <c r="J338" s="340">
        <f t="shared" si="143"/>
        <v>1.5707908587247401</v>
      </c>
      <c r="K338" s="348">
        <f t="shared" si="133"/>
        <v>4.3178207597725464</v>
      </c>
      <c r="L338" s="349">
        <f t="shared" si="134"/>
        <v>1.3370759820523652</v>
      </c>
      <c r="M338" s="337">
        <f t="shared" si="144"/>
        <v>1.0003080009121434</v>
      </c>
      <c r="N338" s="340">
        <f t="shared" si="145"/>
        <v>2.4816199512166941E-2</v>
      </c>
      <c r="O338" s="341">
        <f t="shared" si="146"/>
        <v>1.0012109212589739</v>
      </c>
      <c r="P338" s="342">
        <f t="shared" si="147"/>
        <v>5.98042822325262E-2</v>
      </c>
      <c r="Q338" s="343">
        <f t="shared" si="148"/>
        <v>2.3033147877367082</v>
      </c>
      <c r="R338" s="344">
        <f t="shared" si="149"/>
        <v>-50.649528464728903</v>
      </c>
      <c r="S338" s="346">
        <f t="shared" si="150"/>
        <v>129.35047153527108</v>
      </c>
      <c r="U338" s="319">
        <f t="shared" si="156"/>
        <v>1000000000</v>
      </c>
      <c r="V338" s="319">
        <f t="shared" si="157"/>
        <v>638332857.5625</v>
      </c>
      <c r="X338" s="345">
        <f t="shared" si="151"/>
        <v>5.1665233119560146</v>
      </c>
      <c r="Y338" s="346">
        <f t="shared" si="152"/>
        <v>-14.812739555275419</v>
      </c>
      <c r="AA338" s="345">
        <f t="shared" si="153"/>
        <v>33.9695416338757</v>
      </c>
      <c r="AB338" s="346">
        <f t="shared" si="154"/>
        <v>-35.836788909453517</v>
      </c>
      <c r="AD338">
        <f t="shared" si="158"/>
        <v>0</v>
      </c>
      <c r="AE338">
        <f t="shared" si="135"/>
        <v>0</v>
      </c>
    </row>
    <row r="339" spans="1:31" x14ac:dyDescent="0.2">
      <c r="A339" s="347">
        <v>25411.5</v>
      </c>
      <c r="B339" s="364">
        <f t="shared" si="155"/>
        <v>25.4115</v>
      </c>
      <c r="C339" s="337">
        <f t="shared" si="136"/>
        <v>1.1876180034524244</v>
      </c>
      <c r="D339" s="338">
        <f t="shared" si="137"/>
        <v>0.56977644724710841</v>
      </c>
      <c r="E339" s="338">
        <f t="shared" si="138"/>
        <v>1.0000011262785311</v>
      </c>
      <c r="F339" s="339">
        <f t="shared" si="139"/>
        <v>1.5008514076411601E-3</v>
      </c>
      <c r="G339" s="338">
        <f t="shared" si="140"/>
        <v>1</v>
      </c>
      <c r="H339" s="339">
        <f t="shared" si="141"/>
        <v>0</v>
      </c>
      <c r="I339" s="337">
        <f t="shared" si="142"/>
        <v>183938.49280803234</v>
      </c>
      <c r="J339" s="340">
        <f t="shared" si="143"/>
        <v>1.570790890194951</v>
      </c>
      <c r="K339" s="348">
        <f t="shared" si="133"/>
        <v>4.3414778501422777</v>
      </c>
      <c r="L339" s="349">
        <f t="shared" si="134"/>
        <v>1.3383730523209458</v>
      </c>
      <c r="M339" s="337">
        <f t="shared" si="144"/>
        <v>1.0003115764533725</v>
      </c>
      <c r="N339" s="340">
        <f t="shared" si="145"/>
        <v>2.4959790663022258E-2</v>
      </c>
      <c r="O339" s="341">
        <f t="shared" si="146"/>
        <v>1.0012249742363464</v>
      </c>
      <c r="P339" s="342">
        <f t="shared" si="147"/>
        <v>6.0150035914913927E-2</v>
      </c>
      <c r="Q339" s="343">
        <f t="shared" si="148"/>
        <v>2.2859581197264065</v>
      </c>
      <c r="R339" s="344">
        <f t="shared" si="149"/>
        <v>-50.752788351619529</v>
      </c>
      <c r="S339" s="346">
        <f t="shared" si="150"/>
        <v>129.24721164838047</v>
      </c>
      <c r="U339" s="319">
        <f t="shared" si="156"/>
        <v>1000000000</v>
      </c>
      <c r="V339" s="319">
        <f t="shared" si="157"/>
        <v>645744332.25</v>
      </c>
      <c r="X339" s="345">
        <f t="shared" si="151"/>
        <v>5.1638178249799216</v>
      </c>
      <c r="Y339" s="346">
        <f t="shared" si="152"/>
        <v>-14.746651873108037</v>
      </c>
      <c r="AA339" s="345">
        <f t="shared" si="153"/>
        <v>33.954890452841497</v>
      </c>
      <c r="AB339" s="346">
        <f t="shared" si="154"/>
        <v>-36.0061364785115</v>
      </c>
      <c r="AD339">
        <f t="shared" si="158"/>
        <v>0</v>
      </c>
      <c r="AE339">
        <f t="shared" si="135"/>
        <v>0</v>
      </c>
    </row>
    <row r="340" spans="1:31" x14ac:dyDescent="0.2">
      <c r="A340" s="347">
        <v>25557.75</v>
      </c>
      <c r="B340" s="364">
        <f t="shared" si="155"/>
        <v>25.557749999999999</v>
      </c>
      <c r="C340" s="337">
        <f t="shared" si="136"/>
        <v>1.1896110547806895</v>
      </c>
      <c r="D340" s="338">
        <f t="shared" si="137"/>
        <v>0.57238624769783297</v>
      </c>
      <c r="E340" s="338">
        <f t="shared" si="138"/>
        <v>1.0000011392798998</v>
      </c>
      <c r="F340" s="339">
        <f t="shared" si="139"/>
        <v>1.5094891970630147E-3</v>
      </c>
      <c r="G340" s="338">
        <f t="shared" si="140"/>
        <v>1</v>
      </c>
      <c r="H340" s="339">
        <f t="shared" si="141"/>
        <v>0</v>
      </c>
      <c r="I340" s="337">
        <f t="shared" si="142"/>
        <v>184997.10818187418</v>
      </c>
      <c r="J340" s="340">
        <f t="shared" si="143"/>
        <v>1.5707909213049955</v>
      </c>
      <c r="K340" s="348">
        <f t="shared" si="133"/>
        <v>4.3651421653999387</v>
      </c>
      <c r="L340" s="349">
        <f t="shared" si="134"/>
        <v>1.3396560613700188</v>
      </c>
      <c r="M340" s="337">
        <f t="shared" si="144"/>
        <v>1.0003151726192967</v>
      </c>
      <c r="N340" s="340">
        <f t="shared" si="145"/>
        <v>2.5103380784408345E-2</v>
      </c>
      <c r="O340" s="341">
        <f t="shared" si="146"/>
        <v>1.0012391081723584</v>
      </c>
      <c r="P340" s="342">
        <f t="shared" si="147"/>
        <v>6.0495782193222436E-2</v>
      </c>
      <c r="Q340" s="343">
        <f t="shared" si="148"/>
        <v>2.2686097515357737</v>
      </c>
      <c r="R340" s="344">
        <f t="shared" si="149"/>
        <v>-50.856351683407439</v>
      </c>
      <c r="S340" s="346">
        <f t="shared" si="150"/>
        <v>129.14364831659256</v>
      </c>
      <c r="U340" s="319">
        <f t="shared" si="156"/>
        <v>1000000000</v>
      </c>
      <c r="V340" s="319">
        <f t="shared" si="157"/>
        <v>653198585.0625</v>
      </c>
      <c r="X340" s="345">
        <f t="shared" si="151"/>
        <v>5.1611563337744384</v>
      </c>
      <c r="Y340" s="346">
        <f t="shared" si="152"/>
        <v>-14.681369759853908</v>
      </c>
      <c r="AA340" s="345">
        <f t="shared" si="153"/>
        <v>33.940203575856344</v>
      </c>
      <c r="AB340" s="346">
        <f t="shared" si="154"/>
        <v>-36.174981923553517</v>
      </c>
      <c r="AD340">
        <f t="shared" si="158"/>
        <v>0</v>
      </c>
      <c r="AE340">
        <f t="shared" si="135"/>
        <v>0</v>
      </c>
    </row>
    <row r="341" spans="1:31" x14ac:dyDescent="0.2">
      <c r="A341" s="347">
        <v>25704</v>
      </c>
      <c r="B341" s="364">
        <f t="shared" si="155"/>
        <v>25.704000000000001</v>
      </c>
      <c r="C341" s="337">
        <f t="shared" si="136"/>
        <v>1.1916121814831986</v>
      </c>
      <c r="D341" s="338">
        <f t="shared" si="137"/>
        <v>0.57498730030984435</v>
      </c>
      <c r="E341" s="338">
        <f t="shared" si="138"/>
        <v>1.0000011523558798</v>
      </c>
      <c r="F341" s="339">
        <f t="shared" si="139"/>
        <v>1.518126986259619E-3</v>
      </c>
      <c r="G341" s="338">
        <f t="shared" si="140"/>
        <v>1</v>
      </c>
      <c r="H341" s="339">
        <f t="shared" si="141"/>
        <v>0</v>
      </c>
      <c r="I341" s="337">
        <f t="shared" si="142"/>
        <v>186055.72355571619</v>
      </c>
      <c r="J341" s="340">
        <f t="shared" si="143"/>
        <v>1.5707909520610217</v>
      </c>
      <c r="K341" s="348">
        <f t="shared" si="133"/>
        <v>4.3888135886765696</v>
      </c>
      <c r="L341" s="349">
        <f t="shared" si="134"/>
        <v>1.3409252324621033</v>
      </c>
      <c r="M341" s="337">
        <f t="shared" si="144"/>
        <v>1.0003187894096934</v>
      </c>
      <c r="N341" s="340">
        <f t="shared" si="145"/>
        <v>2.5246969870415217E-2</v>
      </c>
      <c r="O341" s="341">
        <f t="shared" si="146"/>
        <v>1.0012533230643679</v>
      </c>
      <c r="P341" s="342">
        <f t="shared" si="147"/>
        <v>6.0841521025228128E-2</v>
      </c>
      <c r="Q341" s="343">
        <f t="shared" si="148"/>
        <v>2.251269237288605</v>
      </c>
      <c r="R341" s="344">
        <f t="shared" si="149"/>
        <v>-50.960206151254631</v>
      </c>
      <c r="S341" s="346">
        <f t="shared" si="150"/>
        <v>129.03979384874538</v>
      </c>
      <c r="U341" s="319">
        <f t="shared" si="156"/>
        <v>1000000000</v>
      </c>
      <c r="V341" s="319">
        <f t="shared" si="157"/>
        <v>660695616</v>
      </c>
      <c r="X341" s="345">
        <f t="shared" si="151"/>
        <v>5.1585378791183363</v>
      </c>
      <c r="Y341" s="346">
        <f t="shared" si="152"/>
        <v>-14.616880423526599</v>
      </c>
      <c r="AA341" s="345">
        <f t="shared" si="153"/>
        <v>33.925481516265279</v>
      </c>
      <c r="AB341" s="346">
        <f t="shared" si="154"/>
        <v>-36.343325727728036</v>
      </c>
      <c r="AD341">
        <f t="shared" si="158"/>
        <v>0</v>
      </c>
      <c r="AE341">
        <f t="shared" si="135"/>
        <v>0</v>
      </c>
    </row>
    <row r="342" spans="1:31" x14ac:dyDescent="0.2">
      <c r="A342" s="347">
        <v>25853.75</v>
      </c>
      <c r="B342" s="364">
        <f t="shared" si="155"/>
        <v>25.853750000000002</v>
      </c>
      <c r="C342" s="337">
        <f t="shared" si="136"/>
        <v>1.1936695235491719</v>
      </c>
      <c r="D342" s="338">
        <f t="shared" si="137"/>
        <v>0.57764154525535272</v>
      </c>
      <c r="E342" s="338">
        <f t="shared" si="138"/>
        <v>1.0000011658221006</v>
      </c>
      <c r="F342" s="339">
        <f t="shared" si="139"/>
        <v>1.5269714915441301E-3</v>
      </c>
      <c r="G342" s="338">
        <f t="shared" si="140"/>
        <v>1</v>
      </c>
      <c r="H342" s="339">
        <f t="shared" si="141"/>
        <v>0</v>
      </c>
      <c r="I342" s="337">
        <f t="shared" si="142"/>
        <v>187139.67331457339</v>
      </c>
      <c r="J342" s="340">
        <f t="shared" si="143"/>
        <v>1.5707909831925364</v>
      </c>
      <c r="K342" s="348">
        <f t="shared" si="133"/>
        <v>4.4130587533014971</v>
      </c>
      <c r="L342" s="349">
        <f t="shared" si="134"/>
        <v>1.3422106665540663</v>
      </c>
      <c r="M342" s="337">
        <f t="shared" si="144"/>
        <v>1.0003225141262686</v>
      </c>
      <c r="N342" s="340">
        <f t="shared" si="145"/>
        <v>2.5393994197413516E-2</v>
      </c>
      <c r="O342" s="341">
        <f t="shared" si="146"/>
        <v>1.0012679620243441</v>
      </c>
      <c r="P342" s="342">
        <f t="shared" si="147"/>
        <v>6.1195526189108181E-2</v>
      </c>
      <c r="Q342" s="343">
        <f t="shared" si="148"/>
        <v>2.2335214324545336</v>
      </c>
      <c r="R342" s="344">
        <f t="shared" si="149"/>
        <v>-51.066835142354968</v>
      </c>
      <c r="S342" s="346">
        <f t="shared" si="150"/>
        <v>128.93316485764504</v>
      </c>
      <c r="U342" s="319">
        <f t="shared" si="156"/>
        <v>1000000000</v>
      </c>
      <c r="V342" s="319">
        <f t="shared" si="157"/>
        <v>668416389.0625</v>
      </c>
      <c r="X342" s="345">
        <f t="shared" si="151"/>
        <v>5.1559003794790739</v>
      </c>
      <c r="Y342" s="346">
        <f t="shared" si="152"/>
        <v>-14.551656132267512</v>
      </c>
      <c r="AA342" s="345">
        <f t="shared" si="153"/>
        <v>33.910371211070469</v>
      </c>
      <c r="AB342" s="346">
        <f t="shared" si="154"/>
        <v>-36.515179010087451</v>
      </c>
      <c r="AD342">
        <f t="shared" si="158"/>
        <v>0</v>
      </c>
      <c r="AE342">
        <f t="shared" si="135"/>
        <v>0</v>
      </c>
    </row>
    <row r="343" spans="1:31" x14ac:dyDescent="0.2">
      <c r="A343" s="347">
        <v>26003.5</v>
      </c>
      <c r="B343" s="364">
        <f t="shared" si="155"/>
        <v>26.003499999999999</v>
      </c>
      <c r="C343" s="337">
        <f t="shared" si="136"/>
        <v>1.1957352460638844</v>
      </c>
      <c r="D343" s="338">
        <f t="shared" si="137"/>
        <v>0.58028663796676416</v>
      </c>
      <c r="E343" s="338">
        <f t="shared" si="138"/>
        <v>1.0000011793665466</v>
      </c>
      <c r="F343" s="339">
        <f t="shared" si="139"/>
        <v>1.5358159965897455E-3</v>
      </c>
      <c r="G343" s="338">
        <f t="shared" si="140"/>
        <v>1</v>
      </c>
      <c r="H343" s="339">
        <f t="shared" si="141"/>
        <v>0</v>
      </c>
      <c r="I343" s="337">
        <f t="shared" si="142"/>
        <v>188223.62307343082</v>
      </c>
      <c r="J343" s="340">
        <f t="shared" si="143"/>
        <v>1.5707910139654884</v>
      </c>
      <c r="K343" s="348">
        <f t="shared" ref="K343:K406" si="159">SQRT(1+(A343/Zero2)^2)</f>
        <v>4.4373111301118584</v>
      </c>
      <c r="L343" s="349">
        <f t="shared" ref="L343:L406" si="160">ATAN(A343/Zero2)</f>
        <v>1.3434820515011565</v>
      </c>
      <c r="M343" s="337">
        <f t="shared" si="144"/>
        <v>1.0003262604658067</v>
      </c>
      <c r="N343" s="340">
        <f t="shared" si="145"/>
        <v>2.5541017426343068E-2</v>
      </c>
      <c r="O343" s="341">
        <f t="shared" si="146"/>
        <v>1.0012826858558446</v>
      </c>
      <c r="P343" s="342">
        <f t="shared" si="147"/>
        <v>6.1549523456441019E-2</v>
      </c>
      <c r="Q343" s="343">
        <f t="shared" si="148"/>
        <v>2.2157809872387757</v>
      </c>
      <c r="R343" s="344">
        <f t="shared" si="149"/>
        <v>-51.173744169891755</v>
      </c>
      <c r="S343" s="346">
        <f t="shared" si="150"/>
        <v>128.82625583010824</v>
      </c>
      <c r="U343" s="319">
        <f t="shared" si="156"/>
        <v>1000000000</v>
      </c>
      <c r="V343" s="319">
        <f t="shared" si="157"/>
        <v>676182012.25</v>
      </c>
      <c r="X343" s="345">
        <f t="shared" si="151"/>
        <v>5.1533060470584395</v>
      </c>
      <c r="Y343" s="346">
        <f t="shared" si="152"/>
        <v>-14.48723671425749</v>
      </c>
      <c r="AA343" s="345">
        <f t="shared" si="153"/>
        <v>33.895225098275347</v>
      </c>
      <c r="AB343" s="346">
        <f t="shared" si="154"/>
        <v>-36.686507455634256</v>
      </c>
      <c r="AD343">
        <f t="shared" si="158"/>
        <v>0</v>
      </c>
      <c r="AE343">
        <f t="shared" si="135"/>
        <v>0</v>
      </c>
    </row>
    <row r="344" spans="1:31" x14ac:dyDescent="0.2">
      <c r="A344" s="347">
        <v>26153.25</v>
      </c>
      <c r="B344" s="364">
        <f t="shared" si="155"/>
        <v>26.15325</v>
      </c>
      <c r="C344" s="337">
        <f t="shared" si="136"/>
        <v>1.1978093056689789</v>
      </c>
      <c r="D344" s="338">
        <f t="shared" si="137"/>
        <v>0.58292258887833703</v>
      </c>
      <c r="E344" s="338">
        <f t="shared" si="138"/>
        <v>1.0000011929892183</v>
      </c>
      <c r="F344" s="339">
        <f t="shared" si="139"/>
        <v>1.5446605013950813E-3</v>
      </c>
      <c r="G344" s="338">
        <f t="shared" si="140"/>
        <v>1</v>
      </c>
      <c r="H344" s="339">
        <f t="shared" si="141"/>
        <v>0</v>
      </c>
      <c r="I344" s="337">
        <f t="shared" si="142"/>
        <v>189307.5728322884</v>
      </c>
      <c r="J344" s="340">
        <f t="shared" si="143"/>
        <v>1.5707910443860367</v>
      </c>
      <c r="K344" s="348">
        <f t="shared" si="159"/>
        <v>4.46157060149483</v>
      </c>
      <c r="L344" s="349">
        <f t="shared" si="160"/>
        <v>1.3447396123329858</v>
      </c>
      <c r="M344" s="337">
        <f t="shared" si="144"/>
        <v>1.000330028428065</v>
      </c>
      <c r="N344" s="340">
        <f t="shared" si="145"/>
        <v>2.5688039550860183E-2</v>
      </c>
      <c r="O344" s="341">
        <f t="shared" si="146"/>
        <v>1.0012974945559836</v>
      </c>
      <c r="P344" s="342">
        <f t="shared" si="147"/>
        <v>6.1903512781920328E-2</v>
      </c>
      <c r="Q344" s="343">
        <f t="shared" si="148"/>
        <v>2.1980474936167962</v>
      </c>
      <c r="R344" s="344">
        <f t="shared" si="149"/>
        <v>-51.280920935850538</v>
      </c>
      <c r="S344" s="346">
        <f t="shared" si="150"/>
        <v>128.71907906414947</v>
      </c>
      <c r="U344" s="319">
        <f t="shared" si="156"/>
        <v>1000000000</v>
      </c>
      <c r="V344" s="319">
        <f t="shared" si="157"/>
        <v>683992485.5625</v>
      </c>
      <c r="X344" s="345">
        <f t="shared" si="151"/>
        <v>5.1507539331140002</v>
      </c>
      <c r="Y344" s="346">
        <f t="shared" si="152"/>
        <v>-14.423609276238906</v>
      </c>
      <c r="AA344" s="345">
        <f t="shared" si="153"/>
        <v>33.880043718597804</v>
      </c>
      <c r="AB344" s="346">
        <f t="shared" si="154"/>
        <v>-36.857311659611625</v>
      </c>
      <c r="AD344">
        <f t="shared" si="158"/>
        <v>0</v>
      </c>
      <c r="AE344">
        <f t="shared" si="135"/>
        <v>0</v>
      </c>
    </row>
    <row r="345" spans="1:31" x14ac:dyDescent="0.2">
      <c r="A345" s="347">
        <v>26303</v>
      </c>
      <c r="B345" s="364">
        <f t="shared" si="155"/>
        <v>26.303000000000001</v>
      </c>
      <c r="C345" s="337">
        <f t="shared" si="136"/>
        <v>1.1998916591314968</v>
      </c>
      <c r="D345" s="338">
        <f t="shared" si="137"/>
        <v>0.58554940886048412</v>
      </c>
      <c r="E345" s="338">
        <f t="shared" si="138"/>
        <v>1.0000012066901152</v>
      </c>
      <c r="F345" s="339">
        <f t="shared" si="139"/>
        <v>1.5535050059587538E-3</v>
      </c>
      <c r="G345" s="338">
        <f t="shared" si="140"/>
        <v>1</v>
      </c>
      <c r="H345" s="339">
        <f t="shared" si="141"/>
        <v>0</v>
      </c>
      <c r="I345" s="337">
        <f t="shared" si="142"/>
        <v>190391.52259114612</v>
      </c>
      <c r="J345" s="340">
        <f t="shared" si="143"/>
        <v>1.5707910744602003</v>
      </c>
      <c r="K345" s="348">
        <f t="shared" si="159"/>
        <v>4.4858370523477609</v>
      </c>
      <c r="L345" s="349">
        <f t="shared" si="160"/>
        <v>1.3459835693869537</v>
      </c>
      <c r="M345" s="337">
        <f t="shared" si="144"/>
        <v>1.0003338180127987</v>
      </c>
      <c r="N345" s="340">
        <f t="shared" si="145"/>
        <v>2.5835060564621468E-2</v>
      </c>
      <c r="O345" s="341">
        <f t="shared" si="146"/>
        <v>1.0013123881218593</v>
      </c>
      <c r="P345" s="342">
        <f t="shared" si="147"/>
        <v>6.2257494120247205E-2</v>
      </c>
      <c r="Q345" s="343">
        <f t="shared" si="148"/>
        <v>2.180320565630578</v>
      </c>
      <c r="R345" s="344">
        <f t="shared" si="149"/>
        <v>-51.388353436043126</v>
      </c>
      <c r="S345" s="346">
        <f t="shared" si="150"/>
        <v>128.61164656395687</v>
      </c>
      <c r="U345" s="319">
        <f t="shared" si="156"/>
        <v>1000000000</v>
      </c>
      <c r="V345" s="319">
        <f t="shared" si="157"/>
        <v>691847809</v>
      </c>
      <c r="X345" s="345">
        <f t="shared" si="151"/>
        <v>5.1482431145010263</v>
      </c>
      <c r="Y345" s="346">
        <f t="shared" si="152"/>
        <v>-14.360761193790104</v>
      </c>
      <c r="AA345" s="345">
        <f t="shared" si="153"/>
        <v>33.864827609224562</v>
      </c>
      <c r="AB345" s="346">
        <f t="shared" si="154"/>
        <v>-37.027592242253</v>
      </c>
      <c r="AD345">
        <f t="shared" si="158"/>
        <v>0</v>
      </c>
      <c r="AE345">
        <f t="shared" si="135"/>
        <v>0</v>
      </c>
    </row>
    <row r="346" spans="1:31" x14ac:dyDescent="0.2">
      <c r="A346" s="347">
        <v>26456</v>
      </c>
      <c r="B346" s="364">
        <f t="shared" si="155"/>
        <v>26.456</v>
      </c>
      <c r="C346" s="337">
        <f t="shared" si="136"/>
        <v>1.2020277265446402</v>
      </c>
      <c r="D346" s="338">
        <f t="shared" si="137"/>
        <v>0.58822381971746562</v>
      </c>
      <c r="E346" s="338">
        <f t="shared" si="138"/>
        <v>1.0000012207691509</v>
      </c>
      <c r="F346" s="339">
        <f t="shared" si="139"/>
        <v>1.562541461121697E-3</v>
      </c>
      <c r="G346" s="338">
        <f t="shared" si="140"/>
        <v>1</v>
      </c>
      <c r="H346" s="339">
        <f t="shared" si="141"/>
        <v>0</v>
      </c>
      <c r="I346" s="337">
        <f t="shared" si="142"/>
        <v>191498.99713608943</v>
      </c>
      <c r="J346" s="340">
        <f t="shared" si="143"/>
        <v>1.5707911048354348</v>
      </c>
      <c r="K346" s="348">
        <f t="shared" si="159"/>
        <v>4.5106372451986108</v>
      </c>
      <c r="L346" s="349">
        <f t="shared" si="160"/>
        <v>1.347240698423021</v>
      </c>
      <c r="M346" s="337">
        <f t="shared" si="144"/>
        <v>1.0003377121734922</v>
      </c>
      <c r="N346" s="340">
        <f t="shared" si="145"/>
        <v>2.598527119786059E-2</v>
      </c>
      <c r="O346" s="341">
        <f t="shared" si="146"/>
        <v>1.0013276925658114</v>
      </c>
      <c r="P346" s="342">
        <f t="shared" si="147"/>
        <v>6.2619149562073179E-2</v>
      </c>
      <c r="Q346" s="343">
        <f t="shared" si="148"/>
        <v>2.1622153146261649</v>
      </c>
      <c r="R346" s="344">
        <f t="shared" si="149"/>
        <v>-51.498369458295123</v>
      </c>
      <c r="S346" s="346">
        <f t="shared" si="150"/>
        <v>128.50163054170488</v>
      </c>
      <c r="U346" s="319">
        <f t="shared" si="156"/>
        <v>1000000000</v>
      </c>
      <c r="V346" s="319">
        <f t="shared" si="157"/>
        <v>699919936</v>
      </c>
      <c r="X346" s="345">
        <f t="shared" si="151"/>
        <v>5.1457195189963576</v>
      </c>
      <c r="Y346" s="346">
        <f t="shared" si="152"/>
        <v>-14.297341181342968</v>
      </c>
      <c r="AA346" s="345">
        <f t="shared" si="153"/>
        <v>33.849245953724811</v>
      </c>
      <c r="AB346" s="346">
        <f t="shared" si="154"/>
        <v>-37.201028276952158</v>
      </c>
      <c r="AD346">
        <f t="shared" si="158"/>
        <v>0</v>
      </c>
      <c r="AE346">
        <f t="shared" ref="AE346:AE409" si="161">IF(AD346&gt;0,S346,0)</f>
        <v>0</v>
      </c>
    </row>
    <row r="347" spans="1:31" x14ac:dyDescent="0.2">
      <c r="A347" s="347">
        <v>26609</v>
      </c>
      <c r="B347" s="364">
        <f t="shared" si="155"/>
        <v>26.609000000000002</v>
      </c>
      <c r="C347" s="337">
        <f t="shared" si="136"/>
        <v>1.2041723608914545</v>
      </c>
      <c r="D347" s="338">
        <f t="shared" si="137"/>
        <v>0.59088872331221176</v>
      </c>
      <c r="E347" s="338">
        <f t="shared" si="138"/>
        <v>1.0000012349298439</v>
      </c>
      <c r="F347" s="339">
        <f t="shared" si="139"/>
        <v>1.571577916029453E-3</v>
      </c>
      <c r="G347" s="338">
        <f t="shared" si="140"/>
        <v>1</v>
      </c>
      <c r="H347" s="339">
        <f t="shared" si="141"/>
        <v>0</v>
      </c>
      <c r="I347" s="337">
        <f t="shared" si="142"/>
        <v>192606.47168103294</v>
      </c>
      <c r="J347" s="340">
        <f t="shared" si="143"/>
        <v>1.5707911348613584</v>
      </c>
      <c r="K347" s="348">
        <f t="shared" si="159"/>
        <v>4.5354444885757292</v>
      </c>
      <c r="L347" s="349">
        <f t="shared" si="160"/>
        <v>1.3484840773225892</v>
      </c>
      <c r="M347" s="337">
        <f t="shared" si="144"/>
        <v>1.0003416289048639</v>
      </c>
      <c r="N347" s="340">
        <f t="shared" si="145"/>
        <v>2.6135480658221355E-2</v>
      </c>
      <c r="O347" s="341">
        <f t="shared" si="146"/>
        <v>1.0013430855929513</v>
      </c>
      <c r="P347" s="342">
        <f t="shared" si="147"/>
        <v>6.2980796570721698E-2</v>
      </c>
      <c r="Q347" s="343">
        <f t="shared" si="148"/>
        <v>2.1441161697161388</v>
      </c>
      <c r="R347" s="344">
        <f t="shared" si="149"/>
        <v>-51.608628008949843</v>
      </c>
      <c r="S347" s="346">
        <f t="shared" si="150"/>
        <v>128.39137199105016</v>
      </c>
      <c r="U347" s="319">
        <f t="shared" si="156"/>
        <v>1000000000</v>
      </c>
      <c r="V347" s="319">
        <f t="shared" si="157"/>
        <v>708038881</v>
      </c>
      <c r="X347" s="345">
        <f t="shared" si="151"/>
        <v>5.1432371607587521</v>
      </c>
      <c r="Y347" s="346">
        <f t="shared" si="152"/>
        <v>-14.234708906470818</v>
      </c>
      <c r="AA347" s="345">
        <f t="shared" si="153"/>
        <v>33.833629167052393</v>
      </c>
      <c r="AB347" s="346">
        <f t="shared" si="154"/>
        <v>-37.373919102479022</v>
      </c>
      <c r="AD347">
        <f t="shared" si="158"/>
        <v>0</v>
      </c>
      <c r="AE347">
        <f t="shared" si="161"/>
        <v>0</v>
      </c>
    </row>
    <row r="348" spans="1:31" x14ac:dyDescent="0.2">
      <c r="A348" s="347">
        <v>26762</v>
      </c>
      <c r="B348" s="364">
        <f t="shared" si="155"/>
        <v>26.762</v>
      </c>
      <c r="C348" s="337">
        <f t="shared" si="136"/>
        <v>1.2063255164804421</v>
      </c>
      <c r="D348" s="338">
        <f t="shared" si="137"/>
        <v>0.59354413260159766</v>
      </c>
      <c r="E348" s="338">
        <f t="shared" si="138"/>
        <v>1.0000012491721948</v>
      </c>
      <c r="F348" s="339">
        <f t="shared" si="139"/>
        <v>1.5806143706805465E-3</v>
      </c>
      <c r="G348" s="338">
        <f t="shared" si="140"/>
        <v>1</v>
      </c>
      <c r="H348" s="339">
        <f t="shared" si="141"/>
        <v>0</v>
      </c>
      <c r="I348" s="337">
        <f t="shared" si="142"/>
        <v>193713.9462259766</v>
      </c>
      <c r="J348" s="340">
        <f t="shared" si="143"/>
        <v>1.5707911645439618</v>
      </c>
      <c r="K348" s="348">
        <f t="shared" si="159"/>
        <v>4.5602586674171421</v>
      </c>
      <c r="L348" s="349">
        <f t="shared" si="160"/>
        <v>1.3497139266693117</v>
      </c>
      <c r="M348" s="337">
        <f t="shared" si="144"/>
        <v>1.0003455682066487</v>
      </c>
      <c r="N348" s="340">
        <f t="shared" si="145"/>
        <v>2.6285688938939254E-2</v>
      </c>
      <c r="O348" s="341">
        <f t="shared" si="146"/>
        <v>1.0013585672001299</v>
      </c>
      <c r="P348" s="342">
        <f t="shared" si="147"/>
        <v>6.3342435097904479E-2</v>
      </c>
      <c r="Q348" s="343">
        <f t="shared" si="148"/>
        <v>2.126022785335719</v>
      </c>
      <c r="R348" s="344">
        <f t="shared" si="149"/>
        <v>-51.719117189058231</v>
      </c>
      <c r="S348" s="346">
        <f t="shared" si="150"/>
        <v>128.28088281094176</v>
      </c>
      <c r="U348" s="319">
        <f t="shared" si="156"/>
        <v>1000000000</v>
      </c>
      <c r="V348" s="319">
        <f t="shared" si="157"/>
        <v>716204644</v>
      </c>
      <c r="X348" s="345">
        <f t="shared" si="151"/>
        <v>5.1407951328118724</v>
      </c>
      <c r="Y348" s="346">
        <f t="shared" si="152"/>
        <v>-14.172851730616987</v>
      </c>
      <c r="AA348" s="345">
        <f t="shared" si="153"/>
        <v>33.817977810618856</v>
      </c>
      <c r="AB348" s="346">
        <f t="shared" si="154"/>
        <v>-37.546265458441233</v>
      </c>
      <c r="AD348">
        <f t="shared" si="158"/>
        <v>0</v>
      </c>
      <c r="AE348">
        <f t="shared" si="161"/>
        <v>0</v>
      </c>
    </row>
    <row r="349" spans="1:31" x14ac:dyDescent="0.2">
      <c r="A349" s="347">
        <v>26915</v>
      </c>
      <c r="B349" s="364">
        <f t="shared" si="155"/>
        <v>26.914999999999999</v>
      </c>
      <c r="C349" s="337">
        <f t="shared" si="136"/>
        <v>1.2084871477648382</v>
      </c>
      <c r="D349" s="338">
        <f t="shared" si="137"/>
        <v>0.59619006098590954</v>
      </c>
      <c r="E349" s="338">
        <f t="shared" si="138"/>
        <v>1.0000012634962032</v>
      </c>
      <c r="F349" s="339">
        <f t="shared" si="139"/>
        <v>1.5896508250735019E-3</v>
      </c>
      <c r="G349" s="338">
        <f t="shared" si="140"/>
        <v>1</v>
      </c>
      <c r="H349" s="339">
        <f t="shared" si="141"/>
        <v>0</v>
      </c>
      <c r="I349" s="337">
        <f t="shared" si="142"/>
        <v>194821.42077092046</v>
      </c>
      <c r="J349" s="340">
        <f t="shared" si="143"/>
        <v>1.5707911938890999</v>
      </c>
      <c r="K349" s="348">
        <f t="shared" si="159"/>
        <v>4.5850796691198905</v>
      </c>
      <c r="L349" s="349">
        <f t="shared" si="160"/>
        <v>1.3509304624361074</v>
      </c>
      <c r="M349" s="337">
        <f t="shared" si="144"/>
        <v>1.0003495300785799</v>
      </c>
      <c r="N349" s="340">
        <f t="shared" si="145"/>
        <v>2.6435896033250108E-2</v>
      </c>
      <c r="O349" s="341">
        <f t="shared" si="146"/>
        <v>1.0013741373841818</v>
      </c>
      <c r="P349" s="342">
        <f t="shared" si="147"/>
        <v>6.3704065095341475E-2</v>
      </c>
      <c r="Q349" s="343">
        <f t="shared" si="148"/>
        <v>2.1079348364994903</v>
      </c>
      <c r="R349" s="344">
        <f t="shared" si="149"/>
        <v>-51.829825389245038</v>
      </c>
      <c r="S349" s="346">
        <f t="shared" si="150"/>
        <v>128.17017461075497</v>
      </c>
      <c r="U349" s="319">
        <f t="shared" si="156"/>
        <v>1000000000</v>
      </c>
      <c r="V349" s="319">
        <f t="shared" si="157"/>
        <v>724417225</v>
      </c>
      <c r="X349" s="345">
        <f t="shared" si="151"/>
        <v>5.1383925526667005</v>
      </c>
      <c r="Y349" s="346">
        <f t="shared" si="152"/>
        <v>-14.11175727939256</v>
      </c>
      <c r="AA349" s="345">
        <f t="shared" si="153"/>
        <v>33.802292441927797</v>
      </c>
      <c r="AB349" s="346">
        <f t="shared" si="154"/>
        <v>-37.718068109852481</v>
      </c>
      <c r="AD349">
        <f t="shared" si="158"/>
        <v>0</v>
      </c>
      <c r="AE349">
        <f t="shared" si="161"/>
        <v>0</v>
      </c>
    </row>
    <row r="350" spans="1:31" x14ac:dyDescent="0.2">
      <c r="A350" s="347">
        <v>27071.75</v>
      </c>
      <c r="B350" s="364">
        <f t="shared" si="155"/>
        <v>27.071750000000002</v>
      </c>
      <c r="C350" s="337">
        <f t="shared" si="136"/>
        <v>1.2107105025892329</v>
      </c>
      <c r="D350" s="338">
        <f t="shared" si="137"/>
        <v>0.59889102270918648</v>
      </c>
      <c r="E350" s="338">
        <f t="shared" si="138"/>
        <v>1.0000012782559744</v>
      </c>
      <c r="F350" s="339">
        <f t="shared" si="139"/>
        <v>1.5989087609225255E-3</v>
      </c>
      <c r="G350" s="338">
        <f t="shared" si="140"/>
        <v>1</v>
      </c>
      <c r="H350" s="339">
        <f t="shared" si="141"/>
        <v>0</v>
      </c>
      <c r="I350" s="337">
        <f t="shared" si="142"/>
        <v>195956.03929980914</v>
      </c>
      <c r="J350" s="340">
        <f t="shared" si="143"/>
        <v>1.5707912236094905</v>
      </c>
      <c r="K350" s="348">
        <f t="shared" si="159"/>
        <v>4.6105159892465961</v>
      </c>
      <c r="L350" s="349">
        <f t="shared" si="160"/>
        <v>1.3521632292892187</v>
      </c>
      <c r="M350" s="337">
        <f t="shared" si="144"/>
        <v>1.0003536124616454</v>
      </c>
      <c r="N350" s="340">
        <f t="shared" si="145"/>
        <v>2.6589783436536975E-2</v>
      </c>
      <c r="O350" s="341">
        <f t="shared" si="146"/>
        <v>1.0013901810470434</v>
      </c>
      <c r="P350" s="342">
        <f t="shared" si="147"/>
        <v>6.4074549676736536E-2</v>
      </c>
      <c r="Q350" s="343">
        <f t="shared" si="148"/>
        <v>2.0894088736200676</v>
      </c>
      <c r="R350" s="344">
        <f t="shared" si="149"/>
        <v>-51.943462322757085</v>
      </c>
      <c r="S350" s="346">
        <f t="shared" si="150"/>
        <v>128.05653767724291</v>
      </c>
      <c r="U350" s="319">
        <f t="shared" si="156"/>
        <v>1000000000</v>
      </c>
      <c r="V350" s="319">
        <f t="shared" si="157"/>
        <v>732879648.0625</v>
      </c>
      <c r="X350" s="345">
        <f t="shared" si="151"/>
        <v>5.1359710979467508</v>
      </c>
      <c r="Y350" s="346">
        <f t="shared" si="152"/>
        <v>-14.049943743096538</v>
      </c>
      <c r="AA350" s="345">
        <f t="shared" si="153"/>
        <v>33.786187933768325</v>
      </c>
      <c r="AB350" s="346">
        <f t="shared" si="154"/>
        <v>-37.893518579660565</v>
      </c>
      <c r="AD350">
        <f t="shared" si="158"/>
        <v>0</v>
      </c>
      <c r="AE350">
        <f t="shared" si="161"/>
        <v>0</v>
      </c>
    </row>
    <row r="351" spans="1:31" x14ac:dyDescent="0.2">
      <c r="A351" s="347">
        <v>27228.5</v>
      </c>
      <c r="B351" s="364">
        <f t="shared" si="155"/>
        <v>27.2285</v>
      </c>
      <c r="C351" s="337">
        <f t="shared" si="136"/>
        <v>1.2129426573644813</v>
      </c>
      <c r="D351" s="338">
        <f t="shared" si="137"/>
        <v>0.60158206294943517</v>
      </c>
      <c r="E351" s="338">
        <f t="shared" si="138"/>
        <v>1.0000012931014552</v>
      </c>
      <c r="F351" s="339">
        <f t="shared" si="139"/>
        <v>1.6081666964974663E-3</v>
      </c>
      <c r="G351" s="338">
        <f t="shared" si="140"/>
        <v>1</v>
      </c>
      <c r="H351" s="339">
        <f t="shared" si="141"/>
        <v>0</v>
      </c>
      <c r="I351" s="337">
        <f t="shared" si="142"/>
        <v>197090.65782869802</v>
      </c>
      <c r="J351" s="340">
        <f t="shared" si="143"/>
        <v>1.5707912529876902</v>
      </c>
      <c r="K351" s="348">
        <f t="shared" si="159"/>
        <v>4.63595923914579</v>
      </c>
      <c r="L351" s="349">
        <f t="shared" si="160"/>
        <v>1.3533824665413465</v>
      </c>
      <c r="M351" s="337">
        <f t="shared" si="144"/>
        <v>1.0003577185342243</v>
      </c>
      <c r="N351" s="340">
        <f t="shared" si="145"/>
        <v>2.6743669580174257E-2</v>
      </c>
      <c r="O351" s="341">
        <f t="shared" si="146"/>
        <v>1.0014063176752066</v>
      </c>
      <c r="P351" s="342">
        <f t="shared" si="147"/>
        <v>6.444502520257038E-2</v>
      </c>
      <c r="Q351" s="343">
        <f t="shared" si="148"/>
        <v>2.0708879882300453</v>
      </c>
      <c r="R351" s="344">
        <f t="shared" si="149"/>
        <v>-52.057305375591774</v>
      </c>
      <c r="S351" s="346">
        <f t="shared" si="150"/>
        <v>127.94269462440823</v>
      </c>
      <c r="U351" s="319">
        <f t="shared" si="156"/>
        <v>1000000000</v>
      </c>
      <c r="V351" s="319">
        <f t="shared" si="157"/>
        <v>741391212.25</v>
      </c>
      <c r="X351" s="345">
        <f t="shared" si="151"/>
        <v>5.1335892486251282</v>
      </c>
      <c r="Y351" s="346">
        <f t="shared" si="152"/>
        <v>-13.988905304057546</v>
      </c>
      <c r="AA351" s="345">
        <f t="shared" si="153"/>
        <v>33.77004889769993</v>
      </c>
      <c r="AB351" s="346">
        <f t="shared" si="154"/>
        <v>-38.068400071534242</v>
      </c>
      <c r="AD351">
        <f t="shared" si="158"/>
        <v>0</v>
      </c>
      <c r="AE351">
        <f t="shared" si="161"/>
        <v>0</v>
      </c>
    </row>
    <row r="352" spans="1:31" x14ac:dyDescent="0.2">
      <c r="A352" s="347">
        <v>27385.25</v>
      </c>
      <c r="B352" s="364">
        <f t="shared" si="155"/>
        <v>27.385249999999999</v>
      </c>
      <c r="C352" s="337">
        <f t="shared" si="136"/>
        <v>1.2151835635970412</v>
      </c>
      <c r="D352" s="338">
        <f t="shared" si="137"/>
        <v>0.60426319751252844</v>
      </c>
      <c r="E352" s="338">
        <f t="shared" si="138"/>
        <v>1.0000013080326455</v>
      </c>
      <c r="F352" s="339">
        <f t="shared" si="139"/>
        <v>1.6174246317967366E-3</v>
      </c>
      <c r="G352" s="338">
        <f t="shared" si="140"/>
        <v>1</v>
      </c>
      <c r="H352" s="339">
        <f t="shared" si="141"/>
        <v>0</v>
      </c>
      <c r="I352" s="337">
        <f t="shared" si="142"/>
        <v>198225.27635758705</v>
      </c>
      <c r="J352" s="340">
        <f t="shared" si="143"/>
        <v>1.5707912820295751</v>
      </c>
      <c r="K352" s="348">
        <f t="shared" si="159"/>
        <v>4.6614093053436783</v>
      </c>
      <c r="L352" s="349">
        <f t="shared" si="160"/>
        <v>1.3545883921417721</v>
      </c>
      <c r="M352" s="337">
        <f t="shared" si="144"/>
        <v>1.0003618482960244</v>
      </c>
      <c r="N352" s="340">
        <f t="shared" si="145"/>
        <v>2.6897554456889169E-2</v>
      </c>
      <c r="O352" s="341">
        <f t="shared" si="146"/>
        <v>1.0014225472652087</v>
      </c>
      <c r="P352" s="342">
        <f t="shared" si="147"/>
        <v>6.4815491620952667E-2</v>
      </c>
      <c r="Q352" s="343">
        <f t="shared" si="148"/>
        <v>2.0523718929455677</v>
      </c>
      <c r="R352" s="344">
        <f t="shared" si="149"/>
        <v>-52.171342962731906</v>
      </c>
      <c r="S352" s="346">
        <f t="shared" si="150"/>
        <v>127.8286570372681</v>
      </c>
      <c r="U352" s="319">
        <f t="shared" si="156"/>
        <v>1000000000</v>
      </c>
      <c r="V352" s="319">
        <f t="shared" si="157"/>
        <v>749951917.5625</v>
      </c>
      <c r="X352" s="345">
        <f t="shared" si="151"/>
        <v>5.1312461306485488</v>
      </c>
      <c r="Y352" s="346">
        <f t="shared" si="152"/>
        <v>-13.928629474621607</v>
      </c>
      <c r="AA352" s="345">
        <f t="shared" si="153"/>
        <v>33.753875920392026</v>
      </c>
      <c r="AB352" s="346">
        <f t="shared" si="154"/>
        <v>-38.242713488110297</v>
      </c>
      <c r="AD352">
        <f t="shared" si="158"/>
        <v>0</v>
      </c>
      <c r="AE352">
        <f t="shared" si="161"/>
        <v>0</v>
      </c>
    </row>
    <row r="353" spans="1:31" x14ac:dyDescent="0.2">
      <c r="A353" s="347">
        <v>27542</v>
      </c>
      <c r="B353" s="364">
        <f t="shared" si="155"/>
        <v>27.542000000000002</v>
      </c>
      <c r="C353" s="337">
        <f t="shared" si="136"/>
        <v>1.2174331729609873</v>
      </c>
      <c r="D353" s="338">
        <f t="shared" si="137"/>
        <v>0.60693444265784591</v>
      </c>
      <c r="E353" s="338">
        <f t="shared" si="138"/>
        <v>1.0000013230495453</v>
      </c>
      <c r="F353" s="339">
        <f t="shared" si="139"/>
        <v>1.6266825668187499E-3</v>
      </c>
      <c r="G353" s="338">
        <f t="shared" si="140"/>
        <v>1</v>
      </c>
      <c r="H353" s="339">
        <f t="shared" si="141"/>
        <v>0</v>
      </c>
      <c r="I353" s="337">
        <f t="shared" si="142"/>
        <v>199359.89488647628</v>
      </c>
      <c r="J353" s="340">
        <f t="shared" si="143"/>
        <v>1.5707913107408875</v>
      </c>
      <c r="K353" s="348">
        <f t="shared" si="159"/>
        <v>4.6868660768010839</v>
      </c>
      <c r="L353" s="349">
        <f t="shared" si="160"/>
        <v>1.3557812194613774</v>
      </c>
      <c r="M353" s="337">
        <f t="shared" si="144"/>
        <v>1.0003660017467528</v>
      </c>
      <c r="N353" s="340">
        <f t="shared" si="145"/>
        <v>2.7051438059409294E-2</v>
      </c>
      <c r="O353" s="341">
        <f t="shared" si="146"/>
        <v>1.0014388698135663</v>
      </c>
      <c r="P353" s="342">
        <f t="shared" si="147"/>
        <v>6.5185948880002398E-2</v>
      </c>
      <c r="Q353" s="343">
        <f t="shared" si="148"/>
        <v>2.0338603197044143</v>
      </c>
      <c r="R353" s="344">
        <f t="shared" si="149"/>
        <v>-52.285563787460106</v>
      </c>
      <c r="S353" s="346">
        <f t="shared" si="150"/>
        <v>127.71443621253989</v>
      </c>
      <c r="U353" s="319">
        <f t="shared" si="156"/>
        <v>1000000000</v>
      </c>
      <c r="V353" s="319">
        <f t="shared" si="157"/>
        <v>758561764</v>
      </c>
      <c r="X353" s="345">
        <f t="shared" si="151"/>
        <v>5.1289408936399532</v>
      </c>
      <c r="Y353" s="346">
        <f t="shared" si="152"/>
        <v>-13.869104029449998</v>
      </c>
      <c r="AA353" s="345">
        <f t="shared" si="153"/>
        <v>33.73766958415947</v>
      </c>
      <c r="AB353" s="346">
        <f t="shared" si="154"/>
        <v>-38.416459758010099</v>
      </c>
      <c r="AD353">
        <f t="shared" si="158"/>
        <v>0</v>
      </c>
      <c r="AE353">
        <f t="shared" si="161"/>
        <v>0</v>
      </c>
    </row>
    <row r="354" spans="1:31" x14ac:dyDescent="0.2">
      <c r="A354" s="347">
        <v>27702.5</v>
      </c>
      <c r="B354" s="364">
        <f t="shared" si="155"/>
        <v>27.702500000000001</v>
      </c>
      <c r="C354" s="337">
        <f t="shared" si="136"/>
        <v>1.2197455683709042</v>
      </c>
      <c r="D354" s="338">
        <f t="shared" si="137"/>
        <v>0.60965936350737515</v>
      </c>
      <c r="E354" s="338">
        <f t="shared" si="138"/>
        <v>1.0000013385145108</v>
      </c>
      <c r="F354" s="339">
        <f t="shared" si="139"/>
        <v>1.6361619832509109E-3</v>
      </c>
      <c r="G354" s="338">
        <f t="shared" si="140"/>
        <v>1</v>
      </c>
      <c r="H354" s="339">
        <f t="shared" si="141"/>
        <v>0</v>
      </c>
      <c r="I354" s="337">
        <f t="shared" si="142"/>
        <v>200521.65739931038</v>
      </c>
      <c r="J354" s="340">
        <f t="shared" si="143"/>
        <v>1.5707913398024043</v>
      </c>
      <c r="K354" s="348">
        <f t="shared" si="159"/>
        <v>4.7129386962445787</v>
      </c>
      <c r="L354" s="349">
        <f t="shared" si="160"/>
        <v>1.3569892294220536</v>
      </c>
      <c r="M354" s="337">
        <f t="shared" si="144"/>
        <v>1.0003702791078113</v>
      </c>
      <c r="N354" s="340">
        <f t="shared" si="145"/>
        <v>2.7209001759947723E-2</v>
      </c>
      <c r="O354" s="341">
        <f t="shared" si="146"/>
        <v>1.0014556791706364</v>
      </c>
      <c r="P354" s="342">
        <f t="shared" si="147"/>
        <v>6.5565259208090795E-2</v>
      </c>
      <c r="Q354" s="343">
        <f t="shared" si="148"/>
        <v>2.0149103109865112</v>
      </c>
      <c r="R354" s="344">
        <f t="shared" si="149"/>
        <v>-52.402695529941603</v>
      </c>
      <c r="S354" s="346">
        <f t="shared" si="150"/>
        <v>127.59730447005839</v>
      </c>
      <c r="U354" s="319">
        <f t="shared" si="156"/>
        <v>1000000000</v>
      </c>
      <c r="V354" s="319">
        <f t="shared" si="157"/>
        <v>767428506.25</v>
      </c>
      <c r="X354" s="345">
        <f t="shared" si="151"/>
        <v>5.1266188945050821</v>
      </c>
      <c r="Y354" s="346">
        <f t="shared" si="152"/>
        <v>-13.80891955717229</v>
      </c>
      <c r="AA354" s="345">
        <f t="shared" si="153"/>
        <v>33.721041574576432</v>
      </c>
      <c r="AB354" s="346">
        <f t="shared" si="154"/>
        <v>-38.593775972769315</v>
      </c>
      <c r="AD354">
        <f t="shared" si="158"/>
        <v>0</v>
      </c>
      <c r="AE354">
        <f t="shared" si="161"/>
        <v>0</v>
      </c>
    </row>
    <row r="355" spans="1:31" x14ac:dyDescent="0.2">
      <c r="A355" s="347">
        <v>27863</v>
      </c>
      <c r="B355" s="364">
        <f t="shared" si="155"/>
        <v>27.863</v>
      </c>
      <c r="C355" s="337">
        <f t="shared" si="136"/>
        <v>1.2220669863139748</v>
      </c>
      <c r="D355" s="338">
        <f t="shared" si="137"/>
        <v>0.61237395202174227</v>
      </c>
      <c r="E355" s="338">
        <f t="shared" si="138"/>
        <v>1.0000013540693355</v>
      </c>
      <c r="F355" s="339">
        <f t="shared" si="139"/>
        <v>1.6456413993890229E-3</v>
      </c>
      <c r="G355" s="338">
        <f t="shared" si="140"/>
        <v>1</v>
      </c>
      <c r="H355" s="339">
        <f t="shared" si="141"/>
        <v>0</v>
      </c>
      <c r="I355" s="337">
        <f t="shared" si="142"/>
        <v>201683.41991214463</v>
      </c>
      <c r="J355" s="340">
        <f t="shared" si="143"/>
        <v>1.5707913685291133</v>
      </c>
      <c r="K355" s="348">
        <f t="shared" si="159"/>
        <v>4.7390181175412822</v>
      </c>
      <c r="L355" s="349">
        <f t="shared" si="160"/>
        <v>1.3581839454443521</v>
      </c>
      <c r="M355" s="337">
        <f t="shared" si="144"/>
        <v>1.0003745813041693</v>
      </c>
      <c r="N355" s="340">
        <f t="shared" si="145"/>
        <v>2.7366564109165506E-2</v>
      </c>
      <c r="O355" s="341">
        <f t="shared" si="146"/>
        <v>1.0014725859795794</v>
      </c>
      <c r="P355" s="342">
        <f t="shared" si="147"/>
        <v>6.5944559823301815E-2</v>
      </c>
      <c r="Q355" s="343">
        <f t="shared" si="148"/>
        <v>1.9959645332416951</v>
      </c>
      <c r="R355" s="344">
        <f t="shared" si="149"/>
        <v>-52.519996306690075</v>
      </c>
      <c r="S355" s="346">
        <f t="shared" si="150"/>
        <v>127.48000369330992</v>
      </c>
      <c r="U355" s="319">
        <f t="shared" si="156"/>
        <v>1000000000</v>
      </c>
      <c r="V355" s="319">
        <f t="shared" si="157"/>
        <v>776346769</v>
      </c>
      <c r="X355" s="345">
        <f t="shared" si="151"/>
        <v>5.1243348788850662</v>
      </c>
      <c r="Y355" s="346">
        <f t="shared" si="152"/>
        <v>-13.749496674849562</v>
      </c>
      <c r="AA355" s="345">
        <f t="shared" si="153"/>
        <v>33.704379812451634</v>
      </c>
      <c r="AB355" s="346">
        <f t="shared" si="154"/>
        <v>-38.770499631840522</v>
      </c>
      <c r="AD355">
        <f t="shared" si="158"/>
        <v>0</v>
      </c>
      <c r="AE355">
        <f t="shared" si="161"/>
        <v>0</v>
      </c>
    </row>
    <row r="356" spans="1:31" x14ac:dyDescent="0.2">
      <c r="A356" s="347">
        <v>28023.5</v>
      </c>
      <c r="B356" s="364">
        <f t="shared" si="155"/>
        <v>28.023499999999999</v>
      </c>
      <c r="C356" s="337">
        <f t="shared" si="136"/>
        <v>1.2243973754709039</v>
      </c>
      <c r="D356" s="338">
        <f t="shared" si="137"/>
        <v>0.6150782270764279</v>
      </c>
      <c r="E356" s="338">
        <f t="shared" si="138"/>
        <v>1.00000136971402</v>
      </c>
      <c r="F356" s="339">
        <f t="shared" si="139"/>
        <v>1.6551208152313823E-3</v>
      </c>
      <c r="G356" s="338">
        <f t="shared" si="140"/>
        <v>1</v>
      </c>
      <c r="H356" s="339">
        <f t="shared" si="141"/>
        <v>0</v>
      </c>
      <c r="I356" s="337">
        <f t="shared" si="142"/>
        <v>202845.18242497905</v>
      </c>
      <c r="J356" s="340">
        <f t="shared" si="143"/>
        <v>1.5707913969267675</v>
      </c>
      <c r="K356" s="348">
        <f t="shared" si="159"/>
        <v>4.765104229011544</v>
      </c>
      <c r="L356" s="349">
        <f t="shared" si="160"/>
        <v>1.3593655824186421</v>
      </c>
      <c r="M356" s="337">
        <f t="shared" si="144"/>
        <v>1.0003789083355066</v>
      </c>
      <c r="N356" s="340">
        <f t="shared" si="145"/>
        <v>2.7524125099256874E-2</v>
      </c>
      <c r="O356" s="341">
        <f t="shared" si="146"/>
        <v>1.0014895902365926</v>
      </c>
      <c r="P356" s="342">
        <f t="shared" si="147"/>
        <v>6.6323850669972012E-2</v>
      </c>
      <c r="Q356" s="343">
        <f t="shared" si="148"/>
        <v>1.9770227567394203</v>
      </c>
      <c r="R356" s="344">
        <f t="shared" si="149"/>
        <v>-52.63745488357285</v>
      </c>
      <c r="S356" s="346">
        <f t="shared" si="150"/>
        <v>127.36254511642716</v>
      </c>
      <c r="U356" s="319">
        <f t="shared" si="156"/>
        <v>1000000000</v>
      </c>
      <c r="V356" s="319">
        <f t="shared" si="157"/>
        <v>785316552.25</v>
      </c>
      <c r="X356" s="345">
        <f t="shared" si="151"/>
        <v>5.1220880061842209</v>
      </c>
      <c r="Y356" s="346">
        <f t="shared" si="152"/>
        <v>-13.690823070052952</v>
      </c>
      <c r="AA356" s="345">
        <f t="shared" si="153"/>
        <v>33.687684908650212</v>
      </c>
      <c r="AB356" s="346">
        <f t="shared" si="154"/>
        <v>-38.946631813519915</v>
      </c>
      <c r="AD356">
        <f t="shared" si="158"/>
        <v>0</v>
      </c>
      <c r="AE356">
        <f t="shared" si="161"/>
        <v>0</v>
      </c>
    </row>
    <row r="357" spans="1:31" x14ac:dyDescent="0.2">
      <c r="A357" s="347">
        <v>28184</v>
      </c>
      <c r="B357" s="364">
        <f t="shared" si="155"/>
        <v>28.184000000000001</v>
      </c>
      <c r="C357" s="337">
        <f t="shared" si="136"/>
        <v>1.2267366847147809</v>
      </c>
      <c r="D357" s="338">
        <f t="shared" si="137"/>
        <v>0.61777220800714738</v>
      </c>
      <c r="E357" s="338">
        <f t="shared" si="138"/>
        <v>1.0000013854485637</v>
      </c>
      <c r="F357" s="339">
        <f t="shared" si="139"/>
        <v>1.6646002307762853E-3</v>
      </c>
      <c r="G357" s="338">
        <f t="shared" si="140"/>
        <v>1</v>
      </c>
      <c r="H357" s="339">
        <f t="shared" si="141"/>
        <v>0</v>
      </c>
      <c r="I357" s="337">
        <f t="shared" si="142"/>
        <v>204006.94493781365</v>
      </c>
      <c r="J357" s="340">
        <f t="shared" si="143"/>
        <v>1.570791425000988</v>
      </c>
      <c r="K357" s="348">
        <f t="shared" si="159"/>
        <v>4.791196921379572</v>
      </c>
      <c r="L357" s="349">
        <f t="shared" si="160"/>
        <v>1.360534350702054</v>
      </c>
      <c r="M357" s="337">
        <f t="shared" si="144"/>
        <v>1.000383260201501</v>
      </c>
      <c r="N357" s="340">
        <f t="shared" si="145"/>
        <v>2.7681684722416465E-2</v>
      </c>
      <c r="O357" s="341">
        <f t="shared" si="146"/>
        <v>1.001506691937851</v>
      </c>
      <c r="P357" s="342">
        <f t="shared" si="147"/>
        <v>6.6703131692448472E-2</v>
      </c>
      <c r="Q357" s="343">
        <f t="shared" si="148"/>
        <v>1.958084769756657</v>
      </c>
      <c r="R357" s="344">
        <f t="shared" si="149"/>
        <v>-52.755060312555351</v>
      </c>
      <c r="S357" s="346">
        <f t="shared" si="150"/>
        <v>127.24493968744466</v>
      </c>
      <c r="U357" s="319">
        <f t="shared" si="156"/>
        <v>1000000000</v>
      </c>
      <c r="V357" s="319">
        <f t="shared" si="157"/>
        <v>794337856</v>
      </c>
      <c r="X357" s="345">
        <f t="shared" si="151"/>
        <v>5.1198774586365428</v>
      </c>
      <c r="Y357" s="346">
        <f t="shared" si="152"/>
        <v>-13.632886690081564</v>
      </c>
      <c r="AA357" s="345">
        <f t="shared" si="153"/>
        <v>33.670957469215125</v>
      </c>
      <c r="AB357" s="346">
        <f t="shared" si="154"/>
        <v>-39.122173622473781</v>
      </c>
      <c r="AD357">
        <f t="shared" si="158"/>
        <v>0</v>
      </c>
      <c r="AE357">
        <f t="shared" si="161"/>
        <v>0</v>
      </c>
    </row>
    <row r="358" spans="1:31" x14ac:dyDescent="0.2">
      <c r="A358" s="347">
        <v>28348</v>
      </c>
      <c r="B358" s="364">
        <f t="shared" si="155"/>
        <v>28.347999999999999</v>
      </c>
      <c r="C358" s="337">
        <f t="shared" si="136"/>
        <v>1.2291361679271653</v>
      </c>
      <c r="D358" s="338">
        <f t="shared" si="137"/>
        <v>0.62051432347977642</v>
      </c>
      <c r="E358" s="338">
        <f t="shared" si="138"/>
        <v>1.0000014016190486</v>
      </c>
      <c r="F358" s="339">
        <f t="shared" si="139"/>
        <v>1.6742863622389945E-3</v>
      </c>
      <c r="G358" s="338">
        <f t="shared" si="140"/>
        <v>1</v>
      </c>
      <c r="H358" s="339">
        <f t="shared" si="141"/>
        <v>0</v>
      </c>
      <c r="I358" s="337">
        <f t="shared" si="142"/>
        <v>205194.04183566349</v>
      </c>
      <c r="J358" s="340">
        <f t="shared" si="143"/>
        <v>1.570791453359045</v>
      </c>
      <c r="K358" s="348">
        <f t="shared" si="159"/>
        <v>4.8178652997464031</v>
      </c>
      <c r="L358" s="349">
        <f t="shared" si="160"/>
        <v>1.3617155277030579</v>
      </c>
      <c r="M358" s="337">
        <f t="shared" si="144"/>
        <v>1.000387732620573</v>
      </c>
      <c r="N358" s="340">
        <f t="shared" si="145"/>
        <v>2.7842678805118592E-2</v>
      </c>
      <c r="O358" s="341">
        <f t="shared" si="146"/>
        <v>1.0015242672242457</v>
      </c>
      <c r="P358" s="342">
        <f t="shared" si="147"/>
        <v>6.7090673434873474E-2</v>
      </c>
      <c r="Q358" s="343">
        <f t="shared" si="148"/>
        <v>1.9387375170128882</v>
      </c>
      <c r="R358" s="344">
        <f t="shared" si="149"/>
        <v>-52.875370937232418</v>
      </c>
      <c r="S358" s="346">
        <f t="shared" si="150"/>
        <v>127.12462906276758</v>
      </c>
      <c r="U358" s="319">
        <f t="shared" si="156"/>
        <v>1000000000</v>
      </c>
      <c r="V358" s="319">
        <f t="shared" si="157"/>
        <v>803609104</v>
      </c>
      <c r="X358" s="345">
        <f t="shared" si="151"/>
        <v>5.1176554002592978</v>
      </c>
      <c r="Y358" s="346">
        <f t="shared" si="152"/>
        <v>-13.574436139261733</v>
      </c>
      <c r="AA358" s="345">
        <f t="shared" si="153"/>
        <v>33.653832274848597</v>
      </c>
      <c r="AB358" s="346">
        <f t="shared" si="154"/>
        <v>-39.30093479797069</v>
      </c>
      <c r="AD358">
        <f t="shared" si="158"/>
        <v>0</v>
      </c>
      <c r="AE358">
        <f t="shared" si="161"/>
        <v>0</v>
      </c>
    </row>
    <row r="359" spans="1:31" x14ac:dyDescent="0.2">
      <c r="A359" s="347">
        <v>28512</v>
      </c>
      <c r="B359" s="364">
        <f t="shared" si="155"/>
        <v>28.512</v>
      </c>
      <c r="C359" s="337">
        <f t="shared" si="136"/>
        <v>1.2315448572026149</v>
      </c>
      <c r="D359" s="338">
        <f t="shared" si="137"/>
        <v>0.62324573321404009</v>
      </c>
      <c r="E359" s="338">
        <f t="shared" si="138"/>
        <v>1.0000014178833545</v>
      </c>
      <c r="F359" s="339">
        <f t="shared" si="139"/>
        <v>1.6839724933875367E-3</v>
      </c>
      <c r="G359" s="338">
        <f t="shared" si="140"/>
        <v>1</v>
      </c>
      <c r="H359" s="339">
        <f t="shared" si="141"/>
        <v>0</v>
      </c>
      <c r="I359" s="337">
        <f t="shared" si="142"/>
        <v>206381.13873351348</v>
      </c>
      <c r="J359" s="340">
        <f t="shared" si="143"/>
        <v>1.570791481390873</v>
      </c>
      <c r="K359" s="348">
        <f t="shared" si="159"/>
        <v>4.8445403258882216</v>
      </c>
      <c r="L359" s="349">
        <f t="shared" si="160"/>
        <v>1.3628836987164672</v>
      </c>
      <c r="M359" s="337">
        <f t="shared" si="144"/>
        <v>1.0003922309685573</v>
      </c>
      <c r="N359" s="340">
        <f t="shared" si="145"/>
        <v>2.8003671444146543E-2</v>
      </c>
      <c r="O359" s="341">
        <f t="shared" si="146"/>
        <v>1.001541944242986</v>
      </c>
      <c r="P359" s="342">
        <f t="shared" si="147"/>
        <v>6.7478204802516817E-2</v>
      </c>
      <c r="Q359" s="343">
        <f t="shared" si="148"/>
        <v>1.9193938282883527</v>
      </c>
      <c r="R359" s="344">
        <f t="shared" si="149"/>
        <v>-52.995812660661109</v>
      </c>
      <c r="S359" s="346">
        <f t="shared" si="150"/>
        <v>127.0041873393389</v>
      </c>
      <c r="U359" s="319">
        <f t="shared" si="156"/>
        <v>1000000000</v>
      </c>
      <c r="V359" s="319">
        <f t="shared" si="157"/>
        <v>812934144</v>
      </c>
      <c r="X359" s="345">
        <f t="shared" si="151"/>
        <v>5.1154696121049534</v>
      </c>
      <c r="Y359" s="346">
        <f t="shared" si="152"/>
        <v>-13.516730675232324</v>
      </c>
      <c r="AA359" s="345">
        <f t="shared" si="153"/>
        <v>33.636674374278414</v>
      </c>
      <c r="AB359" s="346">
        <f t="shared" si="154"/>
        <v>-39.479081985428778</v>
      </c>
      <c r="AD359">
        <f t="shared" si="158"/>
        <v>0</v>
      </c>
      <c r="AE359">
        <f t="shared" si="161"/>
        <v>0</v>
      </c>
    </row>
    <row r="360" spans="1:31" x14ac:dyDescent="0.2">
      <c r="A360" s="347">
        <v>28676</v>
      </c>
      <c r="B360" s="364">
        <f t="shared" si="155"/>
        <v>28.675999999999998</v>
      </c>
      <c r="C360" s="337">
        <f t="shared" si="136"/>
        <v>1.2339626986305581</v>
      </c>
      <c r="D360" s="338">
        <f t="shared" si="137"/>
        <v>0.62596645926592531</v>
      </c>
      <c r="E360" s="338">
        <f t="shared" si="138"/>
        <v>1.0000014342414818</v>
      </c>
      <c r="F360" s="339">
        <f t="shared" si="139"/>
        <v>1.6936586242200942E-3</v>
      </c>
      <c r="G360" s="338">
        <f t="shared" si="140"/>
        <v>1</v>
      </c>
      <c r="H360" s="339">
        <f t="shared" si="141"/>
        <v>0</v>
      </c>
      <c r="I360" s="337">
        <f t="shared" si="142"/>
        <v>207568.23563136364</v>
      </c>
      <c r="J360" s="340">
        <f t="shared" si="143"/>
        <v>1.5707915091020692</v>
      </c>
      <c r="K360" s="348">
        <f t="shared" si="159"/>
        <v>4.8712218905944979</v>
      </c>
      <c r="L360" s="349">
        <f t="shared" si="160"/>
        <v>1.3640390742440431</v>
      </c>
      <c r="M360" s="337">
        <f t="shared" si="144"/>
        <v>1.0003967552451039</v>
      </c>
      <c r="N360" s="340">
        <f t="shared" si="145"/>
        <v>2.8164662631174443E-2</v>
      </c>
      <c r="O360" s="341">
        <f t="shared" si="146"/>
        <v>1.0015597229899216</v>
      </c>
      <c r="P360" s="342">
        <f t="shared" si="147"/>
        <v>6.786572573603912E-2</v>
      </c>
      <c r="Q360" s="343">
        <f t="shared" si="148"/>
        <v>1.9000535312557429</v>
      </c>
      <c r="R360" s="344">
        <f t="shared" si="149"/>
        <v>-53.116374682137746</v>
      </c>
      <c r="S360" s="346">
        <f t="shared" si="150"/>
        <v>126.88362531786225</v>
      </c>
      <c r="U360" s="319">
        <f t="shared" si="156"/>
        <v>1000000000</v>
      </c>
      <c r="V360" s="319">
        <f t="shared" si="157"/>
        <v>822312976</v>
      </c>
      <c r="X360" s="345">
        <f t="shared" si="151"/>
        <v>5.1133192909207708</v>
      </c>
      <c r="Y360" s="346">
        <f t="shared" si="152"/>
        <v>-13.459758236974514</v>
      </c>
      <c r="AA360" s="345">
        <f t="shared" si="153"/>
        <v>33.619484398429982</v>
      </c>
      <c r="AB360" s="346">
        <f t="shared" si="154"/>
        <v>-39.656616445163237</v>
      </c>
      <c r="AD360">
        <f t="shared" si="158"/>
        <v>0</v>
      </c>
      <c r="AE360">
        <f t="shared" si="161"/>
        <v>0</v>
      </c>
    </row>
    <row r="361" spans="1:31" x14ac:dyDescent="0.2">
      <c r="A361" s="347">
        <v>28840</v>
      </c>
      <c r="B361" s="364">
        <f t="shared" si="155"/>
        <v>28.84</v>
      </c>
      <c r="C361" s="337">
        <f t="shared" si="136"/>
        <v>1.2363896385180839</v>
      </c>
      <c r="D361" s="338">
        <f t="shared" si="137"/>
        <v>0.62867652415189379</v>
      </c>
      <c r="E361" s="338">
        <f t="shared" si="138"/>
        <v>1.0000014506934305</v>
      </c>
      <c r="F361" s="339">
        <f t="shared" si="139"/>
        <v>1.7033447547348494E-3</v>
      </c>
      <c r="G361" s="338">
        <f t="shared" si="140"/>
        <v>1</v>
      </c>
      <c r="H361" s="339">
        <f t="shared" si="141"/>
        <v>0</v>
      </c>
      <c r="I361" s="337">
        <f t="shared" si="142"/>
        <v>208755.33252921401</v>
      </c>
      <c r="J361" s="340">
        <f t="shared" si="143"/>
        <v>1.5707915364981033</v>
      </c>
      <c r="K361" s="348">
        <f t="shared" si="159"/>
        <v>4.8979098870079429</v>
      </c>
      <c r="L361" s="349">
        <f t="shared" si="160"/>
        <v>1.365181860337912</v>
      </c>
      <c r="M361" s="337">
        <f t="shared" si="144"/>
        <v>1.0004013054498608</v>
      </c>
      <c r="N361" s="340">
        <f t="shared" si="145"/>
        <v>2.8325652357876843E-2</v>
      </c>
      <c r="O361" s="341">
        <f t="shared" si="146"/>
        <v>1.0015776034608781</v>
      </c>
      <c r="P361" s="342">
        <f t="shared" si="147"/>
        <v>6.8253236176112717E-2</v>
      </c>
      <c r="Q361" s="343">
        <f t="shared" si="148"/>
        <v>1.8807164701385988</v>
      </c>
      <c r="R361" s="344">
        <f t="shared" si="149"/>
        <v>-53.237046482280618</v>
      </c>
      <c r="S361" s="346">
        <f t="shared" si="150"/>
        <v>126.76295351771938</v>
      </c>
      <c r="U361" s="319">
        <f t="shared" si="156"/>
        <v>1000000000</v>
      </c>
      <c r="V361" s="319">
        <f t="shared" si="157"/>
        <v>831745600</v>
      </c>
      <c r="X361" s="345">
        <f t="shared" si="151"/>
        <v>5.1112036552804776</v>
      </c>
      <c r="Y361" s="346">
        <f t="shared" si="152"/>
        <v>-13.403507018407447</v>
      </c>
      <c r="AA361" s="345">
        <f t="shared" si="153"/>
        <v>33.602262972953135</v>
      </c>
      <c r="AB361" s="346">
        <f t="shared" si="154"/>
        <v>-39.833539463873166</v>
      </c>
      <c r="AD361">
        <f t="shared" si="158"/>
        <v>0</v>
      </c>
      <c r="AE361">
        <f t="shared" si="161"/>
        <v>0</v>
      </c>
    </row>
    <row r="362" spans="1:31" x14ac:dyDescent="0.2">
      <c r="A362" s="347">
        <v>29008</v>
      </c>
      <c r="B362" s="364">
        <f t="shared" si="155"/>
        <v>29.007999999999999</v>
      </c>
      <c r="C362" s="337">
        <f t="shared" si="136"/>
        <v>1.238885150202683</v>
      </c>
      <c r="D362" s="338">
        <f t="shared" si="137"/>
        <v>0.6314416578120281</v>
      </c>
      <c r="E362" s="338">
        <f t="shared" si="138"/>
        <v>1.0000014676439277</v>
      </c>
      <c r="F362" s="339">
        <f t="shared" si="139"/>
        <v>1.713267132003907E-3</v>
      </c>
      <c r="G362" s="338">
        <f t="shared" si="140"/>
        <v>1</v>
      </c>
      <c r="H362" s="339">
        <f t="shared" si="141"/>
        <v>0</v>
      </c>
      <c r="I362" s="337">
        <f t="shared" si="142"/>
        <v>209971.38300993887</v>
      </c>
      <c r="J362" s="340">
        <f t="shared" si="143"/>
        <v>1.570791564241135</v>
      </c>
      <c r="K362" s="348">
        <f t="shared" si="159"/>
        <v>4.9252553697994657</v>
      </c>
      <c r="L362" s="349">
        <f t="shared" si="160"/>
        <v>1.3663396763268634</v>
      </c>
      <c r="M362" s="337">
        <f t="shared" si="144"/>
        <v>1.0004059935193679</v>
      </c>
      <c r="N362" s="340">
        <f t="shared" si="145"/>
        <v>2.8490567140390704E-2</v>
      </c>
      <c r="O362" s="341">
        <f t="shared" si="146"/>
        <v>1.001596025512383</v>
      </c>
      <c r="P362" s="342">
        <f t="shared" si="147"/>
        <v>6.8650187147854341E-2</v>
      </c>
      <c r="Q362" s="343">
        <f t="shared" si="148"/>
        <v>1.8609109824762369</v>
      </c>
      <c r="R362" s="344">
        <f t="shared" si="149"/>
        <v>-53.360764616907716</v>
      </c>
      <c r="S362" s="346">
        <f t="shared" si="150"/>
        <v>126.63923538309228</v>
      </c>
      <c r="U362" s="319">
        <f t="shared" si="156"/>
        <v>1000000000</v>
      </c>
      <c r="V362" s="319">
        <f t="shared" si="157"/>
        <v>841464064</v>
      </c>
      <c r="X362" s="345">
        <f t="shared" si="151"/>
        <v>5.1090715889920091</v>
      </c>
      <c r="Y362" s="346">
        <f t="shared" si="152"/>
        <v>-13.346619559298761</v>
      </c>
      <c r="AA362" s="345">
        <f t="shared" si="153"/>
        <v>33.584589551579235</v>
      </c>
      <c r="AB362" s="346">
        <f t="shared" si="154"/>
        <v>-40.01414505760895</v>
      </c>
      <c r="AD362">
        <f t="shared" si="158"/>
        <v>0</v>
      </c>
      <c r="AE362">
        <f t="shared" si="161"/>
        <v>0</v>
      </c>
    </row>
    <row r="363" spans="1:31" x14ac:dyDescent="0.2">
      <c r="A363" s="347">
        <v>29176</v>
      </c>
      <c r="B363" s="364">
        <f t="shared" si="155"/>
        <v>29.175999999999998</v>
      </c>
      <c r="C363" s="337">
        <f t="shared" si="136"/>
        <v>1.2413900962324045</v>
      </c>
      <c r="D363" s="338">
        <f t="shared" si="137"/>
        <v>0.63419565317726911</v>
      </c>
      <c r="E363" s="338">
        <f t="shared" si="138"/>
        <v>1.0000014846928789</v>
      </c>
      <c r="F363" s="339">
        <f t="shared" si="139"/>
        <v>1.7231895089356096E-3</v>
      </c>
      <c r="G363" s="338">
        <f t="shared" si="140"/>
        <v>1</v>
      </c>
      <c r="H363" s="339">
        <f t="shared" si="141"/>
        <v>0</v>
      </c>
      <c r="I363" s="337">
        <f t="shared" si="142"/>
        <v>211187.43349066391</v>
      </c>
      <c r="J363" s="340">
        <f t="shared" si="143"/>
        <v>1.5707915916646691</v>
      </c>
      <c r="K363" s="348">
        <f t="shared" si="159"/>
        <v>4.9526073821667662</v>
      </c>
      <c r="L363" s="349">
        <f t="shared" si="160"/>
        <v>1.3674847051801917</v>
      </c>
      <c r="M363" s="337">
        <f t="shared" si="144"/>
        <v>1.0004107087965464</v>
      </c>
      <c r="N363" s="340">
        <f t="shared" si="145"/>
        <v>2.865548037279032E-2</v>
      </c>
      <c r="O363" s="341">
        <f t="shared" si="146"/>
        <v>1.0016145543016277</v>
      </c>
      <c r="P363" s="342">
        <f t="shared" si="147"/>
        <v>6.9047126982034912E-2</v>
      </c>
      <c r="Q363" s="343">
        <f t="shared" si="148"/>
        <v>1.8411086098055864</v>
      </c>
      <c r="R363" s="344">
        <f t="shared" si="149"/>
        <v>-53.484576477913059</v>
      </c>
      <c r="S363" s="346">
        <f t="shared" si="150"/>
        <v>126.51542352208693</v>
      </c>
      <c r="U363" s="319">
        <f t="shared" si="156"/>
        <v>1000000000</v>
      </c>
      <c r="V363" s="319">
        <f t="shared" si="157"/>
        <v>851238976</v>
      </c>
      <c r="X363" s="345">
        <f t="shared" si="151"/>
        <v>5.1069743280405975</v>
      </c>
      <c r="Y363" s="346">
        <f t="shared" si="152"/>
        <v>-13.290464641973292</v>
      </c>
      <c r="AA363" s="345">
        <f t="shared" si="153"/>
        <v>33.566884439859997</v>
      </c>
      <c r="AB363" s="346">
        <f t="shared" si="154"/>
        <v>-40.194111835939744</v>
      </c>
      <c r="AD363">
        <f t="shared" si="158"/>
        <v>0</v>
      </c>
      <c r="AE363">
        <f t="shared" si="161"/>
        <v>0</v>
      </c>
    </row>
    <row r="364" spans="1:31" x14ac:dyDescent="0.2">
      <c r="A364" s="347">
        <v>29344</v>
      </c>
      <c r="B364" s="364">
        <f t="shared" si="155"/>
        <v>29.344000000000001</v>
      </c>
      <c r="C364" s="337">
        <f t="shared" si="136"/>
        <v>1.2439044196112496</v>
      </c>
      <c r="D364" s="338">
        <f t="shared" si="137"/>
        <v>0.63693853588851046</v>
      </c>
      <c r="E364" s="338">
        <f t="shared" si="138"/>
        <v>1.0000015018402835</v>
      </c>
      <c r="F364" s="339">
        <f t="shared" si="139"/>
        <v>1.7331118855280034E-3</v>
      </c>
      <c r="G364" s="338">
        <f t="shared" si="140"/>
        <v>1</v>
      </c>
      <c r="H364" s="339">
        <f t="shared" si="141"/>
        <v>0</v>
      </c>
      <c r="I364" s="337">
        <f t="shared" si="142"/>
        <v>212403.4839713891</v>
      </c>
      <c r="J364" s="340">
        <f t="shared" si="143"/>
        <v>1.5707916187741933</v>
      </c>
      <c r="K364" s="348">
        <f t="shared" si="159"/>
        <v>4.9799658165205276</v>
      </c>
      <c r="L364" s="349">
        <f t="shared" si="160"/>
        <v>1.3686171546164498</v>
      </c>
      <c r="M364" s="337">
        <f t="shared" si="144"/>
        <v>1.0004154512810124</v>
      </c>
      <c r="N364" s="340">
        <f t="shared" si="145"/>
        <v>2.8820392046127595E-2</v>
      </c>
      <c r="O364" s="341">
        <f t="shared" si="146"/>
        <v>1.0016331898240476</v>
      </c>
      <c r="P364" s="342">
        <f t="shared" si="147"/>
        <v>6.9444055614917663E-2</v>
      </c>
      <c r="Q364" s="343">
        <f t="shared" si="148"/>
        <v>1.8213092341721293</v>
      </c>
      <c r="R364" s="344">
        <f t="shared" si="149"/>
        <v>-53.608471629165173</v>
      </c>
      <c r="S364" s="346">
        <f t="shared" si="150"/>
        <v>126.39152837083483</v>
      </c>
      <c r="U364" s="319">
        <f t="shared" si="156"/>
        <v>1000000000</v>
      </c>
      <c r="V364" s="319">
        <f t="shared" si="157"/>
        <v>861070336</v>
      </c>
      <c r="X364" s="345">
        <f t="shared" si="151"/>
        <v>5.104911099143326</v>
      </c>
      <c r="Y364" s="346">
        <f t="shared" si="152"/>
        <v>-13.235030364836378</v>
      </c>
      <c r="AA364" s="345">
        <f t="shared" si="153"/>
        <v>33.549148293123814</v>
      </c>
      <c r="AB364" s="346">
        <f t="shared" si="154"/>
        <v>-40.373441264328775</v>
      </c>
      <c r="AD364">
        <f t="shared" si="158"/>
        <v>0</v>
      </c>
      <c r="AE364">
        <f t="shared" si="161"/>
        <v>0</v>
      </c>
    </row>
    <row r="365" spans="1:31" x14ac:dyDescent="0.2">
      <c r="A365" s="347">
        <v>29512</v>
      </c>
      <c r="B365" s="364">
        <f t="shared" si="155"/>
        <v>29.512</v>
      </c>
      <c r="C365" s="337">
        <f t="shared" si="136"/>
        <v>1.2464280635906062</v>
      </c>
      <c r="D365" s="338">
        <f t="shared" si="137"/>
        <v>0.63967033204897938</v>
      </c>
      <c r="E365" s="338">
        <f t="shared" si="138"/>
        <v>1.000001519086142</v>
      </c>
      <c r="F365" s="339">
        <f t="shared" si="139"/>
        <v>1.7430342617791349E-3</v>
      </c>
      <c r="G365" s="338">
        <f t="shared" si="140"/>
        <v>1</v>
      </c>
      <c r="H365" s="339">
        <f t="shared" si="141"/>
        <v>0</v>
      </c>
      <c r="I365" s="337">
        <f t="shared" si="142"/>
        <v>213619.53445211446</v>
      </c>
      <c r="J365" s="340">
        <f t="shared" si="143"/>
        <v>1.5707916455750701</v>
      </c>
      <c r="K365" s="348">
        <f t="shared" si="159"/>
        <v>5.0073305675977844</v>
      </c>
      <c r="L365" s="349">
        <f t="shared" si="160"/>
        <v>1.369737227944178</v>
      </c>
      <c r="M365" s="337">
        <f t="shared" si="144"/>
        <v>1.0004202209723783</v>
      </c>
      <c r="N365" s="340">
        <f t="shared" si="145"/>
        <v>2.8985302151454929E-2</v>
      </c>
      <c r="O365" s="341">
        <f t="shared" si="146"/>
        <v>1.0016519320750537</v>
      </c>
      <c r="P365" s="342">
        <f t="shared" si="147"/>
        <v>6.9840972982779026E-2</v>
      </c>
      <c r="Q365" s="343">
        <f t="shared" si="148"/>
        <v>1.8015127528861077</v>
      </c>
      <c r="R365" s="344">
        <f t="shared" si="149"/>
        <v>-53.732439913691145</v>
      </c>
      <c r="S365" s="346">
        <f t="shared" si="150"/>
        <v>126.26756008630886</v>
      </c>
      <c r="U365" s="319">
        <f t="shared" si="156"/>
        <v>1000000000</v>
      </c>
      <c r="V365" s="319">
        <f t="shared" si="157"/>
        <v>870958144</v>
      </c>
      <c r="X365" s="345">
        <f t="shared" si="151"/>
        <v>5.1028811500907532</v>
      </c>
      <c r="Y365" s="346">
        <f t="shared" si="152"/>
        <v>-13.180305078961299</v>
      </c>
      <c r="AA365" s="345">
        <f t="shared" si="153"/>
        <v>33.531381760890362</v>
      </c>
      <c r="AB365" s="346">
        <f t="shared" si="154"/>
        <v>-40.552134834729848</v>
      </c>
      <c r="AD365">
        <f t="shared" si="158"/>
        <v>0</v>
      </c>
      <c r="AE365">
        <f t="shared" si="161"/>
        <v>0</v>
      </c>
    </row>
    <row r="366" spans="1:31" x14ac:dyDescent="0.2">
      <c r="A366" s="347">
        <v>29684</v>
      </c>
      <c r="B366" s="364">
        <f t="shared" si="155"/>
        <v>29.684000000000001</v>
      </c>
      <c r="C366" s="337">
        <f t="shared" si="136"/>
        <v>1.2490213914560571</v>
      </c>
      <c r="D366" s="338">
        <f t="shared" si="137"/>
        <v>0.6424557130652313</v>
      </c>
      <c r="E366" s="338">
        <f t="shared" si="138"/>
        <v>1.0000015368446138</v>
      </c>
      <c r="F366" s="339">
        <f t="shared" si="139"/>
        <v>1.7531928847282776E-3</v>
      </c>
      <c r="G366" s="338">
        <f t="shared" si="140"/>
        <v>1</v>
      </c>
      <c r="H366" s="339">
        <f t="shared" si="141"/>
        <v>0</v>
      </c>
      <c r="I366" s="337">
        <f t="shared" si="142"/>
        <v>214864.53851571435</v>
      </c>
      <c r="J366" s="340">
        <f t="shared" si="143"/>
        <v>1.5707916726997775</v>
      </c>
      <c r="K366" s="348">
        <f t="shared" si="159"/>
        <v>5.0353532969392623</v>
      </c>
      <c r="L366" s="349">
        <f t="shared" si="160"/>
        <v>1.3708713558514813</v>
      </c>
      <c r="M366" s="337">
        <f t="shared" si="144"/>
        <v>1.0004251324137048</v>
      </c>
      <c r="N366" s="340">
        <f t="shared" si="145"/>
        <v>2.9154137054064031E-2</v>
      </c>
      <c r="O366" s="341">
        <f t="shared" si="146"/>
        <v>1.0016712311358844</v>
      </c>
      <c r="P366" s="342">
        <f t="shared" si="147"/>
        <v>7.0247329027096878E-2</v>
      </c>
      <c r="Q366" s="343">
        <f t="shared" si="148"/>
        <v>1.7812478334340098</v>
      </c>
      <c r="R366" s="344">
        <f t="shared" si="149"/>
        <v>-53.859425269470506</v>
      </c>
      <c r="S366" s="346">
        <f t="shared" si="150"/>
        <v>126.14057473052949</v>
      </c>
      <c r="U366" s="319">
        <f t="shared" si="156"/>
        <v>1000000000</v>
      </c>
      <c r="V366" s="319">
        <f t="shared" si="157"/>
        <v>881139856</v>
      </c>
      <c r="X366" s="345">
        <f t="shared" si="151"/>
        <v>5.1008365827072115</v>
      </c>
      <c r="Y366" s="346">
        <f t="shared" si="152"/>
        <v>-13.124999417866865</v>
      </c>
      <c r="AA366" s="345">
        <f t="shared" si="153"/>
        <v>33.513161408821809</v>
      </c>
      <c r="AB366" s="346">
        <f t="shared" si="154"/>
        <v>-40.734425851603632</v>
      </c>
      <c r="AD366">
        <f t="shared" si="158"/>
        <v>0</v>
      </c>
      <c r="AE366">
        <f t="shared" si="161"/>
        <v>0</v>
      </c>
    </row>
    <row r="367" spans="1:31" x14ac:dyDescent="0.2">
      <c r="A367" s="347">
        <v>29856</v>
      </c>
      <c r="B367" s="364">
        <f t="shared" si="155"/>
        <v>29.856000000000002</v>
      </c>
      <c r="C367" s="337">
        <f t="shared" si="136"/>
        <v>1.2516243694634381</v>
      </c>
      <c r="D367" s="338">
        <f t="shared" si="137"/>
        <v>0.64522953012564799</v>
      </c>
      <c r="E367" s="338">
        <f t="shared" si="138"/>
        <v>1.0000015547062835</v>
      </c>
      <c r="F367" s="339">
        <f t="shared" si="139"/>
        <v>1.7633515073155694E-3</v>
      </c>
      <c r="G367" s="338">
        <f t="shared" si="140"/>
        <v>1</v>
      </c>
      <c r="H367" s="339">
        <f t="shared" si="141"/>
        <v>0</v>
      </c>
      <c r="I367" s="337">
        <f t="shared" si="142"/>
        <v>216109.54257931444</v>
      </c>
      <c r="J367" s="340">
        <f t="shared" si="143"/>
        <v>1.5707916995119544</v>
      </c>
      <c r="K367" s="348">
        <f t="shared" si="159"/>
        <v>5.0633824312903037</v>
      </c>
      <c r="L367" s="349">
        <f t="shared" si="160"/>
        <v>1.3719929289082402</v>
      </c>
      <c r="M367" s="337">
        <f t="shared" si="144"/>
        <v>1.0004300723720938</v>
      </c>
      <c r="N367" s="340">
        <f t="shared" si="145"/>
        <v>2.9322970294128021E-2</v>
      </c>
      <c r="O367" s="341">
        <f t="shared" si="146"/>
        <v>1.0016906420582985</v>
      </c>
      <c r="P367" s="342">
        <f t="shared" si="147"/>
        <v>7.0653673128441799E-2</v>
      </c>
      <c r="Q367" s="343">
        <f t="shared" si="148"/>
        <v>1.7609857760864442</v>
      </c>
      <c r="R367" s="344">
        <f t="shared" si="149"/>
        <v>-53.98646660191001</v>
      </c>
      <c r="S367" s="346">
        <f t="shared" si="150"/>
        <v>126.01353339808999</v>
      </c>
      <c r="U367" s="319">
        <f t="shared" si="156"/>
        <v>1000000000</v>
      </c>
      <c r="V367" s="319">
        <f t="shared" si="157"/>
        <v>891380736</v>
      </c>
      <c r="X367" s="345">
        <f t="shared" si="151"/>
        <v>5.0988253678725615</v>
      </c>
      <c r="Y367" s="346">
        <f t="shared" si="152"/>
        <v>-13.070412983558384</v>
      </c>
      <c r="AA367" s="345">
        <f t="shared" si="153"/>
        <v>33.494910566308889</v>
      </c>
      <c r="AB367" s="346">
        <f t="shared" si="154"/>
        <v>-40.916053618351619</v>
      </c>
      <c r="AD367">
        <f t="shared" si="158"/>
        <v>0</v>
      </c>
      <c r="AE367">
        <f t="shared" si="161"/>
        <v>0</v>
      </c>
    </row>
    <row r="368" spans="1:31" x14ac:dyDescent="0.2">
      <c r="A368" s="347">
        <v>30028</v>
      </c>
      <c r="B368" s="364">
        <f t="shared" si="155"/>
        <v>30.027999999999999</v>
      </c>
      <c r="C368" s="337">
        <f t="shared" si="136"/>
        <v>1.2542369375305451</v>
      </c>
      <c r="D368" s="338">
        <f t="shared" si="137"/>
        <v>0.64799181267681838</v>
      </c>
      <c r="E368" s="338">
        <f t="shared" si="138"/>
        <v>1.0000015726711509</v>
      </c>
      <c r="F368" s="339">
        <f t="shared" si="139"/>
        <v>1.7735101295389133E-3</v>
      </c>
      <c r="G368" s="338">
        <f t="shared" si="140"/>
        <v>1</v>
      </c>
      <c r="H368" s="339">
        <f t="shared" si="141"/>
        <v>0</v>
      </c>
      <c r="I368" s="337">
        <f t="shared" si="142"/>
        <v>217354.54664291468</v>
      </c>
      <c r="J368" s="340">
        <f t="shared" si="143"/>
        <v>1.5707917260169719</v>
      </c>
      <c r="K368" s="348">
        <f t="shared" si="159"/>
        <v>5.0914178648688626</v>
      </c>
      <c r="L368" s="349">
        <f t="shared" si="160"/>
        <v>1.3731021516656463</v>
      </c>
      <c r="M368" s="337">
        <f t="shared" si="144"/>
        <v>1.0004350408471228</v>
      </c>
      <c r="N368" s="340">
        <f t="shared" si="145"/>
        <v>2.9491801862046526E-2</v>
      </c>
      <c r="O368" s="341">
        <f t="shared" si="146"/>
        <v>1.0017101648372861</v>
      </c>
      <c r="P368" s="342">
        <f t="shared" si="147"/>
        <v>7.1060005218472805E-2</v>
      </c>
      <c r="Q368" s="343">
        <f t="shared" si="148"/>
        <v>1.7407265160319674</v>
      </c>
      <c r="R368" s="344">
        <f t="shared" si="149"/>
        <v>-54.113553874097079</v>
      </c>
      <c r="S368" s="346">
        <f t="shared" si="150"/>
        <v>125.88644612590292</v>
      </c>
      <c r="U368" s="319">
        <f t="shared" si="156"/>
        <v>1000000000</v>
      </c>
      <c r="V368" s="319">
        <f t="shared" si="157"/>
        <v>901680784</v>
      </c>
      <c r="X368" s="345">
        <f t="shared" si="151"/>
        <v>5.0968467626429401</v>
      </c>
      <c r="Y368" s="346">
        <f t="shared" si="152"/>
        <v>-13.01653405587353</v>
      </c>
      <c r="AA368" s="345">
        <f t="shared" si="153"/>
        <v>33.476629911484039</v>
      </c>
      <c r="AB368" s="346">
        <f t="shared" si="154"/>
        <v>-41.097019818223536</v>
      </c>
      <c r="AD368">
        <f t="shared" si="158"/>
        <v>0</v>
      </c>
      <c r="AE368">
        <f t="shared" si="161"/>
        <v>0</v>
      </c>
    </row>
    <row r="369" spans="1:31" x14ac:dyDescent="0.2">
      <c r="A369" s="347">
        <v>30200</v>
      </c>
      <c r="B369" s="364">
        <f t="shared" si="155"/>
        <v>30.2</v>
      </c>
      <c r="C369" s="337">
        <f t="shared" si="136"/>
        <v>1.2568590358542919</v>
      </c>
      <c r="D369" s="338">
        <f t="shared" si="137"/>
        <v>0.65074259062503215</v>
      </c>
      <c r="E369" s="338">
        <f t="shared" si="138"/>
        <v>1.0000015907392161</v>
      </c>
      <c r="F369" s="339">
        <f t="shared" si="139"/>
        <v>1.783668751396213E-3</v>
      </c>
      <c r="G369" s="338">
        <f t="shared" si="140"/>
        <v>1</v>
      </c>
      <c r="H369" s="339">
        <f t="shared" si="141"/>
        <v>0</v>
      </c>
      <c r="I369" s="337">
        <f t="shared" si="142"/>
        <v>218599.55070651503</v>
      </c>
      <c r="J369" s="340">
        <f t="shared" si="143"/>
        <v>1.5707917522200781</v>
      </c>
      <c r="K369" s="348">
        <f t="shared" si="159"/>
        <v>5.119459494186529</v>
      </c>
      <c r="L369" s="349">
        <f t="shared" si="160"/>
        <v>1.3741992243162888</v>
      </c>
      <c r="M369" s="337">
        <f t="shared" si="144"/>
        <v>1.0004400378383667</v>
      </c>
      <c r="N369" s="340">
        <f t="shared" si="145"/>
        <v>2.966063174821975E-2</v>
      </c>
      <c r="O369" s="341">
        <f t="shared" si="146"/>
        <v>1.0017297994678092</v>
      </c>
      <c r="P369" s="342">
        <f t="shared" si="147"/>
        <v>7.1466325228863745E-2</v>
      </c>
      <c r="Q369" s="343">
        <f t="shared" si="148"/>
        <v>1.7204700023934951</v>
      </c>
      <c r="R369" s="344">
        <f t="shared" si="149"/>
        <v>-54.240677325181409</v>
      </c>
      <c r="S369" s="346">
        <f t="shared" si="150"/>
        <v>125.75932267481859</v>
      </c>
      <c r="U369" s="319">
        <f t="shared" si="156"/>
        <v>1000000000</v>
      </c>
      <c r="V369" s="319">
        <f t="shared" si="157"/>
        <v>912040000</v>
      </c>
      <c r="X369" s="345">
        <f t="shared" si="151"/>
        <v>5.0949000443669901</v>
      </c>
      <c r="Y369" s="346">
        <f t="shared" si="152"/>
        <v>-12.963351164372508</v>
      </c>
      <c r="AA369" s="345">
        <f t="shared" si="153"/>
        <v>33.458320116121513</v>
      </c>
      <c r="AB369" s="346">
        <f t="shared" si="154"/>
        <v>-41.27732616080889</v>
      </c>
      <c r="AD369">
        <f t="shared" si="158"/>
        <v>0</v>
      </c>
      <c r="AE369">
        <f t="shared" si="161"/>
        <v>0</v>
      </c>
    </row>
    <row r="370" spans="1:31" x14ac:dyDescent="0.2">
      <c r="A370" s="347">
        <v>30375.75</v>
      </c>
      <c r="B370" s="364">
        <f t="shared" si="155"/>
        <v>30.37575</v>
      </c>
      <c r="C370" s="337">
        <f t="shared" si="136"/>
        <v>1.2595480842854554</v>
      </c>
      <c r="D370" s="338">
        <f t="shared" si="137"/>
        <v>0.65354148993613492</v>
      </c>
      <c r="E370" s="338">
        <f t="shared" si="138"/>
        <v>1.0000016093078044</v>
      </c>
      <c r="F370" s="339">
        <f t="shared" si="139"/>
        <v>1.7940488544544199E-3</v>
      </c>
      <c r="G370" s="338">
        <f t="shared" si="140"/>
        <v>1</v>
      </c>
      <c r="H370" s="339">
        <f t="shared" si="141"/>
        <v>0</v>
      </c>
      <c r="I370" s="337">
        <f t="shared" si="142"/>
        <v>219871.69875406037</v>
      </c>
      <c r="J370" s="340">
        <f t="shared" si="143"/>
        <v>1.5707917786879522</v>
      </c>
      <c r="K370" s="348">
        <f t="shared" si="159"/>
        <v>5.148118790731159</v>
      </c>
      <c r="L370" s="349">
        <f t="shared" si="160"/>
        <v>1.3753078692066067</v>
      </c>
      <c r="M370" s="337">
        <f t="shared" si="144"/>
        <v>1.0004451732307684</v>
      </c>
      <c r="N370" s="340">
        <f t="shared" si="145"/>
        <v>2.9833140771407786E-2</v>
      </c>
      <c r="O370" s="341">
        <f t="shared" si="146"/>
        <v>1.0017499777097219</v>
      </c>
      <c r="P370" s="342">
        <f t="shared" si="147"/>
        <v>7.1881491411779852E-2</v>
      </c>
      <c r="Q370" s="343">
        <f t="shared" si="148"/>
        <v>1.6997746474970978</v>
      </c>
      <c r="R370" s="344">
        <f t="shared" si="149"/>
        <v>-54.370599859379759</v>
      </c>
      <c r="S370" s="346">
        <f t="shared" si="150"/>
        <v>125.62940014062025</v>
      </c>
      <c r="U370" s="319">
        <f t="shared" si="156"/>
        <v>1000000000</v>
      </c>
      <c r="V370" s="319">
        <f t="shared" si="157"/>
        <v>922686188.0625</v>
      </c>
      <c r="X370" s="345">
        <f t="shared" si="151"/>
        <v>5.0929430891089433</v>
      </c>
      <c r="Y370" s="346">
        <f t="shared" si="152"/>
        <v>-12.909716046571342</v>
      </c>
      <c r="AA370" s="345">
        <f t="shared" si="153"/>
        <v>33.439581716483168</v>
      </c>
      <c r="AB370" s="346">
        <f t="shared" si="154"/>
        <v>-41.460883812808397</v>
      </c>
      <c r="AD370">
        <f t="shared" si="158"/>
        <v>0</v>
      </c>
      <c r="AE370">
        <f t="shared" si="161"/>
        <v>0</v>
      </c>
    </row>
    <row r="371" spans="1:31" x14ac:dyDescent="0.2">
      <c r="A371" s="347">
        <v>30551.5</v>
      </c>
      <c r="B371" s="364">
        <f t="shared" si="155"/>
        <v>30.551500000000001</v>
      </c>
      <c r="C371" s="337">
        <f t="shared" si="136"/>
        <v>1.2622469577254174</v>
      </c>
      <c r="D371" s="338">
        <f t="shared" si="137"/>
        <v>0.656328442068559</v>
      </c>
      <c r="E371" s="338">
        <f t="shared" si="138"/>
        <v>1.0000016279841393</v>
      </c>
      <c r="F371" s="339">
        <f t="shared" si="139"/>
        <v>1.8044289571260215E-3</v>
      </c>
      <c r="G371" s="338">
        <f t="shared" si="140"/>
        <v>1</v>
      </c>
      <c r="H371" s="339">
        <f t="shared" si="141"/>
        <v>0</v>
      </c>
      <c r="I371" s="337">
        <f t="shared" si="142"/>
        <v>221143.84680160583</v>
      </c>
      <c r="J371" s="340">
        <f t="shared" si="143"/>
        <v>1.570791804851309</v>
      </c>
      <c r="K371" s="348">
        <f t="shared" si="159"/>
        <v>5.1767843447307831</v>
      </c>
      <c r="L371" s="349">
        <f t="shared" si="160"/>
        <v>1.3764042375708001</v>
      </c>
      <c r="M371" s="337">
        <f t="shared" si="144"/>
        <v>1.0004503383954748</v>
      </c>
      <c r="N371" s="340">
        <f t="shared" si="145"/>
        <v>3.0005648018456624E-2</v>
      </c>
      <c r="O371" s="341">
        <f t="shared" si="146"/>
        <v>1.0017702727228581</v>
      </c>
      <c r="P371" s="342">
        <f t="shared" si="147"/>
        <v>7.2296644838401827E-2</v>
      </c>
      <c r="Q371" s="343">
        <f t="shared" si="148"/>
        <v>1.6790820944276799</v>
      </c>
      <c r="R371" s="344">
        <f t="shared" si="149"/>
        <v>-54.500540413724252</v>
      </c>
      <c r="S371" s="346">
        <f t="shared" si="150"/>
        <v>125.49945958627575</v>
      </c>
      <c r="U371" s="319">
        <f t="shared" si="156"/>
        <v>1000000000</v>
      </c>
      <c r="V371" s="319">
        <f t="shared" si="157"/>
        <v>933394152.25</v>
      </c>
      <c r="X371" s="345">
        <f t="shared" si="151"/>
        <v>5.0910179629273147</v>
      </c>
      <c r="Y371" s="346">
        <f t="shared" si="152"/>
        <v>-12.856784202692161</v>
      </c>
      <c r="AA371" s="345">
        <f t="shared" si="153"/>
        <v>33.42081428959537</v>
      </c>
      <c r="AB371" s="346">
        <f t="shared" si="154"/>
        <v>-41.643756211032084</v>
      </c>
      <c r="AD371">
        <f t="shared" si="158"/>
        <v>0</v>
      </c>
      <c r="AE371">
        <f t="shared" si="161"/>
        <v>0</v>
      </c>
    </row>
    <row r="372" spans="1:31" x14ac:dyDescent="0.2">
      <c r="A372" s="347">
        <v>30727.25</v>
      </c>
      <c r="B372" s="364">
        <f t="shared" si="155"/>
        <v>30.727250000000002</v>
      </c>
      <c r="C372" s="337">
        <f t="shared" si="136"/>
        <v>1.2649555932870982</v>
      </c>
      <c r="D372" s="338">
        <f t="shared" si="137"/>
        <v>0.65910348033808441</v>
      </c>
      <c r="E372" s="338">
        <f t="shared" si="138"/>
        <v>1.0000016467682209</v>
      </c>
      <c r="F372" s="339">
        <f t="shared" si="139"/>
        <v>1.8148090594087803E-3</v>
      </c>
      <c r="G372" s="338">
        <f t="shared" si="140"/>
        <v>1</v>
      </c>
      <c r="H372" s="339">
        <f t="shared" si="141"/>
        <v>0</v>
      </c>
      <c r="I372" s="337">
        <f t="shared" si="142"/>
        <v>222415.99484915144</v>
      </c>
      <c r="J372" s="340">
        <f t="shared" si="143"/>
        <v>1.5707918307153736</v>
      </c>
      <c r="K372" s="348">
        <f t="shared" si="159"/>
        <v>5.2054560528092058</v>
      </c>
      <c r="L372" s="349">
        <f t="shared" si="160"/>
        <v>1.3774885296088526</v>
      </c>
      <c r="M372" s="337">
        <f t="shared" si="144"/>
        <v>1.0004555333320255</v>
      </c>
      <c r="N372" s="340">
        <f t="shared" si="145"/>
        <v>3.0178153479126651E-2</v>
      </c>
      <c r="O372" s="341">
        <f t="shared" si="146"/>
        <v>1.0017906845017506</v>
      </c>
      <c r="P372" s="342">
        <f t="shared" si="147"/>
        <v>7.271178543588494E-2</v>
      </c>
      <c r="Q372" s="343">
        <f t="shared" si="148"/>
        <v>1.658392329874059</v>
      </c>
      <c r="R372" s="344">
        <f t="shared" si="149"/>
        <v>-54.630489421993467</v>
      </c>
      <c r="S372" s="346">
        <f t="shared" si="150"/>
        <v>125.36951057800653</v>
      </c>
      <c r="U372" s="319">
        <f t="shared" si="156"/>
        <v>1000000000</v>
      </c>
      <c r="V372" s="319">
        <f t="shared" si="157"/>
        <v>944163892.5625</v>
      </c>
      <c r="X372" s="345">
        <f t="shared" si="151"/>
        <v>5.0891239563368362</v>
      </c>
      <c r="Y372" s="346">
        <f t="shared" si="152"/>
        <v>-12.80454416183351</v>
      </c>
      <c r="AA372" s="345">
        <f t="shared" si="153"/>
        <v>33.40201853163223</v>
      </c>
      <c r="AB372" s="346">
        <f t="shared" si="154"/>
        <v>-41.825945260159969</v>
      </c>
      <c r="AD372">
        <f t="shared" si="158"/>
        <v>0</v>
      </c>
      <c r="AE372">
        <f t="shared" si="161"/>
        <v>0</v>
      </c>
    </row>
    <row r="373" spans="1:31" x14ac:dyDescent="0.2">
      <c r="A373" s="347">
        <v>30903</v>
      </c>
      <c r="B373" s="364">
        <f t="shared" si="155"/>
        <v>30.902999999999999</v>
      </c>
      <c r="C373" s="337">
        <f t="shared" si="136"/>
        <v>1.2676739283943994</v>
      </c>
      <c r="D373" s="338">
        <f t="shared" si="137"/>
        <v>0.6618666385102383</v>
      </c>
      <c r="E373" s="338">
        <f t="shared" si="138"/>
        <v>1.0000016656600492</v>
      </c>
      <c r="F373" s="339">
        <f t="shared" si="139"/>
        <v>1.8251891613004605E-3</v>
      </c>
      <c r="G373" s="338">
        <f t="shared" si="140"/>
        <v>1</v>
      </c>
      <c r="H373" s="339">
        <f t="shared" si="141"/>
        <v>0</v>
      </c>
      <c r="I373" s="337">
        <f t="shared" si="142"/>
        <v>223688.14289669722</v>
      </c>
      <c r="J373" s="340">
        <f t="shared" si="143"/>
        <v>1.570791856285253</v>
      </c>
      <c r="K373" s="348">
        <f t="shared" si="159"/>
        <v>5.234133813833389</v>
      </c>
      <c r="L373" s="349">
        <f t="shared" si="160"/>
        <v>1.378560941248177</v>
      </c>
      <c r="M373" s="337">
        <f t="shared" si="144"/>
        <v>1.000460758039956</v>
      </c>
      <c r="N373" s="340">
        <f t="shared" si="145"/>
        <v>3.0350657143178895E-2</v>
      </c>
      <c r="O373" s="341">
        <f t="shared" si="146"/>
        <v>1.0018112130409014</v>
      </c>
      <c r="P373" s="342">
        <f t="shared" si="147"/>
        <v>7.3126913131400878E-2</v>
      </c>
      <c r="Q373" s="343">
        <f t="shared" si="148"/>
        <v>1.6377053530280052</v>
      </c>
      <c r="R373" s="344">
        <f t="shared" si="149"/>
        <v>-54.76043758852915</v>
      </c>
      <c r="S373" s="346">
        <f t="shared" si="150"/>
        <v>125.23956241147084</v>
      </c>
      <c r="U373" s="319">
        <f t="shared" si="156"/>
        <v>1000000000</v>
      </c>
      <c r="V373" s="319">
        <f t="shared" si="157"/>
        <v>954995409</v>
      </c>
      <c r="X373" s="345">
        <f t="shared" si="151"/>
        <v>5.0872603792359712</v>
      </c>
      <c r="Y373" s="346">
        <f t="shared" si="152"/>
        <v>-12.752984697887509</v>
      </c>
      <c r="AA373" s="345">
        <f t="shared" si="153"/>
        <v>33.383195131887042</v>
      </c>
      <c r="AB373" s="346">
        <f t="shared" si="154"/>
        <v>-42.007452890641616</v>
      </c>
      <c r="AD373">
        <f t="shared" si="158"/>
        <v>0</v>
      </c>
      <c r="AE373">
        <f t="shared" si="161"/>
        <v>0</v>
      </c>
    </row>
    <row r="374" spans="1:31" x14ac:dyDescent="0.2">
      <c r="A374" s="347">
        <v>31083</v>
      </c>
      <c r="B374" s="364">
        <f t="shared" si="155"/>
        <v>31.082999999999998</v>
      </c>
      <c r="C374" s="337">
        <f t="shared" si="136"/>
        <v>1.2704679876458445</v>
      </c>
      <c r="D374" s="338">
        <f t="shared" si="137"/>
        <v>0.6646843368282721</v>
      </c>
      <c r="E374" s="338">
        <f t="shared" si="138"/>
        <v>1.0000016851204079</v>
      </c>
      <c r="F374" s="339">
        <f t="shared" si="139"/>
        <v>1.8358202752057021E-3</v>
      </c>
      <c r="G374" s="338">
        <f t="shared" si="140"/>
        <v>1</v>
      </c>
      <c r="H374" s="339">
        <f t="shared" si="141"/>
        <v>0</v>
      </c>
      <c r="I374" s="337">
        <f t="shared" si="142"/>
        <v>224991.05412604721</v>
      </c>
      <c r="J374" s="340">
        <f t="shared" si="143"/>
        <v>1.5707918821737366</v>
      </c>
      <c r="K374" s="348">
        <f t="shared" si="159"/>
        <v>5.2635112335710321</v>
      </c>
      <c r="L374" s="349">
        <f t="shared" si="160"/>
        <v>1.3796471715719358</v>
      </c>
      <c r="M374" s="337">
        <f t="shared" si="144"/>
        <v>1.0004661399516732</v>
      </c>
      <c r="N374" s="340">
        <f t="shared" si="145"/>
        <v>3.0527330431075632E-2</v>
      </c>
      <c r="O374" s="341">
        <f t="shared" si="146"/>
        <v>1.0018323590266407</v>
      </c>
      <c r="P374" s="342">
        <f t="shared" si="147"/>
        <v>7.3552066026920895E-2</v>
      </c>
      <c r="Q374" s="343">
        <f t="shared" si="148"/>
        <v>1.6165210234129346</v>
      </c>
      <c r="R374" s="344">
        <f t="shared" si="149"/>
        <v>-54.893517862767936</v>
      </c>
      <c r="S374" s="346">
        <f t="shared" si="150"/>
        <v>125.10648213723206</v>
      </c>
      <c r="U374" s="319">
        <f t="shared" si="156"/>
        <v>1000000000</v>
      </c>
      <c r="V374" s="319">
        <f t="shared" si="157"/>
        <v>966152889</v>
      </c>
      <c r="X374" s="345">
        <f t="shared" si="151"/>
        <v>5.0853825777415249</v>
      </c>
      <c r="Y374" s="346">
        <f t="shared" si="152"/>
        <v>-12.70087240174748</v>
      </c>
      <c r="AA374" s="345">
        <f t="shared" si="153"/>
        <v>33.363888603766419</v>
      </c>
      <c r="AB374" s="346">
        <f t="shared" si="154"/>
        <v>-42.192645461020447</v>
      </c>
      <c r="AD374">
        <f t="shared" si="158"/>
        <v>0</v>
      </c>
      <c r="AE374">
        <f t="shared" si="161"/>
        <v>0</v>
      </c>
    </row>
    <row r="375" spans="1:31" x14ac:dyDescent="0.2">
      <c r="A375" s="347">
        <v>31263</v>
      </c>
      <c r="B375" s="364">
        <f t="shared" si="155"/>
        <v>31.263000000000002</v>
      </c>
      <c r="C375" s="337">
        <f t="shared" si="136"/>
        <v>1.2732720893657512</v>
      </c>
      <c r="D375" s="338">
        <f t="shared" si="137"/>
        <v>0.66748964661571974</v>
      </c>
      <c r="E375" s="338">
        <f t="shared" si="138"/>
        <v>1.000001704693787</v>
      </c>
      <c r="F375" s="339">
        <f t="shared" si="139"/>
        <v>1.8464513886959724E-3</v>
      </c>
      <c r="G375" s="338">
        <f t="shared" si="140"/>
        <v>1</v>
      </c>
      <c r="H375" s="339">
        <f t="shared" si="141"/>
        <v>0</v>
      </c>
      <c r="I375" s="337">
        <f t="shared" si="142"/>
        <v>226293.96535539738</v>
      </c>
      <c r="J375" s="340">
        <f t="shared" si="143"/>
        <v>1.5707919077641088</v>
      </c>
      <c r="K375" s="348">
        <f t="shared" si="159"/>
        <v>5.2928947947621801</v>
      </c>
      <c r="L375" s="349">
        <f t="shared" si="160"/>
        <v>1.3807213427132434</v>
      </c>
      <c r="M375" s="337">
        <f t="shared" si="144"/>
        <v>1.0004715530910542</v>
      </c>
      <c r="N375" s="340">
        <f t="shared" si="145"/>
        <v>3.0704001812674096E-2</v>
      </c>
      <c r="O375" s="341">
        <f t="shared" si="146"/>
        <v>1.0018536274761538</v>
      </c>
      <c r="P375" s="342">
        <f t="shared" si="147"/>
        <v>7.3977205234356247E-2</v>
      </c>
      <c r="Q375" s="343">
        <f t="shared" si="148"/>
        <v>1.5953396538235707</v>
      </c>
      <c r="R375" s="344">
        <f t="shared" si="149"/>
        <v>-55.026578356199515</v>
      </c>
      <c r="S375" s="346">
        <f t="shared" si="150"/>
        <v>124.97342164380049</v>
      </c>
      <c r="U375" s="319">
        <f t="shared" si="156"/>
        <v>1000000000</v>
      </c>
      <c r="V375" s="319">
        <f t="shared" si="157"/>
        <v>977375169</v>
      </c>
      <c r="X375" s="345">
        <f t="shared" si="151"/>
        <v>5.083535289588279</v>
      </c>
      <c r="Y375" s="346">
        <f t="shared" si="152"/>
        <v>-12.649450919563712</v>
      </c>
      <c r="AA375" s="345">
        <f t="shared" si="153"/>
        <v>33.344554522330306</v>
      </c>
      <c r="AB375" s="346">
        <f t="shared" si="154"/>
        <v>-42.377127436635803</v>
      </c>
      <c r="AD375">
        <f t="shared" si="158"/>
        <v>0</v>
      </c>
      <c r="AE375">
        <f t="shared" si="161"/>
        <v>0</v>
      </c>
    </row>
    <row r="376" spans="1:31" x14ac:dyDescent="0.2">
      <c r="A376" s="347">
        <v>31443</v>
      </c>
      <c r="B376" s="364">
        <f t="shared" si="155"/>
        <v>31.443000000000001</v>
      </c>
      <c r="C376" s="337">
        <f t="shared" si="136"/>
        <v>1.2760861673514539</v>
      </c>
      <c r="D376" s="338">
        <f t="shared" si="137"/>
        <v>0.67028260553220664</v>
      </c>
      <c r="E376" s="338">
        <f t="shared" si="138"/>
        <v>1.0000017243801871</v>
      </c>
      <c r="F376" s="339">
        <f t="shared" si="139"/>
        <v>1.8570825017688683E-3</v>
      </c>
      <c r="G376" s="338">
        <f t="shared" si="140"/>
        <v>1</v>
      </c>
      <c r="H376" s="339">
        <f t="shared" si="141"/>
        <v>0</v>
      </c>
      <c r="I376" s="337">
        <f t="shared" si="142"/>
        <v>227596.87658474766</v>
      </c>
      <c r="J376" s="340">
        <f t="shared" si="143"/>
        <v>1.5707919330614895</v>
      </c>
      <c r="K376" s="348">
        <f t="shared" si="159"/>
        <v>5.3222843956886097</v>
      </c>
      <c r="L376" s="349">
        <f t="shared" si="160"/>
        <v>1.3817836519445483</v>
      </c>
      <c r="M376" s="337">
        <f t="shared" si="144"/>
        <v>1.0004769974575924</v>
      </c>
      <c r="N376" s="340">
        <f t="shared" si="145"/>
        <v>3.0880671276976513E-2</v>
      </c>
      <c r="O376" s="341">
        <f t="shared" si="146"/>
        <v>1.0018750183834331</v>
      </c>
      <c r="P376" s="342">
        <f t="shared" si="147"/>
        <v>7.4402330675520961E-2</v>
      </c>
      <c r="Q376" s="343">
        <f t="shared" si="148"/>
        <v>1.5741612802521709</v>
      </c>
      <c r="R376" s="344">
        <f t="shared" si="149"/>
        <v>-55.159609918866366</v>
      </c>
      <c r="S376" s="346">
        <f t="shared" si="150"/>
        <v>124.84039008113363</v>
      </c>
      <c r="U376" s="319">
        <f t="shared" si="156"/>
        <v>1000000000</v>
      </c>
      <c r="V376" s="319">
        <f t="shared" si="157"/>
        <v>988662249</v>
      </c>
      <c r="X376" s="345">
        <f t="shared" si="151"/>
        <v>5.0817178325825783</v>
      </c>
      <c r="Y376" s="346">
        <f t="shared" si="152"/>
        <v>-12.598708948120681</v>
      </c>
      <c r="AA376" s="345">
        <f t="shared" si="153"/>
        <v>33.325193605764603</v>
      </c>
      <c r="AB376" s="346">
        <f t="shared" si="154"/>
        <v>-42.560900970745699</v>
      </c>
      <c r="AD376">
        <f t="shared" si="158"/>
        <v>0</v>
      </c>
      <c r="AE376">
        <f t="shared" si="161"/>
        <v>0</v>
      </c>
    </row>
    <row r="377" spans="1:31" x14ac:dyDescent="0.2">
      <c r="A377" s="347">
        <v>31623</v>
      </c>
      <c r="B377" s="364">
        <f t="shared" si="155"/>
        <v>31.623000000000001</v>
      </c>
      <c r="C377" s="337">
        <f t="shared" si="136"/>
        <v>1.2789101557484683</v>
      </c>
      <c r="D377" s="338">
        <f t="shared" si="137"/>
        <v>0.67306325167724557</v>
      </c>
      <c r="E377" s="338">
        <f t="shared" si="138"/>
        <v>1.0000017441796079</v>
      </c>
      <c r="F377" s="339">
        <f t="shared" si="139"/>
        <v>1.8677136144219868E-3</v>
      </c>
      <c r="G377" s="338">
        <f t="shared" si="140"/>
        <v>1</v>
      </c>
      <c r="H377" s="339">
        <f t="shared" si="141"/>
        <v>0</v>
      </c>
      <c r="I377" s="337">
        <f t="shared" si="142"/>
        <v>228899.78781409809</v>
      </c>
      <c r="J377" s="340">
        <f t="shared" si="143"/>
        <v>1.5707919580708818</v>
      </c>
      <c r="K377" s="348">
        <f t="shared" si="159"/>
        <v>5.351679936845823</v>
      </c>
      <c r="L377" s="349">
        <f t="shared" si="160"/>
        <v>1.3828342923124419</v>
      </c>
      <c r="M377" s="337">
        <f t="shared" si="144"/>
        <v>1.000482473050778</v>
      </c>
      <c r="N377" s="340">
        <f t="shared" si="145"/>
        <v>3.1057338812985832E-2</v>
      </c>
      <c r="O377" s="341">
        <f t="shared" si="146"/>
        <v>1.0018965317424366</v>
      </c>
      <c r="P377" s="342">
        <f t="shared" si="147"/>
        <v>7.4827442272247663E-2</v>
      </c>
      <c r="Q377" s="343">
        <f t="shared" si="148"/>
        <v>1.5529859498855347</v>
      </c>
      <c r="R377" s="344">
        <f t="shared" si="149"/>
        <v>-55.292603668132912</v>
      </c>
      <c r="S377" s="346">
        <f t="shared" si="150"/>
        <v>124.70739633186709</v>
      </c>
      <c r="U377" s="319">
        <f t="shared" si="156"/>
        <v>1000000000</v>
      </c>
      <c r="V377" s="319">
        <f t="shared" si="157"/>
        <v>1000014129</v>
      </c>
      <c r="X377" s="345">
        <f t="shared" si="151"/>
        <v>5.0799295432153215</v>
      </c>
      <c r="Y377" s="346">
        <f t="shared" si="152"/>
        <v>-12.548635426320025</v>
      </c>
      <c r="AA377" s="345">
        <f t="shared" si="153"/>
        <v>33.30580656476522</v>
      </c>
      <c r="AB377" s="346">
        <f t="shared" si="154"/>
        <v>-42.743968241812894</v>
      </c>
      <c r="AD377">
        <f t="shared" si="158"/>
        <v>0</v>
      </c>
      <c r="AE377">
        <f t="shared" si="161"/>
        <v>0</v>
      </c>
    </row>
    <row r="378" spans="1:31" x14ac:dyDescent="0.2">
      <c r="A378" s="347">
        <v>31807</v>
      </c>
      <c r="B378" s="364">
        <f t="shared" si="155"/>
        <v>31.806999999999999</v>
      </c>
      <c r="C378" s="337">
        <f t="shared" si="136"/>
        <v>1.2818070744443881</v>
      </c>
      <c r="D378" s="338">
        <f t="shared" si="137"/>
        <v>0.67589300383851958</v>
      </c>
      <c r="E378" s="338">
        <f t="shared" si="138"/>
        <v>1.0000017645358319</v>
      </c>
      <c r="F378" s="339">
        <f t="shared" si="139"/>
        <v>1.8785809735865761E-3</v>
      </c>
      <c r="G378" s="338">
        <f t="shared" si="140"/>
        <v>1</v>
      </c>
      <c r="H378" s="339">
        <f t="shared" si="141"/>
        <v>0</v>
      </c>
      <c r="I378" s="337">
        <f t="shared" si="142"/>
        <v>230231.65262632314</v>
      </c>
      <c r="J378" s="340">
        <f t="shared" si="143"/>
        <v>1.5707919833434703</v>
      </c>
      <c r="K378" s="348">
        <f t="shared" si="159"/>
        <v>5.3817347506038837</v>
      </c>
      <c r="L378" s="349">
        <f t="shared" si="160"/>
        <v>1.383896416236724</v>
      </c>
      <c r="M378" s="337">
        <f t="shared" si="144"/>
        <v>1.0004881025985242</v>
      </c>
      <c r="N378" s="340">
        <f t="shared" si="145"/>
        <v>3.1237930289744351E-2</v>
      </c>
      <c r="O378" s="341">
        <f t="shared" si="146"/>
        <v>1.0019186497334414</v>
      </c>
      <c r="P378" s="342">
        <f t="shared" si="147"/>
        <v>7.5261986402637329E-2</v>
      </c>
      <c r="Q378" s="343">
        <f t="shared" si="148"/>
        <v>1.5313432622584831</v>
      </c>
      <c r="R378" s="344">
        <f t="shared" si="149"/>
        <v>-55.428504774331856</v>
      </c>
      <c r="S378" s="346">
        <f t="shared" si="150"/>
        <v>124.57149522566814</v>
      </c>
      <c r="U378" s="319">
        <f t="shared" si="156"/>
        <v>1000000000</v>
      </c>
      <c r="V378" s="319">
        <f t="shared" si="157"/>
        <v>1011685249</v>
      </c>
      <c r="X378" s="345">
        <f t="shared" si="151"/>
        <v>5.0781309892340829</v>
      </c>
      <c r="Y378" s="346">
        <f t="shared" si="152"/>
        <v>-12.498128785528033</v>
      </c>
      <c r="AA378" s="345">
        <f t="shared" si="153"/>
        <v>33.285962431119408</v>
      </c>
      <c r="AB378" s="346">
        <f t="shared" si="154"/>
        <v>-42.930375988803846</v>
      </c>
      <c r="AD378">
        <f t="shared" si="158"/>
        <v>0</v>
      </c>
      <c r="AE378">
        <f t="shared" si="161"/>
        <v>0</v>
      </c>
    </row>
    <row r="379" spans="1:31" x14ac:dyDescent="0.2">
      <c r="A379" s="347">
        <v>31991</v>
      </c>
      <c r="B379" s="364">
        <f t="shared" si="155"/>
        <v>31.991</v>
      </c>
      <c r="C379" s="337">
        <f t="shared" si="136"/>
        <v>1.2847142108700156</v>
      </c>
      <c r="D379" s="338">
        <f t="shared" si="137"/>
        <v>0.67870997177048631</v>
      </c>
      <c r="E379" s="338">
        <f t="shared" si="138"/>
        <v>1.0000017850101555</v>
      </c>
      <c r="F379" s="339">
        <f t="shared" si="139"/>
        <v>1.8894483323074463E-3</v>
      </c>
      <c r="G379" s="338">
        <f t="shared" si="140"/>
        <v>1</v>
      </c>
      <c r="H379" s="339">
        <f t="shared" si="141"/>
        <v>0</v>
      </c>
      <c r="I379" s="337">
        <f t="shared" si="142"/>
        <v>231563.51743854833</v>
      </c>
      <c r="J379" s="340">
        <f t="shared" si="143"/>
        <v>1.5707920083253422</v>
      </c>
      <c r="K379" s="348">
        <f t="shared" si="159"/>
        <v>5.4117955680984187</v>
      </c>
      <c r="L379" s="349">
        <f t="shared" si="160"/>
        <v>1.3849467418081334</v>
      </c>
      <c r="M379" s="337">
        <f t="shared" si="144"/>
        <v>1.0004937647751024</v>
      </c>
      <c r="N379" s="340">
        <f t="shared" si="145"/>
        <v>3.1418519728320056E-2</v>
      </c>
      <c r="O379" s="341">
        <f t="shared" si="146"/>
        <v>1.0019408956660636</v>
      </c>
      <c r="P379" s="342">
        <f t="shared" si="147"/>
        <v>7.5696515901328504E-2</v>
      </c>
      <c r="Q379" s="343">
        <f t="shared" si="148"/>
        <v>1.5097038876152025</v>
      </c>
      <c r="R379" s="344">
        <f t="shared" si="149"/>
        <v>-55.564348422226686</v>
      </c>
      <c r="S379" s="346">
        <f t="shared" si="150"/>
        <v>124.43565157777331</v>
      </c>
      <c r="U379" s="319">
        <f t="shared" si="156"/>
        <v>1000000000</v>
      </c>
      <c r="V379" s="319">
        <f t="shared" si="157"/>
        <v>1023424081</v>
      </c>
      <c r="X379" s="345">
        <f t="shared" si="151"/>
        <v>5.0763615687288253</v>
      </c>
      <c r="Y379" s="346">
        <f t="shared" si="152"/>
        <v>-12.448298007125524</v>
      </c>
      <c r="AA379" s="345">
        <f t="shared" si="153"/>
        <v>33.266092476981385</v>
      </c>
      <c r="AB379" s="346">
        <f t="shared" si="154"/>
        <v>-43.116050415101178</v>
      </c>
      <c r="AD379">
        <f t="shared" si="158"/>
        <v>0</v>
      </c>
      <c r="AE379">
        <f t="shared" si="161"/>
        <v>0</v>
      </c>
    </row>
    <row r="380" spans="1:31" x14ac:dyDescent="0.2">
      <c r="A380" s="347">
        <v>32175</v>
      </c>
      <c r="B380" s="364">
        <f t="shared" si="155"/>
        <v>32.174999999999997</v>
      </c>
      <c r="C380" s="337">
        <f t="shared" si="136"/>
        <v>1.2876314958184381</v>
      </c>
      <c r="D380" s="338">
        <f t="shared" si="137"/>
        <v>0.68151419750766262</v>
      </c>
      <c r="E380" s="338">
        <f t="shared" si="138"/>
        <v>1.0000018056025788</v>
      </c>
      <c r="F380" s="339">
        <f t="shared" si="139"/>
        <v>1.9003156905820302E-3</v>
      </c>
      <c r="G380" s="338">
        <f t="shared" si="140"/>
        <v>1</v>
      </c>
      <c r="H380" s="339">
        <f t="shared" si="141"/>
        <v>0</v>
      </c>
      <c r="I380" s="337">
        <f t="shared" si="142"/>
        <v>232895.38225077363</v>
      </c>
      <c r="J380" s="340">
        <f t="shared" si="143"/>
        <v>1.5707920330214851</v>
      </c>
      <c r="K380" s="348">
        <f t="shared" si="159"/>
        <v>5.4418622898356057</v>
      </c>
      <c r="L380" s="349">
        <f t="shared" si="160"/>
        <v>1.3859854622503649</v>
      </c>
      <c r="M380" s="337">
        <f t="shared" si="144"/>
        <v>1.000499459579959</v>
      </c>
      <c r="N380" s="340">
        <f t="shared" si="145"/>
        <v>3.15991071169687E-2</v>
      </c>
      <c r="O380" s="341">
        <f t="shared" si="146"/>
        <v>1.0019632695337393</v>
      </c>
      <c r="P380" s="342">
        <f t="shared" si="147"/>
        <v>7.6131030684886955E-2</v>
      </c>
      <c r="Q380" s="343">
        <f t="shared" si="148"/>
        <v>1.4880679089217286</v>
      </c>
      <c r="R380" s="344">
        <f t="shared" si="149"/>
        <v>-55.700125944148127</v>
      </c>
      <c r="S380" s="346">
        <f t="shared" si="150"/>
        <v>124.29987405585187</v>
      </c>
      <c r="U380" s="319">
        <f t="shared" si="156"/>
        <v>1000000000</v>
      </c>
      <c r="V380" s="319">
        <f t="shared" si="157"/>
        <v>1035230625</v>
      </c>
      <c r="X380" s="345">
        <f t="shared" si="151"/>
        <v>5.0746206296345804</v>
      </c>
      <c r="Y380" s="346">
        <f t="shared" si="152"/>
        <v>-12.399132019823133</v>
      </c>
      <c r="AA380" s="345">
        <f t="shared" si="153"/>
        <v>33.246197437382158</v>
      </c>
      <c r="AB380" s="346">
        <f t="shared" si="154"/>
        <v>-43.30099392432502</v>
      </c>
      <c r="AD380">
        <f t="shared" si="158"/>
        <v>0</v>
      </c>
      <c r="AE380">
        <f t="shared" si="161"/>
        <v>0</v>
      </c>
    </row>
    <row r="381" spans="1:31" x14ac:dyDescent="0.2">
      <c r="A381" s="347">
        <v>32359</v>
      </c>
      <c r="B381" s="364">
        <f t="shared" si="155"/>
        <v>32.359000000000002</v>
      </c>
      <c r="C381" s="337">
        <f t="shared" si="136"/>
        <v>1.2905588604680014</v>
      </c>
      <c r="D381" s="338">
        <f t="shared" si="137"/>
        <v>0.68430572350676477</v>
      </c>
      <c r="E381" s="338">
        <f t="shared" si="138"/>
        <v>1.0000018263131019</v>
      </c>
      <c r="F381" s="339">
        <f t="shared" si="139"/>
        <v>1.9111830484077612E-3</v>
      </c>
      <c r="G381" s="338">
        <f t="shared" si="140"/>
        <v>1</v>
      </c>
      <c r="H381" s="339">
        <f t="shared" si="141"/>
        <v>0</v>
      </c>
      <c r="I381" s="337">
        <f t="shared" si="142"/>
        <v>234227.24706299911</v>
      </c>
      <c r="J381" s="340">
        <f t="shared" si="143"/>
        <v>1.5707920574367731</v>
      </c>
      <c r="K381" s="348">
        <f t="shared" si="159"/>
        <v>5.4719348184890562</v>
      </c>
      <c r="L381" s="349">
        <f t="shared" si="160"/>
        <v>1.3870127666408834</v>
      </c>
      <c r="M381" s="337">
        <f t="shared" si="144"/>
        <v>1.0005051870125368</v>
      </c>
      <c r="N381" s="340">
        <f t="shared" si="145"/>
        <v>3.1779692443946815E-2</v>
      </c>
      <c r="O381" s="341">
        <f t="shared" si="146"/>
        <v>1.0019857713298677</v>
      </c>
      <c r="P381" s="342">
        <f t="shared" si="147"/>
        <v>7.6565530669899198E-2</v>
      </c>
      <c r="Q381" s="343">
        <f t="shared" si="148"/>
        <v>1.4664354189495281</v>
      </c>
      <c r="R381" s="344">
        <f t="shared" si="149"/>
        <v>-55.835828934173463</v>
      </c>
      <c r="S381" s="346">
        <f t="shared" si="150"/>
        <v>124.16417106582654</v>
      </c>
      <c r="U381" s="319">
        <f t="shared" si="156"/>
        <v>1000000000</v>
      </c>
      <c r="V381" s="319">
        <f t="shared" si="157"/>
        <v>1047104881</v>
      </c>
      <c r="X381" s="345">
        <f t="shared" si="151"/>
        <v>5.0729075377552721</v>
      </c>
      <c r="Y381" s="346">
        <f t="shared" si="152"/>
        <v>-12.350619989886525</v>
      </c>
      <c r="AA381" s="345">
        <f t="shared" si="153"/>
        <v>33.226278039289262</v>
      </c>
      <c r="AB381" s="346">
        <f t="shared" si="154"/>
        <v>-43.485208944286939</v>
      </c>
      <c r="AD381">
        <f t="shared" si="158"/>
        <v>0</v>
      </c>
      <c r="AE381">
        <f t="shared" si="161"/>
        <v>0</v>
      </c>
    </row>
    <row r="382" spans="1:31" x14ac:dyDescent="0.2">
      <c r="A382" s="347">
        <v>32547.5</v>
      </c>
      <c r="B382" s="364">
        <f t="shared" si="155"/>
        <v>32.547499999999999</v>
      </c>
      <c r="C382" s="337">
        <f t="shared" si="136"/>
        <v>1.2935681992195656</v>
      </c>
      <c r="D382" s="338">
        <f t="shared" si="137"/>
        <v>0.68715239591391142</v>
      </c>
      <c r="E382" s="338">
        <f t="shared" si="138"/>
        <v>1.0000018476525996</v>
      </c>
      <c r="F382" s="339">
        <f t="shared" si="139"/>
        <v>1.9223161835382667E-3</v>
      </c>
      <c r="G382" s="338">
        <f t="shared" si="140"/>
        <v>1</v>
      </c>
      <c r="H382" s="339">
        <f t="shared" si="141"/>
        <v>0</v>
      </c>
      <c r="I382" s="337">
        <f t="shared" si="142"/>
        <v>235591.68465595852</v>
      </c>
      <c r="J382" s="340">
        <f t="shared" si="143"/>
        <v>1.570792082162912</v>
      </c>
      <c r="K382" s="348">
        <f t="shared" si="159"/>
        <v>5.5027487387412322</v>
      </c>
      <c r="L382" s="349">
        <f t="shared" si="160"/>
        <v>1.3880535504853815</v>
      </c>
      <c r="M382" s="337">
        <f t="shared" si="144"/>
        <v>1.0005110883520278</v>
      </c>
      <c r="N382" s="340">
        <f t="shared" si="145"/>
        <v>3.196469210970472E-2</v>
      </c>
      <c r="O382" s="341">
        <f t="shared" si="146"/>
        <v>1.0020089560944605</v>
      </c>
      <c r="P382" s="342">
        <f t="shared" si="147"/>
        <v>7.7010641580205555E-2</v>
      </c>
      <c r="Q382" s="343">
        <f t="shared" si="148"/>
        <v>1.4442775979843445</v>
      </c>
      <c r="R382" s="344">
        <f t="shared" si="149"/>
        <v>-55.974764938925638</v>
      </c>
      <c r="S382" s="346">
        <f t="shared" si="150"/>
        <v>124.02523506107437</v>
      </c>
      <c r="U382" s="319">
        <f t="shared" si="156"/>
        <v>1000000000</v>
      </c>
      <c r="V382" s="319">
        <f t="shared" si="157"/>
        <v>1059339756.25</v>
      </c>
      <c r="X382" s="345">
        <f t="shared" si="151"/>
        <v>5.0711807818876453</v>
      </c>
      <c r="Y382" s="346">
        <f t="shared" si="152"/>
        <v>-12.301588584918017</v>
      </c>
      <c r="AA382" s="345">
        <f t="shared" si="153"/>
        <v>33.205846974191708</v>
      </c>
      <c r="AB382" s="346">
        <f t="shared" si="154"/>
        <v>-43.673176354007623</v>
      </c>
      <c r="AD382">
        <f t="shared" si="158"/>
        <v>0</v>
      </c>
      <c r="AE382">
        <f t="shared" si="161"/>
        <v>0</v>
      </c>
    </row>
    <row r="383" spans="1:31" x14ac:dyDescent="0.2">
      <c r="A383" s="347">
        <v>32736</v>
      </c>
      <c r="B383" s="364">
        <f t="shared" si="155"/>
        <v>32.735999999999997</v>
      </c>
      <c r="C383" s="337">
        <f t="shared" si="136"/>
        <v>1.2965879717492388</v>
      </c>
      <c r="D383" s="338">
        <f t="shared" si="137"/>
        <v>0.68998583130888824</v>
      </c>
      <c r="E383" s="338">
        <f t="shared" si="138"/>
        <v>1.0000018691160444</v>
      </c>
      <c r="F383" s="339">
        <f t="shared" si="139"/>
        <v>1.9334493181922426E-3</v>
      </c>
      <c r="G383" s="338">
        <f t="shared" si="140"/>
        <v>1</v>
      </c>
      <c r="H383" s="339">
        <f t="shared" si="141"/>
        <v>0</v>
      </c>
      <c r="I383" s="337">
        <f t="shared" si="142"/>
        <v>236956.12224891805</v>
      </c>
      <c r="J383" s="340">
        <f t="shared" si="143"/>
        <v>1.5707921066042954</v>
      </c>
      <c r="K383" s="348">
        <f t="shared" si="159"/>
        <v>5.5335685533523691</v>
      </c>
      <c r="L383" s="349">
        <f t="shared" si="160"/>
        <v>1.3890827419157479</v>
      </c>
      <c r="M383" s="337">
        <f t="shared" si="144"/>
        <v>1.0005170239334826</v>
      </c>
      <c r="N383" s="340">
        <f t="shared" si="145"/>
        <v>3.2149689586767782E-2</v>
      </c>
      <c r="O383" s="341">
        <f t="shared" si="146"/>
        <v>1.0020322751072486</v>
      </c>
      <c r="P383" s="342">
        <f t="shared" si="147"/>
        <v>7.7455736782111886E-2</v>
      </c>
      <c r="Q383" s="343">
        <f t="shared" si="148"/>
        <v>1.4221236647833138</v>
      </c>
      <c r="R383" s="344">
        <f t="shared" si="149"/>
        <v>-56.113605673435138</v>
      </c>
      <c r="S383" s="346">
        <f t="shared" si="150"/>
        <v>123.88639432656487</v>
      </c>
      <c r="U383" s="319">
        <f t="shared" si="156"/>
        <v>1000000000</v>
      </c>
      <c r="V383" s="319">
        <f t="shared" si="157"/>
        <v>1071645696</v>
      </c>
      <c r="X383" s="345">
        <f t="shared" si="151"/>
        <v>5.0694819595153797</v>
      </c>
      <c r="Y383" s="346">
        <f t="shared" si="152"/>
        <v>-12.25322123463612</v>
      </c>
      <c r="AA383" s="345">
        <f t="shared" si="153"/>
        <v>33.185391863362945</v>
      </c>
      <c r="AB383" s="346">
        <f t="shared" si="154"/>
        <v>-43.860384438799031</v>
      </c>
      <c r="AD383">
        <f t="shared" si="158"/>
        <v>0</v>
      </c>
      <c r="AE383">
        <f t="shared" si="161"/>
        <v>0</v>
      </c>
    </row>
    <row r="384" spans="1:31" x14ac:dyDescent="0.2">
      <c r="A384" s="347">
        <v>32924.5</v>
      </c>
      <c r="B384" s="364">
        <f t="shared" si="155"/>
        <v>32.924500000000002</v>
      </c>
      <c r="C384" s="337">
        <f t="shared" si="136"/>
        <v>1.299618105325727</v>
      </c>
      <c r="D384" s="338">
        <f t="shared" si="137"/>
        <v>0.69280607662627114</v>
      </c>
      <c r="E384" s="338">
        <f t="shared" si="138"/>
        <v>1.000001890703436</v>
      </c>
      <c r="F384" s="339">
        <f t="shared" si="139"/>
        <v>1.9445824523669285E-3</v>
      </c>
      <c r="G384" s="338">
        <f t="shared" si="140"/>
        <v>1</v>
      </c>
      <c r="H384" s="339">
        <f t="shared" si="141"/>
        <v>0</v>
      </c>
      <c r="I384" s="337">
        <f t="shared" si="142"/>
        <v>238320.55984187772</v>
      </c>
      <c r="J384" s="340">
        <f t="shared" si="143"/>
        <v>1.5707921307658144</v>
      </c>
      <c r="K384" s="348">
        <f t="shared" si="159"/>
        <v>5.5643941643802419</v>
      </c>
      <c r="L384" s="349">
        <f t="shared" si="160"/>
        <v>1.3901005313922006</v>
      </c>
      <c r="M384" s="337">
        <f t="shared" si="144"/>
        <v>1.0005229937562914</v>
      </c>
      <c r="N384" s="340">
        <f t="shared" si="145"/>
        <v>3.2334684862512342E-2</v>
      </c>
      <c r="O384" s="341">
        <f t="shared" si="146"/>
        <v>1.0020557283610128</v>
      </c>
      <c r="P384" s="342">
        <f t="shared" si="147"/>
        <v>7.7900816186002378E-2</v>
      </c>
      <c r="Q384" s="343">
        <f t="shared" si="148"/>
        <v>1.3999737475909937</v>
      </c>
      <c r="R384" s="344">
        <f t="shared" si="149"/>
        <v>-56.252342908710951</v>
      </c>
      <c r="S384" s="346">
        <f t="shared" si="150"/>
        <v>123.74765709128906</v>
      </c>
      <c r="U384" s="319">
        <f t="shared" si="156"/>
        <v>1000000000</v>
      </c>
      <c r="V384" s="319">
        <f t="shared" si="157"/>
        <v>1084022700.25</v>
      </c>
      <c r="X384" s="345">
        <f t="shared" si="151"/>
        <v>5.067810443369325</v>
      </c>
      <c r="Y384" s="346">
        <f t="shared" si="152"/>
        <v>-12.205507026031112</v>
      </c>
      <c r="AA384" s="345">
        <f t="shared" si="153"/>
        <v>33.164913462316676</v>
      </c>
      <c r="AB384" s="346">
        <f t="shared" si="154"/>
        <v>-44.046835882679815</v>
      </c>
      <c r="AD384">
        <f t="shared" si="158"/>
        <v>0</v>
      </c>
      <c r="AE384">
        <f t="shared" si="161"/>
        <v>0</v>
      </c>
    </row>
    <row r="385" spans="1:31" x14ac:dyDescent="0.2">
      <c r="A385" s="347">
        <v>33113</v>
      </c>
      <c r="B385" s="364">
        <f t="shared" si="155"/>
        <v>33.113</v>
      </c>
      <c r="C385" s="337">
        <f t="shared" si="136"/>
        <v>1.302658527646072</v>
      </c>
      <c r="D385" s="338">
        <f t="shared" si="137"/>
        <v>0.69561317920397758</v>
      </c>
      <c r="E385" s="338">
        <f t="shared" si="138"/>
        <v>1.0000019124147745</v>
      </c>
      <c r="F385" s="339">
        <f t="shared" si="139"/>
        <v>1.9557155860595648E-3</v>
      </c>
      <c r="G385" s="338">
        <f t="shared" si="140"/>
        <v>1</v>
      </c>
      <c r="H385" s="339">
        <f t="shared" si="141"/>
        <v>0</v>
      </c>
      <c r="I385" s="337">
        <f t="shared" si="142"/>
        <v>239684.99743483754</v>
      </c>
      <c r="J385" s="340">
        <f t="shared" si="143"/>
        <v>1.5707921546522481</v>
      </c>
      <c r="K385" s="348">
        <f t="shared" si="159"/>
        <v>5.5952254760227662</v>
      </c>
      <c r="L385" s="349">
        <f t="shared" si="160"/>
        <v>1.3911071052726731</v>
      </c>
      <c r="M385" s="337">
        <f t="shared" si="144"/>
        <v>1.0005289978198415</v>
      </c>
      <c r="N385" s="340">
        <f t="shared" si="145"/>
        <v>3.2519677924315642E-2</v>
      </c>
      <c r="O385" s="341">
        <f t="shared" si="146"/>
        <v>1.0020793158484944</v>
      </c>
      <c r="P385" s="342">
        <f t="shared" si="147"/>
        <v>7.8345879702284529E-2</v>
      </c>
      <c r="Q385" s="343">
        <f t="shared" si="148"/>
        <v>1.3778279831588209</v>
      </c>
      <c r="R385" s="344">
        <f t="shared" si="149"/>
        <v>-56.390968673910244</v>
      </c>
      <c r="S385" s="346">
        <f t="shared" si="150"/>
        <v>123.60903132608976</v>
      </c>
      <c r="U385" s="319">
        <f t="shared" si="156"/>
        <v>1000000000</v>
      </c>
      <c r="V385" s="319">
        <f t="shared" si="157"/>
        <v>1096470769</v>
      </c>
      <c r="X385" s="345">
        <f t="shared" si="151"/>
        <v>5.0661656234148271</v>
      </c>
      <c r="Y385" s="346">
        <f t="shared" si="152"/>
        <v>-12.158435281130508</v>
      </c>
      <c r="AA385" s="345">
        <f t="shared" si="153"/>
        <v>33.144412517839001</v>
      </c>
      <c r="AB385" s="346">
        <f t="shared" si="154"/>
        <v>-44.232533392779757</v>
      </c>
      <c r="AD385">
        <f t="shared" si="158"/>
        <v>0</v>
      </c>
      <c r="AE385">
        <f t="shared" si="161"/>
        <v>0</v>
      </c>
    </row>
    <row r="386" spans="1:31" x14ac:dyDescent="0.2">
      <c r="A386" s="347">
        <v>33305.75</v>
      </c>
      <c r="B386" s="364">
        <f t="shared" si="155"/>
        <v>33.305750000000003</v>
      </c>
      <c r="C386" s="337">
        <f t="shared" si="136"/>
        <v>1.305778065043796</v>
      </c>
      <c r="D386" s="338">
        <f t="shared" si="137"/>
        <v>0.69847003105569139</v>
      </c>
      <c r="E386" s="338">
        <f t="shared" si="138"/>
        <v>1.0000019347437963</v>
      </c>
      <c r="F386" s="339">
        <f t="shared" si="139"/>
        <v>1.9670997315489607E-3</v>
      </c>
      <c r="G386" s="338">
        <f t="shared" si="140"/>
        <v>1</v>
      </c>
      <c r="H386" s="339">
        <f t="shared" si="141"/>
        <v>0</v>
      </c>
      <c r="I386" s="337">
        <f t="shared" si="142"/>
        <v>241080.19820960163</v>
      </c>
      <c r="J386" s="340">
        <f t="shared" si="143"/>
        <v>1.5707921787976433</v>
      </c>
      <c r="K386" s="348">
        <f t="shared" si="159"/>
        <v>5.6267577205658217</v>
      </c>
      <c r="L386" s="349">
        <f t="shared" si="160"/>
        <v>1.3921249660081101</v>
      </c>
      <c r="M386" s="337">
        <f t="shared" si="144"/>
        <v>1.000535172660336</v>
      </c>
      <c r="N386" s="340">
        <f t="shared" si="145"/>
        <v>3.270883961469194E-2</v>
      </c>
      <c r="O386" s="341">
        <f t="shared" si="146"/>
        <v>1.0021035739493183</v>
      </c>
      <c r="P386" s="342">
        <f t="shared" si="147"/>
        <v>7.8800961284853629E-2</v>
      </c>
      <c r="Q386" s="343">
        <f t="shared" si="148"/>
        <v>1.3551873561409113</v>
      </c>
      <c r="R386" s="344">
        <f t="shared" si="149"/>
        <v>-56.532596644055609</v>
      </c>
      <c r="S386" s="346">
        <f t="shared" si="150"/>
        <v>123.46740335594438</v>
      </c>
      <c r="U386" s="319">
        <f t="shared" si="156"/>
        <v>1000000000</v>
      </c>
      <c r="V386" s="319">
        <f t="shared" si="157"/>
        <v>1109272983.0625</v>
      </c>
      <c r="X386" s="345">
        <f t="shared" si="151"/>
        <v>5.0645107063961223</v>
      </c>
      <c r="Y386" s="346">
        <f t="shared" si="152"/>
        <v>-12.110955706737005</v>
      </c>
      <c r="AA386" s="345">
        <f t="shared" si="153"/>
        <v>33.123426807839799</v>
      </c>
      <c r="AB386" s="346">
        <f t="shared" si="154"/>
        <v>-44.421640937318614</v>
      </c>
      <c r="AD386">
        <f t="shared" si="158"/>
        <v>0</v>
      </c>
      <c r="AE386">
        <f t="shared" si="161"/>
        <v>0</v>
      </c>
    </row>
    <row r="387" spans="1:31" x14ac:dyDescent="0.2">
      <c r="A387" s="347">
        <v>33498.5</v>
      </c>
      <c r="B387" s="364">
        <f t="shared" si="155"/>
        <v>33.4985</v>
      </c>
      <c r="C387" s="337">
        <f t="shared" si="136"/>
        <v>1.308908208833369</v>
      </c>
      <c r="D387" s="338">
        <f t="shared" si="137"/>
        <v>0.70131324217891222</v>
      </c>
      <c r="E387" s="338">
        <f t="shared" si="138"/>
        <v>1.000001957202417</v>
      </c>
      <c r="F387" s="339">
        <f t="shared" si="139"/>
        <v>1.9784838765284887E-3</v>
      </c>
      <c r="G387" s="338">
        <f t="shared" si="140"/>
        <v>1</v>
      </c>
      <c r="H387" s="339">
        <f t="shared" si="141"/>
        <v>0</v>
      </c>
      <c r="I387" s="337">
        <f t="shared" si="142"/>
        <v>242475.39898436583</v>
      </c>
      <c r="J387" s="340">
        <f t="shared" si="143"/>
        <v>1.5707922026651737</v>
      </c>
      <c r="K387" s="348">
        <f t="shared" si="159"/>
        <v>5.6582957296809404</v>
      </c>
      <c r="L387" s="349">
        <f t="shared" si="160"/>
        <v>1.3931314811441582</v>
      </c>
      <c r="M387" s="337">
        <f t="shared" si="144"/>
        <v>1.0005413833016827</v>
      </c>
      <c r="N387" s="340">
        <f t="shared" si="145"/>
        <v>3.2897998963477226E-2</v>
      </c>
      <c r="O387" s="341">
        <f t="shared" si="146"/>
        <v>1.0021279723895933</v>
      </c>
      <c r="P387" s="342">
        <f t="shared" si="147"/>
        <v>7.9256026065927979E-2</v>
      </c>
      <c r="Q387" s="343">
        <f t="shared" si="148"/>
        <v>1.3325513854665516</v>
      </c>
      <c r="R387" s="344">
        <f t="shared" si="149"/>
        <v>-56.674092000280439</v>
      </c>
      <c r="S387" s="346">
        <f t="shared" si="150"/>
        <v>123.32590799971956</v>
      </c>
      <c r="U387" s="319">
        <f t="shared" si="156"/>
        <v>1000000000</v>
      </c>
      <c r="V387" s="319">
        <f t="shared" si="157"/>
        <v>1122149502.25</v>
      </c>
      <c r="X387" s="345">
        <f t="shared" si="151"/>
        <v>5.0628824656173652</v>
      </c>
      <c r="Y387" s="346">
        <f t="shared" si="152"/>
        <v>-12.0641260372215</v>
      </c>
      <c r="AA387" s="345">
        <f t="shared" si="153"/>
        <v>33.102419077944191</v>
      </c>
      <c r="AB387" s="346">
        <f t="shared" si="154"/>
        <v>-44.609965963058926</v>
      </c>
      <c r="AD387">
        <f t="shared" si="158"/>
        <v>0</v>
      </c>
      <c r="AE387">
        <f t="shared" si="161"/>
        <v>0</v>
      </c>
    </row>
    <row r="388" spans="1:31" x14ac:dyDescent="0.2">
      <c r="A388" s="347">
        <v>33691.25</v>
      </c>
      <c r="B388" s="364">
        <f t="shared" si="155"/>
        <v>33.691249999999997</v>
      </c>
      <c r="C388" s="337">
        <f t="shared" si="136"/>
        <v>1.3120488831040589</v>
      </c>
      <c r="D388" s="338">
        <f t="shared" si="137"/>
        <v>0.70414286439733731</v>
      </c>
      <c r="E388" s="338">
        <f t="shared" si="138"/>
        <v>1.0000019797906368</v>
      </c>
      <c r="F388" s="339">
        <f t="shared" si="139"/>
        <v>1.9898680209951979E-3</v>
      </c>
      <c r="G388" s="338">
        <f t="shared" si="140"/>
        <v>1</v>
      </c>
      <c r="H388" s="339">
        <f t="shared" si="141"/>
        <v>0</v>
      </c>
      <c r="I388" s="337">
        <f t="shared" si="142"/>
        <v>243870.59975913021</v>
      </c>
      <c r="J388" s="340">
        <f t="shared" si="143"/>
        <v>1.5707922262596088</v>
      </c>
      <c r="K388" s="348">
        <f t="shared" si="159"/>
        <v>5.6898394075113945</v>
      </c>
      <c r="L388" s="349">
        <f t="shared" si="160"/>
        <v>1.3941268373195999</v>
      </c>
      <c r="M388" s="337">
        <f t="shared" si="144"/>
        <v>1.0005476297432145</v>
      </c>
      <c r="N388" s="340">
        <f t="shared" si="145"/>
        <v>3.308715595717851E-2</v>
      </c>
      <c r="O388" s="341">
        <f t="shared" si="146"/>
        <v>1.0021525111614251</v>
      </c>
      <c r="P388" s="342">
        <f t="shared" si="147"/>
        <v>7.9711073949794098E-2</v>
      </c>
      <c r="Q388" s="343">
        <f t="shared" si="148"/>
        <v>1.3099202416371982</v>
      </c>
      <c r="R388" s="344">
        <f t="shared" si="149"/>
        <v>-56.815447012265643</v>
      </c>
      <c r="S388" s="346">
        <f t="shared" si="150"/>
        <v>123.18455298773435</v>
      </c>
      <c r="U388" s="319">
        <f t="shared" si="156"/>
        <v>1000000000</v>
      </c>
      <c r="V388" s="319">
        <f t="shared" si="157"/>
        <v>1135100326.5625</v>
      </c>
      <c r="X388" s="345">
        <f t="shared" si="151"/>
        <v>5.0612803011598286</v>
      </c>
      <c r="Y388" s="346">
        <f t="shared" si="152"/>
        <v>-12.01793557846965</v>
      </c>
      <c r="AA388" s="345">
        <f t="shared" si="153"/>
        <v>33.081390098572378</v>
      </c>
      <c r="AB388" s="346">
        <f t="shared" si="154"/>
        <v>-44.797511433796011</v>
      </c>
      <c r="AD388">
        <f t="shared" si="158"/>
        <v>0</v>
      </c>
      <c r="AE388">
        <f t="shared" si="161"/>
        <v>0</v>
      </c>
    </row>
    <row r="389" spans="1:31" x14ac:dyDescent="0.2">
      <c r="A389" s="347">
        <v>33884</v>
      </c>
      <c r="B389" s="364">
        <f t="shared" si="155"/>
        <v>33.884</v>
      </c>
      <c r="C389" s="337">
        <f t="shared" si="136"/>
        <v>1.3152000124160619</v>
      </c>
      <c r="D389" s="338">
        <f t="shared" si="137"/>
        <v>0.70695894991091202</v>
      </c>
      <c r="E389" s="338">
        <f t="shared" si="138"/>
        <v>1.0000020025084555</v>
      </c>
      <c r="F389" s="339">
        <f t="shared" si="139"/>
        <v>2.0012521649461373E-3</v>
      </c>
      <c r="G389" s="338">
        <f t="shared" si="140"/>
        <v>1</v>
      </c>
      <c r="H389" s="339">
        <f t="shared" si="141"/>
        <v>0</v>
      </c>
      <c r="I389" s="337">
        <f t="shared" si="142"/>
        <v>245265.80053389468</v>
      </c>
      <c r="J389" s="340">
        <f t="shared" si="143"/>
        <v>1.5707922495856084</v>
      </c>
      <c r="K389" s="348">
        <f t="shared" si="159"/>
        <v>5.7213886602973654</v>
      </c>
      <c r="L389" s="349">
        <f t="shared" si="160"/>
        <v>1.3951112171460744</v>
      </c>
      <c r="M389" s="337">
        <f t="shared" si="144"/>
        <v>1.0005539119842615</v>
      </c>
      <c r="N389" s="340">
        <f t="shared" si="145"/>
        <v>3.327631058230382E-2</v>
      </c>
      <c r="O389" s="341">
        <f t="shared" si="146"/>
        <v>1.0021771902568759</v>
      </c>
      <c r="P389" s="342">
        <f t="shared" si="147"/>
        <v>8.0166104840764682E-2</v>
      </c>
      <c r="Q389" s="343">
        <f t="shared" si="148"/>
        <v>1.287294102303991</v>
      </c>
      <c r="R389" s="344">
        <f t="shared" si="149"/>
        <v>-56.956654201983277</v>
      </c>
      <c r="S389" s="346">
        <f t="shared" si="150"/>
        <v>123.04334579801673</v>
      </c>
      <c r="U389" s="319">
        <f t="shared" si="156"/>
        <v>1000000000</v>
      </c>
      <c r="V389" s="319">
        <f t="shared" si="157"/>
        <v>1148125456</v>
      </c>
      <c r="X389" s="345">
        <f t="shared" si="151"/>
        <v>5.0597036295995395</v>
      </c>
      <c r="Y389" s="346">
        <f t="shared" si="152"/>
        <v>-11.972373867099153</v>
      </c>
      <c r="AA389" s="345">
        <f t="shared" si="153"/>
        <v>33.060340630799459</v>
      </c>
      <c r="AB389" s="346">
        <f t="shared" si="154"/>
        <v>-44.984280334884119</v>
      </c>
      <c r="AD389">
        <f t="shared" si="158"/>
        <v>0</v>
      </c>
      <c r="AE389">
        <f t="shared" si="161"/>
        <v>0</v>
      </c>
    </row>
    <row r="390" spans="1:31" x14ac:dyDescent="0.2">
      <c r="A390" s="347">
        <v>34081.5</v>
      </c>
      <c r="B390" s="364">
        <f t="shared" si="155"/>
        <v>34.081499999999998</v>
      </c>
      <c r="C390" s="337">
        <f t="shared" si="136"/>
        <v>1.3184395623053677</v>
      </c>
      <c r="D390" s="338">
        <f t="shared" si="137"/>
        <v>0.70983044689217711</v>
      </c>
      <c r="E390" s="338">
        <f t="shared" si="138"/>
        <v>1.0000020259205458</v>
      </c>
      <c r="F390" s="339">
        <f t="shared" si="139"/>
        <v>2.0129168514654433E-3</v>
      </c>
      <c r="G390" s="338">
        <f t="shared" si="140"/>
        <v>1</v>
      </c>
      <c r="H390" s="339">
        <f t="shared" si="141"/>
        <v>0</v>
      </c>
      <c r="I390" s="337">
        <f t="shared" si="142"/>
        <v>246695.38368832276</v>
      </c>
      <c r="J390" s="340">
        <f t="shared" si="143"/>
        <v>1.5707922732127619</v>
      </c>
      <c r="K390" s="348">
        <f t="shared" si="159"/>
        <v>5.7537210782470183</v>
      </c>
      <c r="L390" s="349">
        <f t="shared" si="160"/>
        <v>1.3961086567862766</v>
      </c>
      <c r="M390" s="337">
        <f t="shared" si="144"/>
        <v>1.0005603861735957</v>
      </c>
      <c r="N390" s="340">
        <f t="shared" si="145"/>
        <v>3.3470124134496015E-2</v>
      </c>
      <c r="O390" s="341">
        <f t="shared" si="146"/>
        <v>1.0022026230721208</v>
      </c>
      <c r="P390" s="342">
        <f t="shared" si="147"/>
        <v>8.063233147751811E-2</v>
      </c>
      <c r="Q390" s="343">
        <f t="shared" si="148"/>
        <v>1.2641157635730358</v>
      </c>
      <c r="R390" s="344">
        <f t="shared" si="149"/>
        <v>-57.101180311921688</v>
      </c>
      <c r="S390" s="346">
        <f t="shared" si="150"/>
        <v>122.89881968807831</v>
      </c>
      <c r="U390" s="319">
        <f t="shared" si="156"/>
        <v>1000000000</v>
      </c>
      <c r="V390" s="319">
        <f t="shared" si="157"/>
        <v>1161548642.25</v>
      </c>
      <c r="X390" s="345">
        <f t="shared" si="151"/>
        <v>5.058113953247898</v>
      </c>
      <c r="Y390" s="346">
        <f t="shared" si="152"/>
        <v>-11.926330837633154</v>
      </c>
      <c r="AA390" s="345">
        <f t="shared" si="153"/>
        <v>33.038751968420151</v>
      </c>
      <c r="AB390" s="346">
        <f t="shared" si="154"/>
        <v>-45.174849474288578</v>
      </c>
      <c r="AD390">
        <f t="shared" si="158"/>
        <v>0</v>
      </c>
      <c r="AE390">
        <f t="shared" si="161"/>
        <v>0</v>
      </c>
    </row>
    <row r="391" spans="1:31" x14ac:dyDescent="0.2">
      <c r="A391" s="347">
        <v>34279</v>
      </c>
      <c r="B391" s="364">
        <f t="shared" si="155"/>
        <v>34.279000000000003</v>
      </c>
      <c r="C391" s="337">
        <f t="shared" si="136"/>
        <v>1.3216899300372345</v>
      </c>
      <c r="D391" s="338">
        <f t="shared" si="137"/>
        <v>0.71268784387216466</v>
      </c>
      <c r="E391" s="338">
        <f t="shared" si="138"/>
        <v>1.0000020494687012</v>
      </c>
      <c r="F391" s="339">
        <f t="shared" si="139"/>
        <v>2.0245815374369735E-3</v>
      </c>
      <c r="G391" s="338">
        <f t="shared" si="140"/>
        <v>1</v>
      </c>
      <c r="H391" s="339">
        <f t="shared" si="141"/>
        <v>0</v>
      </c>
      <c r="I391" s="337">
        <f t="shared" si="142"/>
        <v>248124.96684275102</v>
      </c>
      <c r="J391" s="340">
        <f t="shared" si="143"/>
        <v>1.5707922965676577</v>
      </c>
      <c r="K391" s="348">
        <f t="shared" si="159"/>
        <v>5.7860591565144066</v>
      </c>
      <c r="L391" s="349">
        <f t="shared" si="160"/>
        <v>1.3970949480894559</v>
      </c>
      <c r="M391" s="337">
        <f t="shared" si="144"/>
        <v>1.0005668979471856</v>
      </c>
      <c r="N391" s="340">
        <f t="shared" si="145"/>
        <v>3.3663935171258576E-2</v>
      </c>
      <c r="O391" s="341">
        <f t="shared" si="146"/>
        <v>1.0022282031952643</v>
      </c>
      <c r="P391" s="342">
        <f t="shared" si="147"/>
        <v>8.1098540070219591E-2</v>
      </c>
      <c r="Q391" s="343">
        <f t="shared" si="148"/>
        <v>1.2409430775977599</v>
      </c>
      <c r="R391" s="344">
        <f t="shared" si="149"/>
        <v>-57.245536110416268</v>
      </c>
      <c r="S391" s="346">
        <f t="shared" si="150"/>
        <v>122.75446388958373</v>
      </c>
      <c r="U391" s="319">
        <f t="shared" si="156"/>
        <v>1000000000</v>
      </c>
      <c r="V391" s="319">
        <f t="shared" si="157"/>
        <v>1175049841</v>
      </c>
      <c r="X391" s="345">
        <f t="shared" si="151"/>
        <v>5.0565498523636201</v>
      </c>
      <c r="Y391" s="346">
        <f t="shared" si="152"/>
        <v>-11.880926401105148</v>
      </c>
      <c r="AA391" s="345">
        <f t="shared" si="153"/>
        <v>33.017143383329149</v>
      </c>
      <c r="AB391" s="346">
        <f t="shared" si="154"/>
        <v>-45.364609709311132</v>
      </c>
      <c r="AD391">
        <f t="shared" si="158"/>
        <v>0</v>
      </c>
      <c r="AE391">
        <f t="shared" si="161"/>
        <v>0</v>
      </c>
    </row>
    <row r="392" spans="1:31" x14ac:dyDescent="0.2">
      <c r="A392" s="347">
        <v>34476.5</v>
      </c>
      <c r="B392" s="364">
        <f t="shared" si="155"/>
        <v>34.476500000000001</v>
      </c>
      <c r="C392" s="337">
        <f t="shared" si="136"/>
        <v>1.3249510359967229</v>
      </c>
      <c r="D392" s="338">
        <f t="shared" si="137"/>
        <v>0.7155311981328214</v>
      </c>
      <c r="E392" s="338">
        <f t="shared" si="138"/>
        <v>1.0000020731529216</v>
      </c>
      <c r="F392" s="339">
        <f t="shared" si="139"/>
        <v>2.0362462228575543E-3</v>
      </c>
      <c r="G392" s="338">
        <f t="shared" si="140"/>
        <v>1</v>
      </c>
      <c r="H392" s="339">
        <f t="shared" si="141"/>
        <v>0</v>
      </c>
      <c r="I392" s="337">
        <f t="shared" si="142"/>
        <v>249554.54999717936</v>
      </c>
      <c r="J392" s="340">
        <f t="shared" si="143"/>
        <v>1.5707923196549747</v>
      </c>
      <c r="K392" s="348">
        <f t="shared" si="159"/>
        <v>5.8184028007211577</v>
      </c>
      <c r="L392" s="349">
        <f t="shared" si="160"/>
        <v>1.3980702750364571</v>
      </c>
      <c r="M392" s="337">
        <f t="shared" si="144"/>
        <v>1.000573447304298</v>
      </c>
      <c r="N392" s="340">
        <f t="shared" si="145"/>
        <v>3.3857743678080601E-2</v>
      </c>
      <c r="O392" s="341">
        <f t="shared" si="146"/>
        <v>1.002253930617621</v>
      </c>
      <c r="P392" s="342">
        <f t="shared" si="147"/>
        <v>8.1564730516018258E-2</v>
      </c>
      <c r="Q392" s="343">
        <f t="shared" si="148"/>
        <v>1.2177762557395329</v>
      </c>
      <c r="R392" s="344">
        <f t="shared" si="149"/>
        <v>-57.389714331698734</v>
      </c>
      <c r="S392" s="346">
        <f t="shared" si="150"/>
        <v>122.61028566830126</v>
      </c>
      <c r="U392" s="319">
        <f t="shared" si="156"/>
        <v>1000000000</v>
      </c>
      <c r="V392" s="319">
        <f t="shared" si="157"/>
        <v>1188629052.25</v>
      </c>
      <c r="X392" s="345">
        <f t="shared" si="151"/>
        <v>5.0550107497435306</v>
      </c>
      <c r="Y392" s="346">
        <f t="shared" si="152"/>
        <v>-11.836150015625892</v>
      </c>
      <c r="AA392" s="345">
        <f t="shared" si="153"/>
        <v>32.995515664091016</v>
      </c>
      <c r="AB392" s="346">
        <f t="shared" si="154"/>
        <v>-45.553564316072858</v>
      </c>
      <c r="AD392">
        <f t="shared" si="158"/>
        <v>0</v>
      </c>
      <c r="AE392">
        <f t="shared" si="161"/>
        <v>0</v>
      </c>
    </row>
    <row r="393" spans="1:31" x14ac:dyDescent="0.2">
      <c r="A393" s="347">
        <v>34674</v>
      </c>
      <c r="B393" s="364">
        <f t="shared" si="155"/>
        <v>34.673999999999999</v>
      </c>
      <c r="C393" s="337">
        <f t="shared" si="136"/>
        <v>1.3282228010890524</v>
      </c>
      <c r="D393" s="338">
        <f t="shared" si="137"/>
        <v>0.71836056730271325</v>
      </c>
      <c r="E393" s="338">
        <f t="shared" si="138"/>
        <v>1.0000020969732075</v>
      </c>
      <c r="F393" s="339">
        <f t="shared" si="139"/>
        <v>2.0479109077240105E-3</v>
      </c>
      <c r="G393" s="338">
        <f t="shared" si="140"/>
        <v>1</v>
      </c>
      <c r="H393" s="339">
        <f t="shared" si="141"/>
        <v>0</v>
      </c>
      <c r="I393" s="337">
        <f t="shared" si="142"/>
        <v>250984.13315160785</v>
      </c>
      <c r="J393" s="340">
        <f t="shared" si="143"/>
        <v>1.5707923424792849</v>
      </c>
      <c r="K393" s="348">
        <f t="shared" si="159"/>
        <v>5.8507519185597712</v>
      </c>
      <c r="L393" s="349">
        <f t="shared" si="160"/>
        <v>1.3990348176236609</v>
      </c>
      <c r="M393" s="337">
        <f t="shared" si="144"/>
        <v>1.0005800342441944</v>
      </c>
      <c r="N393" s="340">
        <f t="shared" si="145"/>
        <v>3.4051549640452351E-2</v>
      </c>
      <c r="O393" s="341">
        <f t="shared" si="146"/>
        <v>1.0022798053304565</v>
      </c>
      <c r="P393" s="342">
        <f t="shared" si="147"/>
        <v>8.2030902712092651E-2</v>
      </c>
      <c r="Q393" s="343">
        <f t="shared" si="148"/>
        <v>1.1946155152168025</v>
      </c>
      <c r="R393" s="344">
        <f t="shared" si="149"/>
        <v>-57.53370795814935</v>
      </c>
      <c r="S393" s="346">
        <f t="shared" si="150"/>
        <v>122.46629204185065</v>
      </c>
      <c r="U393" s="319">
        <f t="shared" si="156"/>
        <v>1000000000</v>
      </c>
      <c r="V393" s="319">
        <f t="shared" si="157"/>
        <v>1202286276</v>
      </c>
      <c r="X393" s="345">
        <f t="shared" si="151"/>
        <v>5.0534960840969898</v>
      </c>
      <c r="Y393" s="346">
        <f t="shared" si="152"/>
        <v>-11.791991367593038</v>
      </c>
      <c r="AA393" s="345">
        <f t="shared" si="153"/>
        <v>32.973869589214821</v>
      </c>
      <c r="AB393" s="346">
        <f t="shared" si="154"/>
        <v>-45.741716590556294</v>
      </c>
      <c r="AD393">
        <f t="shared" si="158"/>
        <v>0</v>
      </c>
      <c r="AE393">
        <f t="shared" si="161"/>
        <v>0</v>
      </c>
    </row>
    <row r="394" spans="1:31" x14ac:dyDescent="0.2">
      <c r="A394" s="347">
        <v>34875.75</v>
      </c>
      <c r="B394" s="364">
        <f t="shared" si="155"/>
        <v>34.875749999999996</v>
      </c>
      <c r="C394" s="337">
        <f t="shared" si="136"/>
        <v>1.3315758952062642</v>
      </c>
      <c r="D394" s="338">
        <f t="shared" si="137"/>
        <v>0.72123644215968108</v>
      </c>
      <c r="E394" s="338">
        <f t="shared" si="138"/>
        <v>1.0000021214465702</v>
      </c>
      <c r="F394" s="339">
        <f t="shared" si="139"/>
        <v>2.0598266042210151E-3</v>
      </c>
      <c r="G394" s="338">
        <f t="shared" si="140"/>
        <v>1</v>
      </c>
      <c r="H394" s="339">
        <f t="shared" si="141"/>
        <v>0</v>
      </c>
      <c r="I394" s="337">
        <f t="shared" si="142"/>
        <v>252444.47948784061</v>
      </c>
      <c r="J394" s="340">
        <f t="shared" si="143"/>
        <v>1.5707923655278409</v>
      </c>
      <c r="K394" s="348">
        <f t="shared" si="159"/>
        <v>5.8838027143495824</v>
      </c>
      <c r="L394" s="349">
        <f t="shared" si="160"/>
        <v>1.4000091643578818</v>
      </c>
      <c r="M394" s="337">
        <f t="shared" si="144"/>
        <v>1.0005868017321959</v>
      </c>
      <c r="N394" s="340">
        <f t="shared" si="145"/>
        <v>3.4249523468617045E-2</v>
      </c>
      <c r="O394" s="341">
        <f t="shared" si="146"/>
        <v>1.0023063889106703</v>
      </c>
      <c r="P394" s="342">
        <f t="shared" si="147"/>
        <v>8.2507087511835664E-2</v>
      </c>
      <c r="Q394" s="343">
        <f t="shared" si="148"/>
        <v>1.1709628895860167</v>
      </c>
      <c r="R394" s="344">
        <f t="shared" si="149"/>
        <v>-57.680602539943187</v>
      </c>
      <c r="S394" s="346">
        <f t="shared" si="150"/>
        <v>122.31939746005682</v>
      </c>
      <c r="U394" s="319">
        <f t="shared" si="156"/>
        <v>1000000000</v>
      </c>
      <c r="V394" s="319">
        <f t="shared" si="157"/>
        <v>1216317938.0625</v>
      </c>
      <c r="X394" s="345">
        <f t="shared" si="151"/>
        <v>5.0519734881940224</v>
      </c>
      <c r="Y394" s="346">
        <f t="shared" si="152"/>
        <v>-11.747509797281866</v>
      </c>
      <c r="AA394" s="345">
        <f t="shared" si="153"/>
        <v>32.951739559487002</v>
      </c>
      <c r="AB394" s="346">
        <f t="shared" si="154"/>
        <v>-45.933092742661344</v>
      </c>
      <c r="AD394">
        <f t="shared" si="158"/>
        <v>0</v>
      </c>
      <c r="AE394">
        <f t="shared" si="161"/>
        <v>0</v>
      </c>
    </row>
    <row r="395" spans="1:31" x14ac:dyDescent="0.2">
      <c r="A395" s="347">
        <v>35077.5</v>
      </c>
      <c r="B395" s="364">
        <f t="shared" si="155"/>
        <v>35.077500000000001</v>
      </c>
      <c r="C395" s="337">
        <f t="shared" si="136"/>
        <v>1.334939946952115</v>
      </c>
      <c r="D395" s="338">
        <f t="shared" si="137"/>
        <v>0.72409784616063932</v>
      </c>
      <c r="E395" s="338">
        <f t="shared" si="138"/>
        <v>1.0000021460619171</v>
      </c>
      <c r="F395" s="339">
        <f t="shared" si="139"/>
        <v>2.0717423001330943E-3</v>
      </c>
      <c r="G395" s="338">
        <f t="shared" si="140"/>
        <v>1</v>
      </c>
      <c r="H395" s="339">
        <f t="shared" si="141"/>
        <v>0</v>
      </c>
      <c r="I395" s="337">
        <f t="shared" si="142"/>
        <v>253904.82582407354</v>
      </c>
      <c r="J395" s="340">
        <f t="shared" si="143"/>
        <v>1.5707923883112669</v>
      </c>
      <c r="K395" s="348">
        <f t="shared" si="159"/>
        <v>5.9168590335305415</v>
      </c>
      <c r="L395" s="349">
        <f t="shared" si="160"/>
        <v>1.4009726250339325</v>
      </c>
      <c r="M395" s="337">
        <f t="shared" si="144"/>
        <v>1.0005936084363021</v>
      </c>
      <c r="N395" s="340">
        <f t="shared" si="145"/>
        <v>3.4447494611041199E-2</v>
      </c>
      <c r="O395" s="341">
        <f t="shared" si="146"/>
        <v>1.0023331261700705</v>
      </c>
      <c r="P395" s="342">
        <f t="shared" si="147"/>
        <v>8.2983253051169575E-2</v>
      </c>
      <c r="Q395" s="343">
        <f t="shared" si="148"/>
        <v>1.1473170848075211</v>
      </c>
      <c r="R395" s="344">
        <f t="shared" si="149"/>
        <v>-57.82729045537117</v>
      </c>
      <c r="S395" s="346">
        <f t="shared" si="150"/>
        <v>122.17270954462883</v>
      </c>
      <c r="U395" s="319">
        <f t="shared" si="156"/>
        <v>1000000000</v>
      </c>
      <c r="V395" s="319">
        <f t="shared" si="157"/>
        <v>1230431006.25</v>
      </c>
      <c r="X395" s="345">
        <f t="shared" si="151"/>
        <v>5.0504752568414943</v>
      </c>
      <c r="Y395" s="346">
        <f t="shared" si="152"/>
        <v>-11.703651783087661</v>
      </c>
      <c r="AA395" s="345">
        <f t="shared" si="153"/>
        <v>32.929591986061034</v>
      </c>
      <c r="AB395" s="346">
        <f t="shared" si="154"/>
        <v>-46.123638672283512</v>
      </c>
      <c r="AD395">
        <f t="shared" si="158"/>
        <v>0</v>
      </c>
      <c r="AE395">
        <f t="shared" si="161"/>
        <v>0</v>
      </c>
    </row>
    <row r="396" spans="1:31" x14ac:dyDescent="0.2">
      <c r="A396" s="347">
        <v>35279.25</v>
      </c>
      <c r="B396" s="364">
        <f t="shared" si="155"/>
        <v>35.279249999999998</v>
      </c>
      <c r="C396" s="337">
        <f t="shared" si="136"/>
        <v>1.338314873695762</v>
      </c>
      <c r="D396" s="338">
        <f t="shared" si="137"/>
        <v>0.72694484174948037</v>
      </c>
      <c r="E396" s="338">
        <f t="shared" si="138"/>
        <v>1.0000021708192479</v>
      </c>
      <c r="F396" s="339">
        <f t="shared" si="139"/>
        <v>2.083657995456865E-3</v>
      </c>
      <c r="G396" s="338">
        <f t="shared" si="140"/>
        <v>1</v>
      </c>
      <c r="H396" s="339">
        <f t="shared" si="141"/>
        <v>0</v>
      </c>
      <c r="I396" s="337">
        <f t="shared" si="142"/>
        <v>255365.1721603066</v>
      </c>
      <c r="J396" s="340">
        <f t="shared" si="143"/>
        <v>1.5707924108341118</v>
      </c>
      <c r="K396" s="348">
        <f t="shared" si="159"/>
        <v>5.9499207840427761</v>
      </c>
      <c r="L396" s="349">
        <f t="shared" si="160"/>
        <v>1.4019253793187856</v>
      </c>
      <c r="M396" s="337">
        <f t="shared" si="144"/>
        <v>1.0006004543557117</v>
      </c>
      <c r="N396" s="340">
        <f t="shared" si="145"/>
        <v>3.4645463052261787E-2</v>
      </c>
      <c r="O396" s="341">
        <f t="shared" si="146"/>
        <v>1.0023600170991886</v>
      </c>
      <c r="P396" s="342">
        <f t="shared" si="147"/>
        <v>8.3459399220587496E-2</v>
      </c>
      <c r="Q396" s="343">
        <f t="shared" si="148"/>
        <v>1.1236783484781396</v>
      </c>
      <c r="R396" s="344">
        <f t="shared" si="149"/>
        <v>-57.973764981146033</v>
      </c>
      <c r="S396" s="346">
        <f t="shared" si="150"/>
        <v>122.02623501885397</v>
      </c>
      <c r="U396" s="319">
        <f t="shared" si="156"/>
        <v>1000000000</v>
      </c>
      <c r="V396" s="319">
        <f t="shared" si="157"/>
        <v>1244625480.5625</v>
      </c>
      <c r="X396" s="345">
        <f t="shared" si="151"/>
        <v>5.0490008398501054</v>
      </c>
      <c r="Y396" s="346">
        <f t="shared" si="152"/>
        <v>-11.660407030225837</v>
      </c>
      <c r="AA396" s="345">
        <f t="shared" si="153"/>
        <v>32.907427666723038</v>
      </c>
      <c r="AB396" s="346">
        <f t="shared" si="154"/>
        <v>-46.313357950920206</v>
      </c>
      <c r="AD396">
        <f t="shared" si="158"/>
        <v>0</v>
      </c>
      <c r="AE396">
        <f t="shared" si="161"/>
        <v>0</v>
      </c>
    </row>
    <row r="397" spans="1:31" x14ac:dyDescent="0.2">
      <c r="A397" s="347">
        <v>35481</v>
      </c>
      <c r="B397" s="364">
        <f t="shared" si="155"/>
        <v>35.481000000000002</v>
      </c>
      <c r="C397" s="337">
        <f t="shared" ref="C397:C460" si="162">SQRT(1+(A397/pole1)^2)</f>
        <v>1.3417005933719814</v>
      </c>
      <c r="D397" s="338">
        <f t="shared" ref="D397:D460" si="163">ATAN(A397/pole1)</f>
        <v>0.72977749167712047</v>
      </c>
      <c r="E397" s="338">
        <f t="shared" ref="E397:E460" si="164">SQRT(1+(A397/Zero1)^2)</f>
        <v>1.0000021957185632</v>
      </c>
      <c r="F397" s="339">
        <f t="shared" ref="F397:F460" si="165">ATAN(A397/Zero1)</f>
        <v>2.0955736901889432E-3</v>
      </c>
      <c r="G397" s="338">
        <f t="shared" ref="G397:G460" si="166">IF(VIN_nom&gt;Vout, 1, SQRT(1+(A397/z_RHP)^2))</f>
        <v>1</v>
      </c>
      <c r="H397" s="339">
        <f t="shared" ref="H397:H460" si="167">IF(VIN_nom&gt;Vout, 0, -ATAN(A397/z_RHP))</f>
        <v>0</v>
      </c>
      <c r="I397" s="337">
        <f t="shared" ref="I397:I460" si="168">SQRT(1+(A397/Pole2)^2)</f>
        <v>256825.51849653973</v>
      </c>
      <c r="J397" s="340">
        <f t="shared" ref="J397:J460" si="169">ATAN(A397/Pole2)</f>
        <v>1.5707924331008203</v>
      </c>
      <c r="K397" s="348">
        <f t="shared" si="159"/>
        <v>5.9829878758463328</v>
      </c>
      <c r="L397" s="349">
        <f t="shared" si="160"/>
        <v>1.4028676029861737</v>
      </c>
      <c r="M397" s="337">
        <f t="shared" ref="M397:M460" si="170">SQRT(1+(A397/pole4)^2)</f>
        <v>1.0006073394896204</v>
      </c>
      <c r="N397" s="340">
        <f t="shared" ref="N397:N460" si="171">ATAN(A397/pole4)</f>
        <v>3.4843428776817065E-2</v>
      </c>
      <c r="O397" s="341">
        <f t="shared" ref="O397:O460" si="172">SQRT((1-(V397/pterm2))^2+(A397/pterm1)^2)</f>
        <v>1.0023870616885024</v>
      </c>
      <c r="P397" s="342">
        <f t="shared" ref="P397:P460" si="173">IF((ATAN((A397/pterm1)/(1-A397^2/pterm2))&gt;0),ATAN((A397/pterm1)/(1-A397^2/pterm2)),PI()+ATAN((A397/pterm1)/(1-A397^2/pterm2)))</f>
        <v>8.3935525910615302E-2</v>
      </c>
      <c r="Q397" s="343">
        <f t="shared" ref="Q397:Q460" si="174">20*LOG10(((E397*K397*G397)/(C397*I397*O397*M397))*Adc)</f>
        <v>1.1000469327026292</v>
      </c>
      <c r="R397" s="344">
        <f t="shared" ref="R397:R460" si="175">((F397+L397+H397)-(D397+J397+P397+N397))*radconv</f>
        <v>-58.120019634634012</v>
      </c>
      <c r="S397" s="346">
        <f t="shared" ref="S397:S460" si="176">IF(R397&gt;0,R397,R397+180)</f>
        <v>121.87998036536598</v>
      </c>
      <c r="U397" s="319">
        <f t="shared" si="156"/>
        <v>1000000000</v>
      </c>
      <c r="V397" s="319">
        <f t="shared" si="157"/>
        <v>1258901361</v>
      </c>
      <c r="X397" s="345">
        <f t="shared" ref="X397:X460" si="177">20*LOG10((K397/(I397*M397))*AEA)</f>
        <v>5.0475497021922777</v>
      </c>
      <c r="Y397" s="346">
        <f t="shared" ref="Y397:Y460" si="178">(L397-(J397+N397))*radconv</f>
        <v>-11.617765466972127</v>
      </c>
      <c r="AA397" s="345">
        <f t="shared" ref="AA397:AA460" si="179">20*LOG10((E397*G397/(C397*O397))*Acs*Am)</f>
        <v>32.885247388605364</v>
      </c>
      <c r="AB397" s="346">
        <f t="shared" ref="AB397:AB460" si="180">(F397+H397-(D397+P397))*radconv</f>
        <v>-46.502254167661867</v>
      </c>
      <c r="AD397">
        <f t="shared" si="158"/>
        <v>0</v>
      </c>
      <c r="AE397">
        <f t="shared" si="161"/>
        <v>0</v>
      </c>
    </row>
    <row r="398" spans="1:31" x14ac:dyDescent="0.2">
      <c r="A398" s="347">
        <v>35687.75</v>
      </c>
      <c r="B398" s="364">
        <f t="shared" ref="B398:B461" si="181">A398/1000</f>
        <v>35.687750000000001</v>
      </c>
      <c r="C398" s="337">
        <f t="shared" si="162"/>
        <v>1.3451813340598444</v>
      </c>
      <c r="D398" s="338">
        <f t="shared" si="163"/>
        <v>0.73266552616887448</v>
      </c>
      <c r="E398" s="338">
        <f t="shared" si="164"/>
        <v>1.0000022213822675</v>
      </c>
      <c r="F398" s="339">
        <f t="shared" si="165"/>
        <v>2.1077846927232431E-3</v>
      </c>
      <c r="G398" s="338">
        <f t="shared" si="166"/>
        <v>1</v>
      </c>
      <c r="H398" s="339">
        <f t="shared" si="167"/>
        <v>0</v>
      </c>
      <c r="I398" s="337">
        <f t="shared" si="168"/>
        <v>258322.0568113662</v>
      </c>
      <c r="J398" s="340">
        <f t="shared" si="169"/>
        <v>1.5707924556581754</v>
      </c>
      <c r="K398" s="348">
        <f t="shared" si="159"/>
        <v>6.0168799236364423</v>
      </c>
      <c r="L398" s="349">
        <f t="shared" si="160"/>
        <v>1.4038224324780295</v>
      </c>
      <c r="M398" s="337">
        <f t="shared" si="170"/>
        <v>1.0006144359423013</v>
      </c>
      <c r="N398" s="340">
        <f t="shared" si="171"/>
        <v>3.5046297880452597E-2</v>
      </c>
      <c r="O398" s="341">
        <f t="shared" si="172"/>
        <v>1.0024149359375039</v>
      </c>
      <c r="P398" s="342">
        <f t="shared" si="173"/>
        <v>8.442343219461737E-2</v>
      </c>
      <c r="Q398" s="343">
        <f t="shared" si="174"/>
        <v>1.0758377190237123</v>
      </c>
      <c r="R398" s="344">
        <f t="shared" si="175"/>
        <v>-58.269664290068306</v>
      </c>
      <c r="S398" s="346">
        <f t="shared" si="176"/>
        <v>121.73033570993169</v>
      </c>
      <c r="U398" s="319">
        <f t="shared" ref="U398:U461" si="182">IF(Q398&lt;0,A398,1000000000)</f>
        <v>1000000000</v>
      </c>
      <c r="V398" s="319">
        <f t="shared" ref="V398:V461" si="183">A398^2</f>
        <v>1273615500.0625</v>
      </c>
      <c r="X398" s="345">
        <f t="shared" si="177"/>
        <v>5.0460862084277256</v>
      </c>
      <c r="Y398" s="346">
        <f t="shared" si="178"/>
        <v>-11.574682602758104</v>
      </c>
      <c r="AA398" s="345">
        <f t="shared" si="179"/>
        <v>32.862501668690996</v>
      </c>
      <c r="AB398" s="346">
        <f t="shared" si="180"/>
        <v>-46.694981687310204</v>
      </c>
      <c r="AD398">
        <f t="shared" ref="AD398:AD461" si="184">SUM((Q399&lt;0)*(Q398&gt;0))*A398</f>
        <v>0</v>
      </c>
      <c r="AE398">
        <f t="shared" si="161"/>
        <v>0</v>
      </c>
    </row>
    <row r="399" spans="1:31" x14ac:dyDescent="0.2">
      <c r="A399" s="347">
        <v>35894.5</v>
      </c>
      <c r="B399" s="364">
        <f t="shared" si="181"/>
        <v>35.894500000000001</v>
      </c>
      <c r="C399" s="337">
        <f t="shared" si="162"/>
        <v>1.3486732365917871</v>
      </c>
      <c r="D399" s="338">
        <f t="shared" si="163"/>
        <v>0.73553862947557602</v>
      </c>
      <c r="E399" s="338">
        <f t="shared" si="164"/>
        <v>1.0000022471950809</v>
      </c>
      <c r="F399" s="339">
        <f t="shared" si="165"/>
        <v>2.1199956946289641E-3</v>
      </c>
      <c r="G399" s="338">
        <f t="shared" si="166"/>
        <v>1</v>
      </c>
      <c r="H399" s="339">
        <f t="shared" si="167"/>
        <v>0</v>
      </c>
      <c r="I399" s="337">
        <f t="shared" si="168"/>
        <v>259818.59512619273</v>
      </c>
      <c r="J399" s="340">
        <f t="shared" si="169"/>
        <v>1.5707924779556728</v>
      </c>
      <c r="K399" s="348">
        <f t="shared" si="159"/>
        <v>6.050777395556711</v>
      </c>
      <c r="L399" s="349">
        <f t="shared" si="160"/>
        <v>1.4047665645920497</v>
      </c>
      <c r="M399" s="337">
        <f t="shared" si="170"/>
        <v>1.0006215735755577</v>
      </c>
      <c r="N399" s="340">
        <f t="shared" si="171"/>
        <v>3.5249164098225622E-2</v>
      </c>
      <c r="O399" s="341">
        <f t="shared" si="172"/>
        <v>1.0024429715370267</v>
      </c>
      <c r="P399" s="342">
        <f t="shared" si="173"/>
        <v>8.4911317789065674E-2</v>
      </c>
      <c r="Q399" s="343">
        <f t="shared" si="174"/>
        <v>1.0516367420477093</v>
      </c>
      <c r="R399" s="344">
        <f t="shared" si="175"/>
        <v>-58.419065000592944</v>
      </c>
      <c r="S399" s="346">
        <f t="shared" si="176"/>
        <v>121.58093499940705</v>
      </c>
      <c r="U399" s="319">
        <f t="shared" si="182"/>
        <v>1000000000</v>
      </c>
      <c r="V399" s="319">
        <f t="shared" si="183"/>
        <v>1288415130.25</v>
      </c>
      <c r="X399" s="345">
        <f t="shared" si="177"/>
        <v>5.0446460711879588</v>
      </c>
      <c r="Y399" s="346">
        <f t="shared" si="178"/>
        <v>-11.532212472910114</v>
      </c>
      <c r="AA399" s="345">
        <f t="shared" si="179"/>
        <v>32.839740828954753</v>
      </c>
      <c r="AB399" s="346">
        <f t="shared" si="180"/>
        <v>-46.886852527682827</v>
      </c>
      <c r="AD399">
        <f t="shared" si="184"/>
        <v>0</v>
      </c>
      <c r="AE399">
        <f t="shared" si="161"/>
        <v>0</v>
      </c>
    </row>
    <row r="400" spans="1:31" x14ac:dyDescent="0.2">
      <c r="A400" s="347">
        <v>36101.25</v>
      </c>
      <c r="B400" s="364">
        <f t="shared" si="181"/>
        <v>36.10125</v>
      </c>
      <c r="C400" s="337">
        <f t="shared" si="162"/>
        <v>1.3521762144937166</v>
      </c>
      <c r="D400" s="338">
        <f t="shared" si="163"/>
        <v>0.73839687002344534</v>
      </c>
      <c r="E400" s="338">
        <f t="shared" si="164"/>
        <v>1.0000022731570031</v>
      </c>
      <c r="F400" s="339">
        <f t="shared" si="165"/>
        <v>2.1322066959024648E-3</v>
      </c>
      <c r="G400" s="338">
        <f t="shared" si="166"/>
        <v>1</v>
      </c>
      <c r="H400" s="339">
        <f t="shared" si="167"/>
        <v>0</v>
      </c>
      <c r="I400" s="337">
        <f t="shared" si="168"/>
        <v>261315.13344101945</v>
      </c>
      <c r="J400" s="340">
        <f t="shared" si="169"/>
        <v>1.5707924999977769</v>
      </c>
      <c r="K400" s="348">
        <f t="shared" si="159"/>
        <v>6.0846802009544039</v>
      </c>
      <c r="L400" s="349">
        <f t="shared" si="160"/>
        <v>1.4057001764427621</v>
      </c>
      <c r="M400" s="337">
        <f t="shared" si="170"/>
        <v>1.0006287523885087</v>
      </c>
      <c r="N400" s="340">
        <f t="shared" si="171"/>
        <v>3.5452027413500266E-2</v>
      </c>
      <c r="O400" s="341">
        <f t="shared" si="172"/>
        <v>1.0024711684766481</v>
      </c>
      <c r="P400" s="342">
        <f t="shared" si="173"/>
        <v>8.5399182576251662E-2</v>
      </c>
      <c r="Q400" s="343">
        <f t="shared" si="174"/>
        <v>1.0274442851497538</v>
      </c>
      <c r="R400" s="344">
        <f t="shared" si="175"/>
        <v>-58.568215531385249</v>
      </c>
      <c r="S400" s="346">
        <f t="shared" si="176"/>
        <v>121.43178446861475</v>
      </c>
      <c r="U400" s="319">
        <f t="shared" si="182"/>
        <v>1000000000</v>
      </c>
      <c r="V400" s="319">
        <f t="shared" si="183"/>
        <v>1303300251.5625</v>
      </c>
      <c r="X400" s="345">
        <f t="shared" si="177"/>
        <v>5.0432287610359827</v>
      </c>
      <c r="Y400" s="346">
        <f t="shared" si="178"/>
        <v>-11.490344928815864</v>
      </c>
      <c r="AA400" s="345">
        <f t="shared" si="179"/>
        <v>32.816965682208782</v>
      </c>
      <c r="AB400" s="346">
        <f t="shared" si="180"/>
        <v>-47.077870602569369</v>
      </c>
      <c r="AD400">
        <f t="shared" si="184"/>
        <v>0</v>
      </c>
      <c r="AE400">
        <f t="shared" si="161"/>
        <v>0</v>
      </c>
    </row>
    <row r="401" spans="1:31" x14ac:dyDescent="0.2">
      <c r="A401" s="347">
        <v>36308</v>
      </c>
      <c r="B401" s="364">
        <f t="shared" si="181"/>
        <v>36.308</v>
      </c>
      <c r="C401" s="337">
        <f t="shared" si="162"/>
        <v>1.3556901819124447</v>
      </c>
      <c r="D401" s="338">
        <f t="shared" si="163"/>
        <v>0.74124031650398392</v>
      </c>
      <c r="E401" s="338">
        <f t="shared" si="164"/>
        <v>1.0000022992680342</v>
      </c>
      <c r="F401" s="339">
        <f t="shared" si="165"/>
        <v>2.1444176965401043E-3</v>
      </c>
      <c r="G401" s="338">
        <f t="shared" si="166"/>
        <v>1</v>
      </c>
      <c r="H401" s="339">
        <f t="shared" si="167"/>
        <v>0</v>
      </c>
      <c r="I401" s="337">
        <f t="shared" si="168"/>
        <v>262811.6717558463</v>
      </c>
      <c r="J401" s="340">
        <f t="shared" si="169"/>
        <v>1.5707925217888505</v>
      </c>
      <c r="K401" s="348">
        <f t="shared" si="159"/>
        <v>6.1185882511718912</v>
      </c>
      <c r="L401" s="349">
        <f t="shared" si="160"/>
        <v>1.4066234412928429</v>
      </c>
      <c r="M401" s="337">
        <f t="shared" si="170"/>
        <v>1.0006359723802678</v>
      </c>
      <c r="N401" s="340">
        <f t="shared" si="171"/>
        <v>3.5654887809642093E-2</v>
      </c>
      <c r="O401" s="341">
        <f t="shared" si="172"/>
        <v>1.0024995267458876</v>
      </c>
      <c r="P401" s="342">
        <f t="shared" si="173"/>
        <v>8.5887026438503822E-2</v>
      </c>
      <c r="Q401" s="343">
        <f t="shared" si="174"/>
        <v>1.0032606349383573</v>
      </c>
      <c r="R401" s="344">
        <f t="shared" si="175"/>
        <v>-58.717109883513217</v>
      </c>
      <c r="S401" s="346">
        <f t="shared" si="176"/>
        <v>121.28289011648678</v>
      </c>
      <c r="U401" s="319">
        <f t="shared" si="182"/>
        <v>1000000000</v>
      </c>
      <c r="V401" s="319">
        <f t="shared" si="183"/>
        <v>1318270864</v>
      </c>
      <c r="X401" s="345">
        <f t="shared" si="177"/>
        <v>5.041833763163992</v>
      </c>
      <c r="Y401" s="346">
        <f t="shared" si="178"/>
        <v>-11.449070042552128</v>
      </c>
      <c r="AA401" s="345">
        <f t="shared" si="179"/>
        <v>32.794177029869374</v>
      </c>
      <c r="AB401" s="346">
        <f t="shared" si="180"/>
        <v>-47.268039840961102</v>
      </c>
      <c r="AD401">
        <f t="shared" si="184"/>
        <v>0</v>
      </c>
      <c r="AE401">
        <f t="shared" si="161"/>
        <v>0</v>
      </c>
    </row>
    <row r="402" spans="1:31" x14ac:dyDescent="0.2">
      <c r="A402" s="347">
        <v>36519.5</v>
      </c>
      <c r="B402" s="364">
        <f t="shared" si="181"/>
        <v>36.519500000000001</v>
      </c>
      <c r="C402" s="337">
        <f t="shared" si="162"/>
        <v>1.3592961636237217</v>
      </c>
      <c r="D402" s="338">
        <f t="shared" si="163"/>
        <v>0.74413385412725996</v>
      </c>
      <c r="E402" s="338">
        <f t="shared" si="164"/>
        <v>1.0000023261332427</v>
      </c>
      <c r="F402" s="339">
        <f t="shared" si="165"/>
        <v>2.1569092394568938E-3</v>
      </c>
      <c r="G402" s="338">
        <f t="shared" si="166"/>
        <v>1</v>
      </c>
      <c r="H402" s="339">
        <f t="shared" si="167"/>
        <v>0</v>
      </c>
      <c r="I402" s="337">
        <f t="shared" si="168"/>
        <v>264342.59245033673</v>
      </c>
      <c r="J402" s="340">
        <f t="shared" si="169"/>
        <v>1.5707925438252635</v>
      </c>
      <c r="K402" s="348">
        <f t="shared" si="159"/>
        <v>6.1532806620643798</v>
      </c>
      <c r="L402" s="349">
        <f t="shared" si="160"/>
        <v>1.4075573882029999</v>
      </c>
      <c r="M402" s="337">
        <f t="shared" si="170"/>
        <v>1.0006434008563472</v>
      </c>
      <c r="N402" s="340">
        <f t="shared" si="171"/>
        <v>3.5862405805819356E-2</v>
      </c>
      <c r="O402" s="341">
        <f t="shared" si="172"/>
        <v>1.0025287034561514</v>
      </c>
      <c r="P402" s="342">
        <f t="shared" si="173"/>
        <v>8.6386056547554255E-2</v>
      </c>
      <c r="Q402" s="343">
        <f t="shared" si="174"/>
        <v>0.97853078918760872</v>
      </c>
      <c r="R402" s="344">
        <f t="shared" si="175"/>
        <v>-58.869153935478934</v>
      </c>
      <c r="S402" s="346">
        <f t="shared" si="176"/>
        <v>121.13084606452107</v>
      </c>
      <c r="U402" s="319">
        <f t="shared" si="182"/>
        <v>1000000000</v>
      </c>
      <c r="V402" s="319">
        <f t="shared" si="183"/>
        <v>1333673880.25</v>
      </c>
      <c r="X402" s="345">
        <f t="shared" si="177"/>
        <v>5.0404292809270039</v>
      </c>
      <c r="Y402" s="346">
        <f t="shared" si="178"/>
        <v>-11.407449994210719</v>
      </c>
      <c r="AA402" s="345">
        <f t="shared" si="179"/>
        <v>32.770851666355611</v>
      </c>
      <c r="AB402" s="346">
        <f t="shared" si="180"/>
        <v>-47.461703941268233</v>
      </c>
      <c r="AD402">
        <f t="shared" si="184"/>
        <v>0</v>
      </c>
      <c r="AE402">
        <f t="shared" si="161"/>
        <v>0</v>
      </c>
    </row>
    <row r="403" spans="1:31" x14ac:dyDescent="0.2">
      <c r="A403" s="347">
        <v>36731</v>
      </c>
      <c r="B403" s="364">
        <f t="shared" si="181"/>
        <v>36.731000000000002</v>
      </c>
      <c r="C403" s="337">
        <f t="shared" si="162"/>
        <v>1.3629134658459066</v>
      </c>
      <c r="D403" s="338">
        <f t="shared" si="163"/>
        <v>0.74701205629291723</v>
      </c>
      <c r="E403" s="338">
        <f t="shared" si="164"/>
        <v>1.0000023531544904</v>
      </c>
      <c r="F403" s="339">
        <f t="shared" si="165"/>
        <v>2.1694007817005603E-3</v>
      </c>
      <c r="G403" s="338">
        <f t="shared" si="166"/>
        <v>1</v>
      </c>
      <c r="H403" s="339">
        <f t="shared" si="167"/>
        <v>0</v>
      </c>
      <c r="I403" s="337">
        <f t="shared" si="168"/>
        <v>265873.51314482727</v>
      </c>
      <c r="J403" s="340">
        <f t="shared" si="169"/>
        <v>1.5707925656079014</v>
      </c>
      <c r="K403" s="348">
        <f t="shared" si="159"/>
        <v>6.1879783800132193</v>
      </c>
      <c r="L403" s="349">
        <f t="shared" si="160"/>
        <v>1.4084808621103484</v>
      </c>
      <c r="M403" s="337">
        <f t="shared" si="170"/>
        <v>1.0006508724232117</v>
      </c>
      <c r="N403" s="340">
        <f t="shared" si="171"/>
        <v>3.6069920711980723E-2</v>
      </c>
      <c r="O403" s="341">
        <f t="shared" si="172"/>
        <v>1.0025580489717811</v>
      </c>
      <c r="P403" s="342">
        <f t="shared" si="173"/>
        <v>8.6885064510150697E-2</v>
      </c>
      <c r="Q403" s="343">
        <f t="shared" si="174"/>
        <v>0.95381077489249622</v>
      </c>
      <c r="R403" s="344">
        <f t="shared" si="175"/>
        <v>-59.020917928860754</v>
      </c>
      <c r="S403" s="346">
        <f t="shared" si="176"/>
        <v>120.97908207113925</v>
      </c>
      <c r="U403" s="319">
        <f t="shared" si="182"/>
        <v>1000000000</v>
      </c>
      <c r="V403" s="319">
        <f t="shared" si="183"/>
        <v>1349166361</v>
      </c>
      <c r="X403" s="345">
        <f t="shared" si="177"/>
        <v>5.0390471029560864</v>
      </c>
      <c r="Y403" s="346">
        <f t="shared" si="178"/>
        <v>-11.36642981314464</v>
      </c>
      <c r="AA403" s="345">
        <f t="shared" si="179"/>
        <v>32.747513830031416</v>
      </c>
      <c r="AB403" s="346">
        <f t="shared" si="180"/>
        <v>-47.654488115716113</v>
      </c>
      <c r="AD403">
        <f t="shared" si="184"/>
        <v>0</v>
      </c>
      <c r="AE403">
        <f t="shared" si="161"/>
        <v>0</v>
      </c>
    </row>
    <row r="404" spans="1:31" x14ac:dyDescent="0.2">
      <c r="A404" s="347">
        <v>36942.5</v>
      </c>
      <c r="B404" s="364">
        <f t="shared" si="181"/>
        <v>36.942500000000003</v>
      </c>
      <c r="C404" s="337">
        <f t="shared" si="162"/>
        <v>1.3665419986811962</v>
      </c>
      <c r="D404" s="338">
        <f t="shared" si="163"/>
        <v>0.749874997284527</v>
      </c>
      <c r="E404" s="338">
        <f t="shared" si="164"/>
        <v>1.0000023803317768</v>
      </c>
      <c r="F404" s="339">
        <f t="shared" si="165"/>
        <v>2.1818923232672046E-3</v>
      </c>
      <c r="G404" s="338">
        <f t="shared" si="166"/>
        <v>1</v>
      </c>
      <c r="H404" s="339">
        <f t="shared" si="167"/>
        <v>0</v>
      </c>
      <c r="I404" s="337">
        <f t="shared" si="168"/>
        <v>267404.43383931794</v>
      </c>
      <c r="J404" s="340">
        <f t="shared" si="169"/>
        <v>1.5707925871411232</v>
      </c>
      <c r="K404" s="348">
        <f t="shared" si="159"/>
        <v>6.2226813162418555</v>
      </c>
      <c r="L404" s="349">
        <f t="shared" si="160"/>
        <v>1.4093940366454576</v>
      </c>
      <c r="M404" s="337">
        <f t="shared" si="170"/>
        <v>1.0006583870798962</v>
      </c>
      <c r="N404" s="340">
        <f t="shared" si="171"/>
        <v>3.6277432510323414E-2</v>
      </c>
      <c r="O404" s="341">
        <f t="shared" si="172"/>
        <v>1.0025875632813663</v>
      </c>
      <c r="P404" s="342">
        <f t="shared" si="173"/>
        <v>8.7384050200444777E-2</v>
      </c>
      <c r="Q404" s="343">
        <f t="shared" si="174"/>
        <v>0.92910090691632896</v>
      </c>
      <c r="R404" s="344">
        <f t="shared" si="175"/>
        <v>-59.172396163514328</v>
      </c>
      <c r="S404" s="346">
        <f t="shared" si="176"/>
        <v>120.82760383648568</v>
      </c>
      <c r="U404" s="319">
        <f t="shared" si="182"/>
        <v>1000000000</v>
      </c>
      <c r="V404" s="319">
        <f t="shared" si="183"/>
        <v>1364748306.25</v>
      </c>
      <c r="X404" s="345">
        <f t="shared" si="177"/>
        <v>5.0376867225919808</v>
      </c>
      <c r="Y404" s="346">
        <f t="shared" si="178"/>
        <v>-11.3259995502848</v>
      </c>
      <c r="AA404" s="345">
        <f t="shared" si="179"/>
        <v>32.724164342419357</v>
      </c>
      <c r="AB404" s="346">
        <f t="shared" si="180"/>
        <v>-47.846396613229544</v>
      </c>
      <c r="AD404">
        <f t="shared" si="184"/>
        <v>0</v>
      </c>
      <c r="AE404">
        <f t="shared" si="161"/>
        <v>0</v>
      </c>
    </row>
    <row r="405" spans="1:31" x14ac:dyDescent="0.2">
      <c r="A405" s="347">
        <v>37154</v>
      </c>
      <c r="B405" s="364">
        <f t="shared" si="181"/>
        <v>37.154000000000003</v>
      </c>
      <c r="C405" s="337">
        <f t="shared" si="162"/>
        <v>1.3701816729064284</v>
      </c>
      <c r="D405" s="338">
        <f t="shared" si="163"/>
        <v>0.75272275160071922</v>
      </c>
      <c r="E405" s="338">
        <f t="shared" si="164"/>
        <v>1.0000024076651024</v>
      </c>
      <c r="F405" s="339">
        <f t="shared" si="165"/>
        <v>2.1943838641529287E-3</v>
      </c>
      <c r="G405" s="338">
        <f t="shared" si="166"/>
        <v>1</v>
      </c>
      <c r="H405" s="339">
        <f t="shared" si="167"/>
        <v>0</v>
      </c>
      <c r="I405" s="337">
        <f t="shared" si="168"/>
        <v>268935.35453380877</v>
      </c>
      <c r="J405" s="340">
        <f t="shared" si="169"/>
        <v>1.5707926084291886</v>
      </c>
      <c r="K405" s="348">
        <f t="shared" si="159"/>
        <v>6.2573893839299108</v>
      </c>
      <c r="L405" s="349">
        <f t="shared" si="160"/>
        <v>1.4102970816561486</v>
      </c>
      <c r="M405" s="337">
        <f t="shared" si="170"/>
        <v>1.0006659448254296</v>
      </c>
      <c r="N405" s="340">
        <f t="shared" si="171"/>
        <v>3.6484941183046272E-2</v>
      </c>
      <c r="O405" s="341">
        <f t="shared" si="172"/>
        <v>1.0026172463734322</v>
      </c>
      <c r="P405" s="342">
        <f t="shared" si="173"/>
        <v>8.7883013492629586E-2</v>
      </c>
      <c r="Q405" s="343">
        <f t="shared" si="174"/>
        <v>0.90440150206998382</v>
      </c>
      <c r="R405" s="344">
        <f t="shared" si="175"/>
        <v>-59.323583168349565</v>
      </c>
      <c r="S405" s="346">
        <f t="shared" si="176"/>
        <v>120.67641683165044</v>
      </c>
      <c r="U405" s="319">
        <f t="shared" si="182"/>
        <v>1000000000</v>
      </c>
      <c r="V405" s="319">
        <f t="shared" si="183"/>
        <v>1380419716</v>
      </c>
      <c r="X405" s="345">
        <f t="shared" si="177"/>
        <v>5.0363476471876147</v>
      </c>
      <c r="Y405" s="346">
        <f t="shared" si="178"/>
        <v>-11.286149473292001</v>
      </c>
      <c r="AA405" s="345">
        <f t="shared" si="179"/>
        <v>32.700804012977379</v>
      </c>
      <c r="AB405" s="346">
        <f t="shared" si="180"/>
        <v>-48.03743369505758</v>
      </c>
      <c r="AD405">
        <f t="shared" si="184"/>
        <v>0</v>
      </c>
      <c r="AE405">
        <f t="shared" si="161"/>
        <v>0</v>
      </c>
    </row>
    <row r="406" spans="1:31" x14ac:dyDescent="0.2">
      <c r="A406" s="347">
        <v>37370.25</v>
      </c>
      <c r="B406" s="364">
        <f t="shared" si="181"/>
        <v>37.370249999999999</v>
      </c>
      <c r="C406" s="337">
        <f t="shared" si="162"/>
        <v>1.3739145165174016</v>
      </c>
      <c r="D406" s="338">
        <f t="shared" si="163"/>
        <v>0.7556188382709268</v>
      </c>
      <c r="E406" s="338">
        <f t="shared" si="164"/>
        <v>1.0000024357736319</v>
      </c>
      <c r="F406" s="339">
        <f t="shared" si="165"/>
        <v>2.2071559472109747E-3</v>
      </c>
      <c r="G406" s="338">
        <f t="shared" si="166"/>
        <v>1</v>
      </c>
      <c r="H406" s="339">
        <f t="shared" si="167"/>
        <v>0</v>
      </c>
      <c r="I406" s="337">
        <f t="shared" si="168"/>
        <v>270500.65760796325</v>
      </c>
      <c r="J406" s="340">
        <f t="shared" si="169"/>
        <v>1.5707926299462129</v>
      </c>
      <c r="K406" s="348">
        <f t="shared" si="159"/>
        <v>6.292882164403915</v>
      </c>
      <c r="L406" s="349">
        <f t="shared" si="160"/>
        <v>1.4112101075690962</v>
      </c>
      <c r="M406" s="337">
        <f t="shared" si="170"/>
        <v>1.0006737168578386</v>
      </c>
      <c r="N406" s="340">
        <f t="shared" si="171"/>
        <v>3.6697106965785965E-2</v>
      </c>
      <c r="O406" s="341">
        <f t="shared" si="172"/>
        <v>1.0026477706060062</v>
      </c>
      <c r="P406" s="342">
        <f t="shared" si="173"/>
        <v>8.8393159526887879E-2</v>
      </c>
      <c r="Q406" s="343">
        <f t="shared" si="174"/>
        <v>0.87915853239167197</v>
      </c>
      <c r="R406" s="344">
        <f t="shared" si="175"/>
        <v>-59.477859045421177</v>
      </c>
      <c r="S406" s="346">
        <f t="shared" si="176"/>
        <v>120.52214095457882</v>
      </c>
      <c r="U406" s="319">
        <f t="shared" si="182"/>
        <v>1000000000</v>
      </c>
      <c r="V406" s="319">
        <f t="shared" si="183"/>
        <v>1396535585.0625</v>
      </c>
      <c r="X406" s="345">
        <f t="shared" si="177"/>
        <v>5.0350000270516659</v>
      </c>
      <c r="Y406" s="346">
        <f t="shared" si="178"/>
        <v>-11.245994378590902</v>
      </c>
      <c r="AA406" s="345">
        <f t="shared" si="179"/>
        <v>32.676908663435015</v>
      </c>
      <c r="AB406" s="346">
        <f t="shared" si="180"/>
        <v>-48.231864666830262</v>
      </c>
      <c r="AD406">
        <f t="shared" si="184"/>
        <v>0</v>
      </c>
      <c r="AE406">
        <f t="shared" si="161"/>
        <v>0</v>
      </c>
    </row>
    <row r="407" spans="1:31" x14ac:dyDescent="0.2">
      <c r="A407" s="347">
        <v>37586.5</v>
      </c>
      <c r="B407" s="364">
        <f t="shared" si="181"/>
        <v>37.586500000000001</v>
      </c>
      <c r="C407" s="337">
        <f t="shared" si="162"/>
        <v>1.3776588210832208</v>
      </c>
      <c r="D407" s="338">
        <f t="shared" si="163"/>
        <v>0.75849920658700809</v>
      </c>
      <c r="E407" s="338">
        <f t="shared" si="164"/>
        <v>1.0000024640452878</v>
      </c>
      <c r="F407" s="339">
        <f t="shared" si="165"/>
        <v>2.2199280295489296E-3</v>
      </c>
      <c r="G407" s="338">
        <f t="shared" si="166"/>
        <v>1</v>
      </c>
      <c r="H407" s="339">
        <f t="shared" si="167"/>
        <v>0</v>
      </c>
      <c r="I407" s="337">
        <f t="shared" si="168"/>
        <v>272065.96068211785</v>
      </c>
      <c r="J407" s="340">
        <f t="shared" si="169"/>
        <v>1.5707926512156456</v>
      </c>
      <c r="K407" s="348">
        <f t="shared" ref="K407:K470" si="185">SQRT(1+(A407/Zero2)^2)</f>
        <v>6.3283801318818504</v>
      </c>
      <c r="L407" s="349">
        <f t="shared" ref="L407:L470" si="186">ATAN(A407/Zero2)</f>
        <v>1.4121128913017675</v>
      </c>
      <c r="M407" s="337">
        <f t="shared" si="170"/>
        <v>1.0006815339341928</v>
      </c>
      <c r="N407" s="340">
        <f t="shared" si="171"/>
        <v>3.6909269443302757E-2</v>
      </c>
      <c r="O407" s="341">
        <f t="shared" si="172"/>
        <v>1.0026784712629724</v>
      </c>
      <c r="P407" s="342">
        <f t="shared" si="173"/>
        <v>8.8903281879814763E-2</v>
      </c>
      <c r="Q407" s="343">
        <f t="shared" si="174"/>
        <v>0.85392717566921905</v>
      </c>
      <c r="R407" s="344">
        <f t="shared" si="175"/>
        <v>-59.631819600482537</v>
      </c>
      <c r="S407" s="346">
        <f t="shared" si="176"/>
        <v>120.36818039951746</v>
      </c>
      <c r="U407" s="319">
        <f t="shared" si="182"/>
        <v>1000000000</v>
      </c>
      <c r="V407" s="319">
        <f t="shared" si="183"/>
        <v>1412744982.25</v>
      </c>
      <c r="X407" s="345">
        <f t="shared" si="177"/>
        <v>5.0336736808358342</v>
      </c>
      <c r="Y407" s="346">
        <f t="shared" si="178"/>
        <v>-11.206425914032032</v>
      </c>
      <c r="AA407" s="345">
        <f t="shared" si="179"/>
        <v>32.65300365292839</v>
      </c>
      <c r="AB407" s="346">
        <f t="shared" si="180"/>
        <v>-48.425393686450498</v>
      </c>
      <c r="AD407">
        <f t="shared" si="184"/>
        <v>0</v>
      </c>
      <c r="AE407">
        <f t="shared" si="161"/>
        <v>0</v>
      </c>
    </row>
    <row r="408" spans="1:31" x14ac:dyDescent="0.2">
      <c r="A408" s="347">
        <v>37802.75</v>
      </c>
      <c r="B408" s="364">
        <f t="shared" si="181"/>
        <v>37.802750000000003</v>
      </c>
      <c r="C408" s="337">
        <f t="shared" si="162"/>
        <v>1.3814144934096182</v>
      </c>
      <c r="D408" s="338">
        <f t="shared" si="163"/>
        <v>0.76136393676176983</v>
      </c>
      <c r="E408" s="338">
        <f t="shared" si="164"/>
        <v>1.0000024924800701</v>
      </c>
      <c r="F408" s="339">
        <f t="shared" si="165"/>
        <v>2.2327001111626266E-3</v>
      </c>
      <c r="G408" s="338">
        <f t="shared" si="166"/>
        <v>1</v>
      </c>
      <c r="H408" s="339">
        <f t="shared" si="167"/>
        <v>0</v>
      </c>
      <c r="I408" s="337">
        <f t="shared" si="168"/>
        <v>273631.2637562725</v>
      </c>
      <c r="J408" s="340">
        <f t="shared" si="169"/>
        <v>1.5707926722417354</v>
      </c>
      <c r="K408" s="348">
        <f t="shared" si="185"/>
        <v>6.3638831995638396</v>
      </c>
      <c r="L408" s="349">
        <f t="shared" si="186"/>
        <v>1.4130056027885067</v>
      </c>
      <c r="M408" s="337">
        <f t="shared" si="170"/>
        <v>1.0006893960534369</v>
      </c>
      <c r="N408" s="340">
        <f t="shared" si="171"/>
        <v>3.7121428596574246E-2</v>
      </c>
      <c r="O408" s="341">
        <f t="shared" si="172"/>
        <v>1.0027093483318572</v>
      </c>
      <c r="P408" s="342">
        <f t="shared" si="173"/>
        <v>8.941338041707074E-2</v>
      </c>
      <c r="Q408" s="343">
        <f t="shared" si="174"/>
        <v>0.82870777462526535</v>
      </c>
      <c r="R408" s="344">
        <f t="shared" si="175"/>
        <v>-59.785459684324934</v>
      </c>
      <c r="S408" s="346">
        <f t="shared" si="176"/>
        <v>120.21454031567507</v>
      </c>
      <c r="U408" s="319">
        <f t="shared" si="182"/>
        <v>1000000000</v>
      </c>
      <c r="V408" s="319">
        <f t="shared" si="183"/>
        <v>1429047907.5625</v>
      </c>
      <c r="X408" s="345">
        <f t="shared" si="177"/>
        <v>5.032368124449488</v>
      </c>
      <c r="Y408" s="346">
        <f t="shared" si="178"/>
        <v>-11.167434342248191</v>
      </c>
      <c r="AA408" s="345">
        <f t="shared" si="179"/>
        <v>32.629089808270784</v>
      </c>
      <c r="AB408" s="346">
        <f t="shared" si="180"/>
        <v>-48.618025342076734</v>
      </c>
      <c r="AD408">
        <f t="shared" si="184"/>
        <v>0</v>
      </c>
      <c r="AE408">
        <f t="shared" si="161"/>
        <v>0</v>
      </c>
    </row>
    <row r="409" spans="1:31" x14ac:dyDescent="0.2">
      <c r="A409" s="347">
        <v>38019</v>
      </c>
      <c r="B409" s="364">
        <f t="shared" si="181"/>
        <v>38.018999999999998</v>
      </c>
      <c r="C409" s="337">
        <f t="shared" si="162"/>
        <v>1.3851814410316332</v>
      </c>
      <c r="D409" s="338">
        <f t="shared" si="163"/>
        <v>0.76421310916612406</v>
      </c>
      <c r="E409" s="338">
        <f t="shared" si="164"/>
        <v>1.000002521077979</v>
      </c>
      <c r="F409" s="339">
        <f t="shared" si="165"/>
        <v>2.2454721920479002E-3</v>
      </c>
      <c r="G409" s="338">
        <f t="shared" si="166"/>
        <v>1</v>
      </c>
      <c r="H409" s="339">
        <f t="shared" si="167"/>
        <v>0</v>
      </c>
      <c r="I409" s="337">
        <f t="shared" si="168"/>
        <v>275196.56683042733</v>
      </c>
      <c r="J409" s="340">
        <f t="shared" si="169"/>
        <v>1.5707926930286344</v>
      </c>
      <c r="K409" s="348">
        <f t="shared" si="185"/>
        <v>6.3993912825638928</v>
      </c>
      <c r="L409" s="349">
        <f t="shared" si="186"/>
        <v>1.4138884082570542</v>
      </c>
      <c r="M409" s="337">
        <f t="shared" si="170"/>
        <v>1.000697303214509</v>
      </c>
      <c r="N409" s="340">
        <f t="shared" si="171"/>
        <v>3.7333584406579801E-2</v>
      </c>
      <c r="O409" s="341">
        <f t="shared" si="172"/>
        <v>1.0027404018001169</v>
      </c>
      <c r="P409" s="342">
        <f t="shared" si="173"/>
        <v>8.9923455004362621E-2</v>
      </c>
      <c r="Q409" s="343">
        <f t="shared" si="174"/>
        <v>0.80350067266871128</v>
      </c>
      <c r="R409" s="344">
        <f t="shared" si="175"/>
        <v>-59.938774369168385</v>
      </c>
      <c r="S409" s="346">
        <f t="shared" si="176"/>
        <v>120.06122563083161</v>
      </c>
      <c r="U409" s="319">
        <f t="shared" si="182"/>
        <v>1000000000</v>
      </c>
      <c r="V409" s="319">
        <f t="shared" si="183"/>
        <v>1445444361</v>
      </c>
      <c r="X409" s="345">
        <f t="shared" si="177"/>
        <v>5.0310828871947022</v>
      </c>
      <c r="Y409" s="346">
        <f t="shared" si="178"/>
        <v>-11.129010138239538</v>
      </c>
      <c r="AA409" s="345">
        <f t="shared" si="179"/>
        <v>32.605167943569015</v>
      </c>
      <c r="AB409" s="346">
        <f t="shared" si="180"/>
        <v>-48.809764230928849</v>
      </c>
      <c r="AD409">
        <f t="shared" si="184"/>
        <v>0</v>
      </c>
      <c r="AE409">
        <f t="shared" si="161"/>
        <v>0</v>
      </c>
    </row>
    <row r="410" spans="1:31" x14ac:dyDescent="0.2">
      <c r="A410" s="347">
        <v>38240.5</v>
      </c>
      <c r="B410" s="364">
        <f t="shared" si="181"/>
        <v>38.240499999999997</v>
      </c>
      <c r="C410" s="337">
        <f t="shared" si="162"/>
        <v>1.3890514339121034</v>
      </c>
      <c r="D410" s="338">
        <f t="shared" si="163"/>
        <v>0.76711540746269369</v>
      </c>
      <c r="E410" s="338">
        <f t="shared" si="164"/>
        <v>1.0000025505392875</v>
      </c>
      <c r="F410" s="339">
        <f t="shared" si="165"/>
        <v>2.2585543458136419E-3</v>
      </c>
      <c r="G410" s="338">
        <f t="shared" si="166"/>
        <v>1</v>
      </c>
      <c r="H410" s="339">
        <f t="shared" si="167"/>
        <v>0</v>
      </c>
      <c r="I410" s="337">
        <f t="shared" si="168"/>
        <v>276799.87148210511</v>
      </c>
      <c r="J410" s="340">
        <f t="shared" si="169"/>
        <v>1.5707927140764562</v>
      </c>
      <c r="K410" s="348">
        <f t="shared" si="185"/>
        <v>6.4357665241873159</v>
      </c>
      <c r="L410" s="349">
        <f t="shared" si="186"/>
        <v>1.4147825462528822</v>
      </c>
      <c r="M410" s="337">
        <f t="shared" si="170"/>
        <v>1.0007054490355789</v>
      </c>
      <c r="N410" s="340">
        <f t="shared" si="171"/>
        <v>3.7550887334188494E-2</v>
      </c>
      <c r="O410" s="341">
        <f t="shared" si="172"/>
        <v>1.002772392029575</v>
      </c>
      <c r="P410" s="342">
        <f t="shared" si="173"/>
        <v>9.0445887935844904E-2</v>
      </c>
      <c r="Q410" s="343">
        <f t="shared" si="174"/>
        <v>0.77769471626792874</v>
      </c>
      <c r="R410" s="344">
        <f t="shared" si="175"/>
        <v>-60.095468875599664</v>
      </c>
      <c r="S410" s="346">
        <f t="shared" si="176"/>
        <v>119.90453112440034</v>
      </c>
      <c r="U410" s="319">
        <f t="shared" si="182"/>
        <v>1000000000</v>
      </c>
      <c r="V410" s="319">
        <f t="shared" si="183"/>
        <v>1462335840.25</v>
      </c>
      <c r="X410" s="345">
        <f t="shared" si="177"/>
        <v>5.029787034402851</v>
      </c>
      <c r="Y410" s="346">
        <f t="shared" si="178"/>
        <v>-11.09023155131116</v>
      </c>
      <c r="AA410" s="345">
        <f t="shared" si="179"/>
        <v>32.580657839960089</v>
      </c>
      <c r="AB410" s="346">
        <f t="shared" si="180"/>
        <v>-49.005237324288515</v>
      </c>
      <c r="AD410">
        <f t="shared" si="184"/>
        <v>0</v>
      </c>
      <c r="AE410">
        <f t="shared" ref="AE410:AE473" si="187">IF(AD410&gt;0,S410,0)</f>
        <v>0</v>
      </c>
    </row>
    <row r="411" spans="1:31" x14ac:dyDescent="0.2">
      <c r="A411" s="347">
        <v>38462</v>
      </c>
      <c r="B411" s="364">
        <f t="shared" si="181"/>
        <v>38.462000000000003</v>
      </c>
      <c r="C411" s="337">
        <f t="shared" si="162"/>
        <v>1.3929330621665699</v>
      </c>
      <c r="D411" s="338">
        <f t="shared" si="163"/>
        <v>0.77000155453127628</v>
      </c>
      <c r="E411" s="338">
        <f t="shared" si="164"/>
        <v>1.0000025801717392</v>
      </c>
      <c r="F411" s="339">
        <f t="shared" si="165"/>
        <v>2.2716364988063127E-3</v>
      </c>
      <c r="G411" s="338">
        <f t="shared" si="166"/>
        <v>1</v>
      </c>
      <c r="H411" s="339">
        <f t="shared" si="167"/>
        <v>0</v>
      </c>
      <c r="I411" s="337">
        <f t="shared" si="168"/>
        <v>278403.17613378295</v>
      </c>
      <c r="J411" s="340">
        <f t="shared" si="169"/>
        <v>1.570792734881852</v>
      </c>
      <c r="K411" s="348">
        <f t="shared" si="185"/>
        <v>6.4721468532568887</v>
      </c>
      <c r="L411" s="349">
        <f t="shared" si="186"/>
        <v>1.4156666329413643</v>
      </c>
      <c r="M411" s="337">
        <f t="shared" si="170"/>
        <v>1.000713642109752</v>
      </c>
      <c r="N411" s="340">
        <f t="shared" si="171"/>
        <v>3.7768186713839337E-2</v>
      </c>
      <c r="O411" s="341">
        <f t="shared" si="172"/>
        <v>1.0028045673005686</v>
      </c>
      <c r="P411" s="342">
        <f t="shared" si="173"/>
        <v>9.0968295455301801E-2</v>
      </c>
      <c r="Q411" s="343">
        <f t="shared" si="174"/>
        <v>0.75190239355676414</v>
      </c>
      <c r="R411" s="344">
        <f t="shared" si="175"/>
        <v>-60.251812209191975</v>
      </c>
      <c r="S411" s="346">
        <f t="shared" si="176"/>
        <v>119.74818779080803</v>
      </c>
      <c r="U411" s="319">
        <f t="shared" si="182"/>
        <v>1000000000</v>
      </c>
      <c r="V411" s="319">
        <f t="shared" si="183"/>
        <v>1479325444</v>
      </c>
      <c r="X411" s="345">
        <f t="shared" si="177"/>
        <v>5.028511540846198</v>
      </c>
      <c r="Y411" s="346">
        <f t="shared" si="178"/>
        <v>-11.052028644699961</v>
      </c>
      <c r="AA411" s="345">
        <f t="shared" si="179"/>
        <v>32.556141010805575</v>
      </c>
      <c r="AB411" s="346">
        <f t="shared" si="180"/>
        <v>-49.199783564492009</v>
      </c>
      <c r="AD411">
        <f t="shared" si="184"/>
        <v>0</v>
      </c>
      <c r="AE411">
        <f t="shared" si="187"/>
        <v>0</v>
      </c>
    </row>
    <row r="412" spans="1:31" x14ac:dyDescent="0.2">
      <c r="A412" s="347">
        <v>38683.5</v>
      </c>
      <c r="B412" s="364">
        <f t="shared" si="181"/>
        <v>38.683500000000002</v>
      </c>
      <c r="C412" s="337">
        <f t="shared" si="162"/>
        <v>1.3968262287947171</v>
      </c>
      <c r="D412" s="338">
        <f t="shared" si="163"/>
        <v>0.77287163713687657</v>
      </c>
      <c r="E412" s="338">
        <f t="shared" si="164"/>
        <v>1.0000026099753339</v>
      </c>
      <c r="F412" s="339">
        <f t="shared" si="165"/>
        <v>2.2847186510214332E-3</v>
      </c>
      <c r="G412" s="338">
        <f t="shared" si="166"/>
        <v>1</v>
      </c>
      <c r="H412" s="339">
        <f t="shared" si="167"/>
        <v>0</v>
      </c>
      <c r="I412" s="337">
        <f t="shared" si="168"/>
        <v>280006.48078546103</v>
      </c>
      <c r="J412" s="340">
        <f t="shared" si="169"/>
        <v>1.5707927554489864</v>
      </c>
      <c r="K412" s="348">
        <f t="shared" si="185"/>
        <v>6.5085321844616892</v>
      </c>
      <c r="L412" s="349">
        <f t="shared" si="186"/>
        <v>1.4165408355014002</v>
      </c>
      <c r="M412" s="337">
        <f t="shared" si="170"/>
        <v>1.0007218824358681</v>
      </c>
      <c r="N412" s="340">
        <f t="shared" si="171"/>
        <v>3.7985482525098403E-2</v>
      </c>
      <c r="O412" s="341">
        <f t="shared" si="172"/>
        <v>1.00283692759939</v>
      </c>
      <c r="P412" s="342">
        <f t="shared" si="173"/>
        <v>9.1490677418572267E-2</v>
      </c>
      <c r="Q412" s="343">
        <f t="shared" si="174"/>
        <v>0.72612407379065103</v>
      </c>
      <c r="R412" s="344">
        <f t="shared" si="175"/>
        <v>-60.407799753376715</v>
      </c>
      <c r="S412" s="346">
        <f t="shared" si="176"/>
        <v>119.59220024662329</v>
      </c>
      <c r="U412" s="319">
        <f t="shared" si="182"/>
        <v>1000000000</v>
      </c>
      <c r="V412" s="319">
        <f t="shared" si="183"/>
        <v>1496413172.25</v>
      </c>
      <c r="X412" s="345">
        <f t="shared" si="177"/>
        <v>5.0272559415772466</v>
      </c>
      <c r="Y412" s="346">
        <f t="shared" si="178"/>
        <v>-11.014391838828388</v>
      </c>
      <c r="AA412" s="345">
        <f t="shared" si="179"/>
        <v>32.531618290308415</v>
      </c>
      <c r="AB412" s="346">
        <f t="shared" si="180"/>
        <v>-49.393407914548348</v>
      </c>
      <c r="AD412">
        <f t="shared" si="184"/>
        <v>0</v>
      </c>
      <c r="AE412">
        <f t="shared" si="187"/>
        <v>0</v>
      </c>
    </row>
    <row r="413" spans="1:31" x14ac:dyDescent="0.2">
      <c r="A413" s="347">
        <v>38905</v>
      </c>
      <c r="B413" s="364">
        <f t="shared" si="181"/>
        <v>38.905000000000001</v>
      </c>
      <c r="C413" s="337">
        <f t="shared" si="162"/>
        <v>1.4007308375878906</v>
      </c>
      <c r="D413" s="338">
        <f t="shared" si="163"/>
        <v>0.77572574213997247</v>
      </c>
      <c r="E413" s="338">
        <f t="shared" si="164"/>
        <v>1.0000026399500717</v>
      </c>
      <c r="F413" s="339">
        <f t="shared" si="165"/>
        <v>2.2978008024545273E-3</v>
      </c>
      <c r="G413" s="338">
        <f t="shared" si="166"/>
        <v>1</v>
      </c>
      <c r="H413" s="339">
        <f t="shared" si="167"/>
        <v>0</v>
      </c>
      <c r="I413" s="337">
        <f t="shared" si="168"/>
        <v>281609.78543713916</v>
      </c>
      <c r="J413" s="340">
        <f t="shared" si="169"/>
        <v>1.5707927757819287</v>
      </c>
      <c r="K413" s="348">
        <f t="shared" si="185"/>
        <v>6.544922434376276</v>
      </c>
      <c r="L413" s="349">
        <f t="shared" si="186"/>
        <v>1.4174053174549817</v>
      </c>
      <c r="M413" s="337">
        <f t="shared" si="170"/>
        <v>1.00073017001276</v>
      </c>
      <c r="N413" s="340">
        <f t="shared" si="171"/>
        <v>3.8202774747533759E-2</v>
      </c>
      <c r="O413" s="341">
        <f t="shared" si="172"/>
        <v>1.0028694729122547</v>
      </c>
      <c r="P413" s="342">
        <f t="shared" si="173"/>
        <v>9.2013033681547202E-2</v>
      </c>
      <c r="Q413" s="343">
        <f t="shared" si="174"/>
        <v>0.70036012567962203</v>
      </c>
      <c r="R413" s="344">
        <f t="shared" si="175"/>
        <v>-60.563427106578622</v>
      </c>
      <c r="S413" s="346">
        <f t="shared" si="176"/>
        <v>119.43657289342138</v>
      </c>
      <c r="U413" s="319">
        <f t="shared" si="182"/>
        <v>1000000000</v>
      </c>
      <c r="V413" s="319">
        <f t="shared" si="183"/>
        <v>1513599025</v>
      </c>
      <c r="X413" s="345">
        <f t="shared" si="177"/>
        <v>5.0260197845380077</v>
      </c>
      <c r="Y413" s="346">
        <f t="shared" si="178"/>
        <v>-10.977311763638909</v>
      </c>
      <c r="AA413" s="345">
        <f t="shared" si="179"/>
        <v>32.507090499236625</v>
      </c>
      <c r="AB413" s="346">
        <f t="shared" si="180"/>
        <v>-49.586115342939735</v>
      </c>
      <c r="AD413">
        <f t="shared" si="184"/>
        <v>0</v>
      </c>
      <c r="AE413">
        <f t="shared" si="187"/>
        <v>0</v>
      </c>
    </row>
    <row r="414" spans="1:31" x14ac:dyDescent="0.2">
      <c r="A414" s="347">
        <v>39131.5</v>
      </c>
      <c r="B414" s="364">
        <f t="shared" si="181"/>
        <v>39.131500000000003</v>
      </c>
      <c r="C414" s="337">
        <f t="shared" si="162"/>
        <v>1.4047353196336845</v>
      </c>
      <c r="D414" s="338">
        <f t="shared" si="163"/>
        <v>0.77862784179699251</v>
      </c>
      <c r="E414" s="338">
        <f t="shared" si="164"/>
        <v>1.0000026707784218</v>
      </c>
      <c r="F414" s="339">
        <f t="shared" si="165"/>
        <v>2.3111782612330106E-3</v>
      </c>
      <c r="G414" s="338">
        <f t="shared" si="166"/>
        <v>1</v>
      </c>
      <c r="H414" s="339">
        <f t="shared" si="167"/>
        <v>0</v>
      </c>
      <c r="I414" s="337">
        <f t="shared" si="168"/>
        <v>283249.28206741053</v>
      </c>
      <c r="J414" s="340">
        <f t="shared" si="169"/>
        <v>1.5707927963358159</v>
      </c>
      <c r="K414" s="348">
        <f t="shared" si="185"/>
        <v>6.5821391361389834</v>
      </c>
      <c r="L414" s="349">
        <f t="shared" si="186"/>
        <v>1.4182794280957172</v>
      </c>
      <c r="M414" s="337">
        <f t="shared" si="170"/>
        <v>1.000738693529641</v>
      </c>
      <c r="N414" s="340">
        <f t="shared" si="171"/>
        <v>3.8424968253735335E-2</v>
      </c>
      <c r="O414" s="341">
        <f t="shared" si="172"/>
        <v>1.0029029441936161</v>
      </c>
      <c r="P414" s="342">
        <f t="shared" si="173"/>
        <v>9.2547154555138386E-2</v>
      </c>
      <c r="Q414" s="343">
        <f t="shared" si="174"/>
        <v>0.67402984383307152</v>
      </c>
      <c r="R414" s="344">
        <f t="shared" si="175"/>
        <v>-60.722190645961582</v>
      </c>
      <c r="S414" s="346">
        <f t="shared" si="176"/>
        <v>119.27780935403842</v>
      </c>
      <c r="U414" s="319">
        <f t="shared" si="182"/>
        <v>1000000000</v>
      </c>
      <c r="V414" s="319">
        <f t="shared" si="183"/>
        <v>1531274292.25</v>
      </c>
      <c r="X414" s="345">
        <f t="shared" si="177"/>
        <v>5.0247753708355205</v>
      </c>
      <c r="Y414" s="346">
        <f t="shared" si="178"/>
        <v>-10.939960840846171</v>
      </c>
      <c r="AA414" s="345">
        <f t="shared" si="179"/>
        <v>32.482004631092558</v>
      </c>
      <c r="AB414" s="346">
        <f t="shared" si="180"/>
        <v>-49.782229805115442</v>
      </c>
      <c r="AD414">
        <f t="shared" si="184"/>
        <v>0</v>
      </c>
      <c r="AE414">
        <f t="shared" si="187"/>
        <v>0</v>
      </c>
    </row>
    <row r="415" spans="1:31" x14ac:dyDescent="0.2">
      <c r="A415" s="347">
        <v>39358</v>
      </c>
      <c r="B415" s="364">
        <f t="shared" si="181"/>
        <v>39.357999999999997</v>
      </c>
      <c r="C415" s="337">
        <f t="shared" si="162"/>
        <v>1.4087515652980043</v>
      </c>
      <c r="D415" s="338">
        <f t="shared" si="163"/>
        <v>0.78151341830223697</v>
      </c>
      <c r="E415" s="338">
        <f t="shared" si="164"/>
        <v>1.0000027017857289</v>
      </c>
      <c r="F415" s="339">
        <f t="shared" si="165"/>
        <v>2.3245557191842923E-3</v>
      </c>
      <c r="G415" s="338">
        <f t="shared" si="166"/>
        <v>1</v>
      </c>
      <c r="H415" s="339">
        <f t="shared" si="167"/>
        <v>0</v>
      </c>
      <c r="I415" s="337">
        <f t="shared" si="168"/>
        <v>284888.77869768214</v>
      </c>
      <c r="J415" s="340">
        <f t="shared" si="169"/>
        <v>1.5707928166531333</v>
      </c>
      <c r="K415" s="348">
        <f t="shared" si="185"/>
        <v>6.6193608105581587</v>
      </c>
      <c r="L415" s="349">
        <f t="shared" si="186"/>
        <v>1.419143708876009</v>
      </c>
      <c r="M415" s="337">
        <f t="shared" si="170"/>
        <v>1.0007472664521027</v>
      </c>
      <c r="N415" s="340">
        <f t="shared" si="171"/>
        <v>3.864715796405558E-2</v>
      </c>
      <c r="O415" s="341">
        <f t="shared" si="172"/>
        <v>1.0029366089066745</v>
      </c>
      <c r="P415" s="342">
        <f t="shared" si="173"/>
        <v>9.3081248250442991E-2</v>
      </c>
      <c r="Q415" s="343">
        <f t="shared" si="174"/>
        <v>0.64771536664059204</v>
      </c>
      <c r="R415" s="344">
        <f t="shared" si="175"/>
        <v>-60.880568899803613</v>
      </c>
      <c r="S415" s="346">
        <f t="shared" si="176"/>
        <v>119.11943110019638</v>
      </c>
      <c r="U415" s="319">
        <f t="shared" si="182"/>
        <v>1000000000</v>
      </c>
      <c r="V415" s="319">
        <f t="shared" si="183"/>
        <v>1549052164</v>
      </c>
      <c r="X415" s="345">
        <f t="shared" si="177"/>
        <v>5.0235503703994517</v>
      </c>
      <c r="Y415" s="346">
        <f t="shared" si="178"/>
        <v>-10.903172896528247</v>
      </c>
      <c r="AA415" s="345">
        <f t="shared" si="179"/>
        <v>32.456915154336144</v>
      </c>
      <c r="AB415" s="346">
        <f t="shared" si="180"/>
        <v>-49.977396003275338</v>
      </c>
      <c r="AD415">
        <f t="shared" si="184"/>
        <v>0</v>
      </c>
      <c r="AE415">
        <f t="shared" si="187"/>
        <v>0</v>
      </c>
    </row>
    <row r="416" spans="1:31" x14ac:dyDescent="0.2">
      <c r="A416" s="347">
        <v>39584.5</v>
      </c>
      <c r="B416" s="364">
        <f t="shared" si="181"/>
        <v>39.584499999999998</v>
      </c>
      <c r="C416" s="337">
        <f t="shared" si="162"/>
        <v>1.4127794742561046</v>
      </c>
      <c r="D416" s="338">
        <f t="shared" si="163"/>
        <v>0.78438256472204892</v>
      </c>
      <c r="E416" s="338">
        <f t="shared" si="164"/>
        <v>1.0000027329719927</v>
      </c>
      <c r="F416" s="339">
        <f t="shared" si="165"/>
        <v>2.3379331763035836E-3</v>
      </c>
      <c r="G416" s="338">
        <f t="shared" si="166"/>
        <v>1</v>
      </c>
      <c r="H416" s="339">
        <f t="shared" si="167"/>
        <v>0</v>
      </c>
      <c r="I416" s="337">
        <f t="shared" si="168"/>
        <v>286528.27532795374</v>
      </c>
      <c r="J416" s="340">
        <f t="shared" si="169"/>
        <v>1.570792836737942</v>
      </c>
      <c r="K416" s="348">
        <f t="shared" si="185"/>
        <v>6.6565873742169153</v>
      </c>
      <c r="L416" s="349">
        <f t="shared" si="186"/>
        <v>1.4199983234124085</v>
      </c>
      <c r="M416" s="337">
        <f t="shared" si="170"/>
        <v>1.0007558887788748</v>
      </c>
      <c r="N416" s="340">
        <f t="shared" si="171"/>
        <v>3.8869343856654089E-2</v>
      </c>
      <c r="O416" s="341">
        <f t="shared" si="172"/>
        <v>1.002970467036441</v>
      </c>
      <c r="P416" s="342">
        <f t="shared" si="173"/>
        <v>9.3615314613541445E-2</v>
      </c>
      <c r="Q416" s="343">
        <f t="shared" si="174"/>
        <v>0.62141708479166879</v>
      </c>
      <c r="R416" s="344">
        <f t="shared" si="175"/>
        <v>-61.038557816038136</v>
      </c>
      <c r="S416" s="346">
        <f t="shared" si="176"/>
        <v>118.96144218396186</v>
      </c>
      <c r="U416" s="319">
        <f t="shared" si="182"/>
        <v>1000000000</v>
      </c>
      <c r="V416" s="319">
        <f t="shared" si="183"/>
        <v>1566932640.25</v>
      </c>
      <c r="X416" s="345">
        <f t="shared" si="177"/>
        <v>5.02234433896502</v>
      </c>
      <c r="Y416" s="346">
        <f t="shared" si="178"/>
        <v>-10.866938555128643</v>
      </c>
      <c r="AA416" s="345">
        <f t="shared" si="179"/>
        <v>32.431822903921656</v>
      </c>
      <c r="AB416" s="346">
        <f t="shared" si="180"/>
        <v>-50.171619260909459</v>
      </c>
      <c r="AD416">
        <f t="shared" si="184"/>
        <v>0</v>
      </c>
      <c r="AE416">
        <f t="shared" si="187"/>
        <v>0</v>
      </c>
    </row>
    <row r="417" spans="1:31" x14ac:dyDescent="0.2">
      <c r="A417" s="347">
        <v>39811</v>
      </c>
      <c r="B417" s="364">
        <f t="shared" si="181"/>
        <v>39.811</v>
      </c>
      <c r="C417" s="337">
        <f t="shared" si="162"/>
        <v>1.4168189470344068</v>
      </c>
      <c r="D417" s="338">
        <f t="shared" si="163"/>
        <v>0.7872353741480288</v>
      </c>
      <c r="E417" s="338">
        <f t="shared" si="164"/>
        <v>1.0000027643372134</v>
      </c>
      <c r="F417" s="339">
        <f t="shared" si="165"/>
        <v>2.3513106325860982E-3</v>
      </c>
      <c r="G417" s="338">
        <f t="shared" si="166"/>
        <v>1</v>
      </c>
      <c r="H417" s="339">
        <f t="shared" si="167"/>
        <v>0</v>
      </c>
      <c r="I417" s="337">
        <f t="shared" si="168"/>
        <v>288167.77195822558</v>
      </c>
      <c r="J417" s="340">
        <f t="shared" si="169"/>
        <v>1.5707928565942104</v>
      </c>
      <c r="K417" s="348">
        <f t="shared" si="185"/>
        <v>6.6938187455431688</v>
      </c>
      <c r="L417" s="349">
        <f t="shared" si="186"/>
        <v>1.4208434317384904</v>
      </c>
      <c r="M417" s="337">
        <f t="shared" si="170"/>
        <v>1.000764560508681</v>
      </c>
      <c r="N417" s="340">
        <f t="shared" si="171"/>
        <v>3.9091525909692719E-2</v>
      </c>
      <c r="O417" s="341">
        <f t="shared" si="172"/>
        <v>1.0030045185678425</v>
      </c>
      <c r="P417" s="342">
        <f t="shared" si="173"/>
        <v>9.4149353490572255E-2</v>
      </c>
      <c r="Q417" s="343">
        <f t="shared" si="174"/>
        <v>0.59513538723042947</v>
      </c>
      <c r="R417" s="344">
        <f t="shared" si="175"/>
        <v>-61.196153549333303</v>
      </c>
      <c r="S417" s="346">
        <f t="shared" si="176"/>
        <v>118.8038464506667</v>
      </c>
      <c r="U417" s="319">
        <f t="shared" si="182"/>
        <v>1000000000</v>
      </c>
      <c r="V417" s="319">
        <f t="shared" si="183"/>
        <v>1584915721</v>
      </c>
      <c r="X417" s="345">
        <f t="shared" si="177"/>
        <v>5.0211568445879795</v>
      </c>
      <c r="Y417" s="346">
        <f t="shared" si="178"/>
        <v>-10.831248646375043</v>
      </c>
      <c r="AA417" s="345">
        <f t="shared" si="179"/>
        <v>32.40672870073746</v>
      </c>
      <c r="AB417" s="346">
        <f t="shared" si="180"/>
        <v>-50.364904902958273</v>
      </c>
      <c r="AD417">
        <f t="shared" si="184"/>
        <v>0</v>
      </c>
      <c r="AE417">
        <f t="shared" si="187"/>
        <v>0</v>
      </c>
    </row>
    <row r="418" spans="1:31" x14ac:dyDescent="0.2">
      <c r="A418" s="347">
        <v>40042.75</v>
      </c>
      <c r="B418" s="364">
        <f t="shared" si="181"/>
        <v>40.042749999999998</v>
      </c>
      <c r="C418" s="337">
        <f t="shared" si="162"/>
        <v>1.420963916090856</v>
      </c>
      <c r="D418" s="338">
        <f t="shared" si="163"/>
        <v>0.79013749600983818</v>
      </c>
      <c r="E418" s="338">
        <f t="shared" si="164"/>
        <v>1.0000027966146694</v>
      </c>
      <c r="F418" s="339">
        <f t="shared" si="165"/>
        <v>2.3649981614875153E-3</v>
      </c>
      <c r="G418" s="338">
        <f t="shared" si="166"/>
        <v>1</v>
      </c>
      <c r="H418" s="339">
        <f t="shared" si="167"/>
        <v>0</v>
      </c>
      <c r="I418" s="337">
        <f t="shared" si="168"/>
        <v>289845.27016602032</v>
      </c>
      <c r="J418" s="340">
        <f t="shared" si="169"/>
        <v>1.5707928766782209</v>
      </c>
      <c r="K418" s="348">
        <f t="shared" si="185"/>
        <v>6.7319179885877256</v>
      </c>
      <c r="L418" s="349">
        <f t="shared" si="186"/>
        <v>1.4216984526538472</v>
      </c>
      <c r="M418" s="337">
        <f t="shared" si="170"/>
        <v>1.0007734843714673</v>
      </c>
      <c r="N418" s="340">
        <f t="shared" si="171"/>
        <v>3.9318853881006519E-2</v>
      </c>
      <c r="O418" s="341">
        <f t="shared" si="172"/>
        <v>1.0030395595351587</v>
      </c>
      <c r="P418" s="342">
        <f t="shared" si="173"/>
        <v>9.46957421426559E-2</v>
      </c>
      <c r="Q418" s="343">
        <f t="shared" si="174"/>
        <v>0.56826208018713509</v>
      </c>
      <c r="R418" s="344">
        <f t="shared" si="175"/>
        <v>-61.35699140413687</v>
      </c>
      <c r="S418" s="346">
        <f t="shared" si="176"/>
        <v>118.64300859586314</v>
      </c>
      <c r="U418" s="319">
        <f t="shared" si="182"/>
        <v>1000000000</v>
      </c>
      <c r="V418" s="319">
        <f t="shared" si="183"/>
        <v>1603421827.5625</v>
      </c>
      <c r="X418" s="345">
        <f t="shared" si="177"/>
        <v>5.0199605740088575</v>
      </c>
      <c r="Y418" s="346">
        <f t="shared" si="178"/>
        <v>-10.795285640539181</v>
      </c>
      <c r="AA418" s="345">
        <f t="shared" si="179"/>
        <v>32.381051664273286</v>
      </c>
      <c r="AB418" s="346">
        <f t="shared" si="180"/>
        <v>-50.561705763597693</v>
      </c>
      <c r="AD418">
        <f t="shared" si="184"/>
        <v>0</v>
      </c>
      <c r="AE418">
        <f t="shared" si="187"/>
        <v>0</v>
      </c>
    </row>
    <row r="419" spans="1:31" x14ac:dyDescent="0.2">
      <c r="A419" s="347">
        <v>40274.5</v>
      </c>
      <c r="B419" s="364">
        <f t="shared" si="181"/>
        <v>40.274500000000003</v>
      </c>
      <c r="C419" s="337">
        <f t="shared" si="162"/>
        <v>1.4251207832723705</v>
      </c>
      <c r="D419" s="338">
        <f t="shared" si="163"/>
        <v>0.79302271193092178</v>
      </c>
      <c r="E419" s="338">
        <f t="shared" si="164"/>
        <v>1.0000028290794745</v>
      </c>
      <c r="F419" s="339">
        <f t="shared" si="165"/>
        <v>2.3786856895027732E-3</v>
      </c>
      <c r="G419" s="338">
        <f t="shared" si="166"/>
        <v>1</v>
      </c>
      <c r="H419" s="339">
        <f t="shared" si="167"/>
        <v>0</v>
      </c>
      <c r="I419" s="337">
        <f t="shared" si="168"/>
        <v>291522.76837381517</v>
      </c>
      <c r="J419" s="340">
        <f t="shared" si="169"/>
        <v>1.570792896531094</v>
      </c>
      <c r="K419" s="348">
        <f t="shared" si="185"/>
        <v>6.7700220976791261</v>
      </c>
      <c r="L419" s="349">
        <f t="shared" si="186"/>
        <v>1.4225438494535709</v>
      </c>
      <c r="M419" s="337">
        <f t="shared" si="170"/>
        <v>1.0007824599513082</v>
      </c>
      <c r="N419" s="340">
        <f t="shared" si="171"/>
        <v>3.9546177786457644E-2</v>
      </c>
      <c r="O419" s="341">
        <f t="shared" si="172"/>
        <v>1.0030748029414609</v>
      </c>
      <c r="P419" s="342">
        <f t="shared" si="173"/>
        <v>9.5242101694016687E-2</v>
      </c>
      <c r="Q419" s="343">
        <f t="shared" si="174"/>
        <v>0.54140695230886593</v>
      </c>
      <c r="R419" s="344">
        <f t="shared" si="175"/>
        <v>-61.517410127597188</v>
      </c>
      <c r="S419" s="346">
        <f t="shared" si="176"/>
        <v>118.48258987240281</v>
      </c>
      <c r="U419" s="319">
        <f t="shared" si="182"/>
        <v>1000000000</v>
      </c>
      <c r="V419" s="319">
        <f t="shared" si="183"/>
        <v>1622035350.25</v>
      </c>
      <c r="X419" s="345">
        <f t="shared" si="177"/>
        <v>5.0187828326624775</v>
      </c>
      <c r="Y419" s="346">
        <f t="shared" si="178"/>
        <v>-10.759873809711301</v>
      </c>
      <c r="AA419" s="345">
        <f t="shared" si="179"/>
        <v>32.355374277741397</v>
      </c>
      <c r="AB419" s="346">
        <f t="shared" si="180"/>
        <v>-50.757536317885901</v>
      </c>
      <c r="AD419">
        <f t="shared" si="184"/>
        <v>0</v>
      </c>
      <c r="AE419">
        <f t="shared" si="187"/>
        <v>0</v>
      </c>
    </row>
    <row r="420" spans="1:31" x14ac:dyDescent="0.2">
      <c r="A420" s="347">
        <v>40506.25</v>
      </c>
      <c r="B420" s="364">
        <f t="shared" si="181"/>
        <v>40.506250000000001</v>
      </c>
      <c r="C420" s="337">
        <f t="shared" si="162"/>
        <v>1.4292894447673858</v>
      </c>
      <c r="D420" s="338">
        <f t="shared" si="163"/>
        <v>0.79589112158925035</v>
      </c>
      <c r="E420" s="338">
        <f t="shared" si="164"/>
        <v>1.0000028617316283</v>
      </c>
      <c r="F420" s="339">
        <f t="shared" si="165"/>
        <v>2.3923732166267432E-3</v>
      </c>
      <c r="G420" s="338">
        <f t="shared" si="166"/>
        <v>1</v>
      </c>
      <c r="H420" s="339">
        <f t="shared" si="167"/>
        <v>0</v>
      </c>
      <c r="I420" s="337">
        <f t="shared" si="168"/>
        <v>293200.26658161014</v>
      </c>
      <c r="J420" s="340">
        <f t="shared" si="169"/>
        <v>1.5707929161567971</v>
      </c>
      <c r="K420" s="348">
        <f t="shared" si="185"/>
        <v>6.8081309911137202</v>
      </c>
      <c r="L420" s="349">
        <f t="shared" si="186"/>
        <v>1.4233797825335734</v>
      </c>
      <c r="M420" s="337">
        <f t="shared" si="170"/>
        <v>1.0007914872468127</v>
      </c>
      <c r="N420" s="340">
        <f t="shared" si="171"/>
        <v>3.9773497602661356E-2</v>
      </c>
      <c r="O420" s="341">
        <f t="shared" si="172"/>
        <v>1.0031102487703312</v>
      </c>
      <c r="P420" s="342">
        <f t="shared" si="173"/>
        <v>9.5788431980035157E-2</v>
      </c>
      <c r="Q420" s="343">
        <f t="shared" si="174"/>
        <v>0.51457041298376194</v>
      </c>
      <c r="R420" s="344">
        <f t="shared" si="175"/>
        <v>-61.677406230288263</v>
      </c>
      <c r="S420" s="346">
        <f t="shared" si="176"/>
        <v>118.32259376971174</v>
      </c>
      <c r="U420" s="319">
        <f t="shared" si="182"/>
        <v>1000000000</v>
      </c>
      <c r="V420" s="319">
        <f t="shared" si="183"/>
        <v>1640756289.0625</v>
      </c>
      <c r="X420" s="345">
        <f t="shared" si="177"/>
        <v>5.0176231953197252</v>
      </c>
      <c r="Y420" s="346">
        <f t="shared" si="178"/>
        <v>-10.725003962770058</v>
      </c>
      <c r="AA420" s="345">
        <f t="shared" si="179"/>
        <v>32.329697375759046</v>
      </c>
      <c r="AB420" s="346">
        <f t="shared" si="180"/>
        <v>-50.952402267518217</v>
      </c>
      <c r="AD420">
        <f t="shared" si="184"/>
        <v>0</v>
      </c>
      <c r="AE420">
        <f t="shared" si="187"/>
        <v>0</v>
      </c>
    </row>
    <row r="421" spans="1:31" x14ac:dyDescent="0.2">
      <c r="A421" s="347">
        <v>40738</v>
      </c>
      <c r="B421" s="364">
        <f t="shared" si="181"/>
        <v>40.738</v>
      </c>
      <c r="C421" s="337">
        <f t="shared" si="162"/>
        <v>1.4334697976790742</v>
      </c>
      <c r="D421" s="338">
        <f t="shared" si="163"/>
        <v>0.79874282461120005</v>
      </c>
      <c r="E421" s="338">
        <f t="shared" si="164"/>
        <v>1.0000028945711312</v>
      </c>
      <c r="F421" s="339">
        <f t="shared" si="165"/>
        <v>2.4060607428542974E-3</v>
      </c>
      <c r="G421" s="338">
        <f t="shared" si="166"/>
        <v>1</v>
      </c>
      <c r="H421" s="339">
        <f t="shared" si="167"/>
        <v>0</v>
      </c>
      <c r="I421" s="337">
        <f t="shared" si="168"/>
        <v>294877.76478940522</v>
      </c>
      <c r="J421" s="340">
        <f t="shared" si="169"/>
        <v>1.5707929355592072</v>
      </c>
      <c r="K421" s="348">
        <f t="shared" si="185"/>
        <v>6.8462445889968961</v>
      </c>
      <c r="L421" s="349">
        <f t="shared" si="186"/>
        <v>1.4242064087715989</v>
      </c>
      <c r="M421" s="337">
        <f t="shared" si="170"/>
        <v>1.0008005662565809</v>
      </c>
      <c r="N421" s="340">
        <f t="shared" si="171"/>
        <v>4.0000813306235443E-2</v>
      </c>
      <c r="O421" s="341">
        <f t="shared" si="172"/>
        <v>1.0031458970052594</v>
      </c>
      <c r="P421" s="342">
        <f t="shared" si="173"/>
        <v>9.6334732836156942E-2</v>
      </c>
      <c r="Q421" s="343">
        <f t="shared" si="174"/>
        <v>0.48775286868850765</v>
      </c>
      <c r="R421" s="344">
        <f t="shared" si="175"/>
        <v>-61.836976421402802</v>
      </c>
      <c r="S421" s="346">
        <f t="shared" si="176"/>
        <v>118.1630235785972</v>
      </c>
      <c r="U421" s="319">
        <f t="shared" si="182"/>
        <v>1000000000</v>
      </c>
      <c r="V421" s="319">
        <f t="shared" si="183"/>
        <v>1659584644</v>
      </c>
      <c r="X421" s="345">
        <f t="shared" si="177"/>
        <v>5.0164812485548449</v>
      </c>
      <c r="Y421" s="346">
        <f t="shared" si="178"/>
        <v>-10.690667110165247</v>
      </c>
      <c r="AA421" s="345">
        <f t="shared" si="179"/>
        <v>32.304021778228673</v>
      </c>
      <c r="AB421" s="346">
        <f t="shared" si="180"/>
        <v>-51.146309311237552</v>
      </c>
      <c r="AD421">
        <f t="shared" si="184"/>
        <v>0</v>
      </c>
      <c r="AE421">
        <f t="shared" si="187"/>
        <v>0</v>
      </c>
    </row>
    <row r="422" spans="1:31" x14ac:dyDescent="0.2">
      <c r="A422" s="347">
        <v>40975.25</v>
      </c>
      <c r="B422" s="364">
        <f t="shared" si="181"/>
        <v>40.975250000000003</v>
      </c>
      <c r="C422" s="337">
        <f t="shared" si="162"/>
        <v>1.4377613651242647</v>
      </c>
      <c r="D422" s="338">
        <f t="shared" si="163"/>
        <v>0.80164500345825462</v>
      </c>
      <c r="E422" s="338">
        <f t="shared" si="164"/>
        <v>1.0000029283840677</v>
      </c>
      <c r="F422" s="339">
        <f t="shared" si="165"/>
        <v>2.4200731069580635E-3</v>
      </c>
      <c r="G422" s="338">
        <f t="shared" si="166"/>
        <v>1</v>
      </c>
      <c r="H422" s="339">
        <f t="shared" si="167"/>
        <v>0</v>
      </c>
      <c r="I422" s="337">
        <f t="shared" si="168"/>
        <v>296595.07417365297</v>
      </c>
      <c r="J422" s="340">
        <f t="shared" si="169"/>
        <v>1.5707929551947351</v>
      </c>
      <c r="K422" s="348">
        <f t="shared" si="185"/>
        <v>6.8852675083886306</v>
      </c>
      <c r="L422" s="349">
        <f t="shared" si="186"/>
        <v>1.4250431723154025</v>
      </c>
      <c r="M422" s="337">
        <f t="shared" si="170"/>
        <v>1.0008099143019979</v>
      </c>
      <c r="N422" s="340">
        <f t="shared" si="171"/>
        <v>4.0233519488398949E-2</v>
      </c>
      <c r="O422" s="341">
        <f t="shared" si="172"/>
        <v>1.0031826009119837</v>
      </c>
      <c r="P422" s="342">
        <f t="shared" si="173"/>
        <v>9.6893968103551109E-2</v>
      </c>
      <c r="Q422" s="343">
        <f t="shared" si="174"/>
        <v>0.46031897550647155</v>
      </c>
      <c r="R422" s="344">
        <f t="shared" si="175"/>
        <v>-61.999889179796831</v>
      </c>
      <c r="S422" s="346">
        <f t="shared" si="176"/>
        <v>118.00011082020316</v>
      </c>
      <c r="U422" s="319">
        <f t="shared" si="182"/>
        <v>1000000000</v>
      </c>
      <c r="V422" s="319">
        <f t="shared" si="183"/>
        <v>1678971112.5625</v>
      </c>
      <c r="X422" s="345">
        <f t="shared" si="177"/>
        <v>5.0153301062318825</v>
      </c>
      <c r="Y422" s="346">
        <f t="shared" si="178"/>
        <v>-10.656058297752788</v>
      </c>
      <c r="AA422" s="345">
        <f t="shared" si="179"/>
        <v>32.277739027369599</v>
      </c>
      <c r="AB422" s="346">
        <f t="shared" si="180"/>
        <v>-51.343830882044038</v>
      </c>
      <c r="AD422">
        <f t="shared" si="184"/>
        <v>0</v>
      </c>
      <c r="AE422">
        <f t="shared" si="187"/>
        <v>0</v>
      </c>
    </row>
    <row r="423" spans="1:31" x14ac:dyDescent="0.2">
      <c r="A423" s="347">
        <v>41212.5</v>
      </c>
      <c r="B423" s="364">
        <f t="shared" si="181"/>
        <v>41.212499999999999</v>
      </c>
      <c r="C423" s="337">
        <f t="shared" si="162"/>
        <v>1.4420649701825807</v>
      </c>
      <c r="D423" s="338">
        <f t="shared" si="163"/>
        <v>0.80452988433486317</v>
      </c>
      <c r="E423" s="338">
        <f t="shared" si="164"/>
        <v>1.0000029623933511</v>
      </c>
      <c r="F423" s="339">
        <f t="shared" si="165"/>
        <v>2.4340854701114835E-3</v>
      </c>
      <c r="G423" s="338">
        <f t="shared" si="166"/>
        <v>1</v>
      </c>
      <c r="H423" s="339">
        <f t="shared" si="167"/>
        <v>0</v>
      </c>
      <c r="I423" s="337">
        <f t="shared" si="168"/>
        <v>298312.38355790084</v>
      </c>
      <c r="J423" s="340">
        <f t="shared" si="169"/>
        <v>1.5707929746041895</v>
      </c>
      <c r="K423" s="348">
        <f t="shared" si="185"/>
        <v>6.9242951943207824</v>
      </c>
      <c r="L423" s="349">
        <f t="shared" si="186"/>
        <v>1.4258705038644313</v>
      </c>
      <c r="M423" s="337">
        <f t="shared" si="170"/>
        <v>1.0008193165424268</v>
      </c>
      <c r="N423" s="340">
        <f t="shared" si="171"/>
        <v>4.0466221310826944E-2</v>
      </c>
      <c r="O423" s="341">
        <f t="shared" si="172"/>
        <v>1.0032195169106479</v>
      </c>
      <c r="P423" s="342">
        <f t="shared" si="173"/>
        <v>9.7453172178786879E-2</v>
      </c>
      <c r="Q423" s="343">
        <f t="shared" si="174"/>
        <v>0.43290584151005418</v>
      </c>
      <c r="R423" s="344">
        <f t="shared" si="175"/>
        <v>-62.162349201110558</v>
      </c>
      <c r="S423" s="346">
        <f t="shared" si="176"/>
        <v>117.83765079888944</v>
      </c>
      <c r="U423" s="319">
        <f t="shared" si="182"/>
        <v>1000000000</v>
      </c>
      <c r="V423" s="319">
        <f t="shared" si="183"/>
        <v>1698470156.25</v>
      </c>
      <c r="X423" s="345">
        <f t="shared" si="177"/>
        <v>5.0141966635201198</v>
      </c>
      <c r="Y423" s="346">
        <f t="shared" si="178"/>
        <v>-10.621989636086438</v>
      </c>
      <c r="AA423" s="345">
        <f t="shared" si="179"/>
        <v>32.251459336084942</v>
      </c>
      <c r="AB423" s="346">
        <f t="shared" si="180"/>
        <v>-51.540359565024104</v>
      </c>
      <c r="AD423">
        <f t="shared" si="184"/>
        <v>0</v>
      </c>
      <c r="AE423">
        <f t="shared" si="187"/>
        <v>0</v>
      </c>
    </row>
    <row r="424" spans="1:31" x14ac:dyDescent="0.2">
      <c r="A424" s="347">
        <v>41449.75</v>
      </c>
      <c r="B424" s="364">
        <f t="shared" si="181"/>
        <v>41.449750000000002</v>
      </c>
      <c r="C424" s="337">
        <f t="shared" si="162"/>
        <v>1.4463805054027736</v>
      </c>
      <c r="D424" s="338">
        <f t="shared" si="163"/>
        <v>0.80739757384223332</v>
      </c>
      <c r="E424" s="338">
        <f t="shared" si="164"/>
        <v>1.0000029965989812</v>
      </c>
      <c r="F424" s="339">
        <f t="shared" si="165"/>
        <v>2.4480978323090535E-3</v>
      </c>
      <c r="G424" s="338">
        <f t="shared" si="166"/>
        <v>1</v>
      </c>
      <c r="H424" s="339">
        <f t="shared" si="167"/>
        <v>0</v>
      </c>
      <c r="I424" s="337">
        <f t="shared" si="168"/>
        <v>300029.69294214877</v>
      </c>
      <c r="J424" s="340">
        <f t="shared" si="169"/>
        <v>1.5707929937914522</v>
      </c>
      <c r="K424" s="348">
        <f t="shared" si="185"/>
        <v>6.9633275666475969</v>
      </c>
      <c r="L424" s="349">
        <f t="shared" si="186"/>
        <v>1.4266885608873392</v>
      </c>
      <c r="M424" s="337">
        <f t="shared" si="170"/>
        <v>1.0008287729763397</v>
      </c>
      <c r="N424" s="340">
        <f t="shared" si="171"/>
        <v>4.069891874844099E-2</v>
      </c>
      <c r="O424" s="341">
        <f t="shared" si="172"/>
        <v>1.0032566449832392</v>
      </c>
      <c r="P424" s="342">
        <f t="shared" si="173"/>
        <v>9.8012344885528055E-2</v>
      </c>
      <c r="Q424" s="343">
        <f t="shared" si="174"/>
        <v>0.40551389199180887</v>
      </c>
      <c r="R424" s="344">
        <f t="shared" si="175"/>
        <v>-62.324353559536441</v>
      </c>
      <c r="S424" s="346">
        <f t="shared" si="176"/>
        <v>117.67564644046357</v>
      </c>
      <c r="U424" s="319">
        <f t="shared" si="182"/>
        <v>1000000000</v>
      </c>
      <c r="V424" s="319">
        <f t="shared" si="183"/>
        <v>1718081775.0625</v>
      </c>
      <c r="X424" s="345">
        <f t="shared" si="177"/>
        <v>5.0130805128002329</v>
      </c>
      <c r="Y424" s="346">
        <f t="shared" si="178"/>
        <v>-10.588452101662423</v>
      </c>
      <c r="AA424" s="345">
        <f t="shared" si="179"/>
        <v>32.225183537286583</v>
      </c>
      <c r="AB424" s="346">
        <f t="shared" si="180"/>
        <v>-51.73590145787405</v>
      </c>
      <c r="AD424">
        <f t="shared" si="184"/>
        <v>0</v>
      </c>
      <c r="AE424">
        <f t="shared" si="187"/>
        <v>0</v>
      </c>
    </row>
    <row r="425" spans="1:31" x14ac:dyDescent="0.2">
      <c r="A425" s="347">
        <v>41687</v>
      </c>
      <c r="B425" s="364">
        <f t="shared" si="181"/>
        <v>41.686999999999998</v>
      </c>
      <c r="C425" s="337">
        <f t="shared" si="162"/>
        <v>1.4507078643160638</v>
      </c>
      <c r="D425" s="338">
        <f t="shared" si="163"/>
        <v>0.81024817844590569</v>
      </c>
      <c r="E425" s="338">
        <f t="shared" si="164"/>
        <v>1.0000030310009584</v>
      </c>
      <c r="F425" s="339">
        <f t="shared" si="165"/>
        <v>2.4621101935452718E-3</v>
      </c>
      <c r="G425" s="338">
        <f t="shared" si="166"/>
        <v>1</v>
      </c>
      <c r="H425" s="339">
        <f t="shared" si="167"/>
        <v>0</v>
      </c>
      <c r="I425" s="337">
        <f t="shared" si="168"/>
        <v>301747.00232639682</v>
      </c>
      <c r="J425" s="340">
        <f t="shared" si="169"/>
        <v>1.5707930127603169</v>
      </c>
      <c r="K425" s="348">
        <f t="shared" si="185"/>
        <v>7.0023645470007931</v>
      </c>
      <c r="L425" s="349">
        <f t="shared" si="186"/>
        <v>1.4274974973916259</v>
      </c>
      <c r="M425" s="337">
        <f t="shared" si="170"/>
        <v>1.000838283602201</v>
      </c>
      <c r="N425" s="340">
        <f t="shared" si="171"/>
        <v>4.0931611776165479E-2</v>
      </c>
      <c r="O425" s="341">
        <f t="shared" si="172"/>
        <v>1.0032939851116447</v>
      </c>
      <c r="P425" s="342">
        <f t="shared" si="173"/>
        <v>9.8571486047511508E-2</v>
      </c>
      <c r="Q425" s="343">
        <f t="shared" si="174"/>
        <v>0.37814354819676149</v>
      </c>
      <c r="R425" s="344">
        <f t="shared" si="175"/>
        <v>-62.4858995198028</v>
      </c>
      <c r="S425" s="346">
        <f t="shared" si="176"/>
        <v>117.5141004801972</v>
      </c>
      <c r="U425" s="319">
        <f t="shared" si="182"/>
        <v>1000000000</v>
      </c>
      <c r="V425" s="319">
        <f t="shared" si="183"/>
        <v>1737805969</v>
      </c>
      <c r="X425" s="345">
        <f t="shared" si="177"/>
        <v>5.0119812577832334</v>
      </c>
      <c r="Y425" s="346">
        <f t="shared" si="178"/>
        <v>-10.55543686928163</v>
      </c>
      <c r="AA425" s="345">
        <f t="shared" si="179"/>
        <v>32.198912448508537</v>
      </c>
      <c r="AB425" s="346">
        <f t="shared" si="180"/>
        <v>-51.930462650521207</v>
      </c>
      <c r="AD425">
        <f t="shared" si="184"/>
        <v>0</v>
      </c>
      <c r="AE425">
        <f t="shared" si="187"/>
        <v>0</v>
      </c>
    </row>
    <row r="426" spans="1:31" x14ac:dyDescent="0.2">
      <c r="A426" s="347">
        <v>41929.75</v>
      </c>
      <c r="B426" s="364">
        <f t="shared" si="181"/>
        <v>41.929749999999999</v>
      </c>
      <c r="C426" s="337">
        <f t="shared" si="162"/>
        <v>1.4551476693436269</v>
      </c>
      <c r="D426" s="338">
        <f t="shared" si="163"/>
        <v>0.81314729390311613</v>
      </c>
      <c r="E426" s="338">
        <f t="shared" si="164"/>
        <v>1.0000030664036796</v>
      </c>
      <c r="F426" s="339">
        <f t="shared" si="165"/>
        <v>2.4764473925027318E-3</v>
      </c>
      <c r="G426" s="338">
        <f t="shared" si="166"/>
        <v>1</v>
      </c>
      <c r="H426" s="339">
        <f t="shared" si="167"/>
        <v>0</v>
      </c>
      <c r="I426" s="337">
        <f t="shared" si="168"/>
        <v>303504.12288709753</v>
      </c>
      <c r="J426" s="340">
        <f t="shared" si="169"/>
        <v>1.5707930319467394</v>
      </c>
      <c r="K426" s="348">
        <f t="shared" si="185"/>
        <v>7.0423111838061807</v>
      </c>
      <c r="L426" s="349">
        <f t="shared" si="186"/>
        <v>1.4283159038850224</v>
      </c>
      <c r="M426" s="337">
        <f t="shared" si="170"/>
        <v>1.0008480707955563</v>
      </c>
      <c r="N426" s="340">
        <f t="shared" si="171"/>
        <v>4.1169694572231116E-2</v>
      </c>
      <c r="O426" s="341">
        <f t="shared" si="172"/>
        <v>1.0033324103377119</v>
      </c>
      <c r="P426" s="342">
        <f t="shared" si="173"/>
        <v>9.9143556552136969E-2</v>
      </c>
      <c r="Q426" s="343">
        <f t="shared" si="174"/>
        <v>0.35016149473532626</v>
      </c>
      <c r="R426" s="344">
        <f t="shared" si="175"/>
        <v>-62.650713365211665</v>
      </c>
      <c r="S426" s="346">
        <f t="shared" si="176"/>
        <v>117.34928663478834</v>
      </c>
      <c r="U426" s="319">
        <f t="shared" si="182"/>
        <v>1000000000</v>
      </c>
      <c r="V426" s="319">
        <f t="shared" si="183"/>
        <v>1758103935.0625</v>
      </c>
      <c r="X426" s="345">
        <f t="shared" si="177"/>
        <v>5.0108736054209011</v>
      </c>
      <c r="Y426" s="346">
        <f t="shared" si="178"/>
        <v>-10.522187869936175</v>
      </c>
      <c r="AA426" s="345">
        <f t="shared" si="179"/>
        <v>32.17203804740943</v>
      </c>
      <c r="AB426" s="346">
        <f t="shared" si="180"/>
        <v>-52.128525495275476</v>
      </c>
      <c r="AD426">
        <f t="shared" si="184"/>
        <v>0</v>
      </c>
      <c r="AE426">
        <f t="shared" si="187"/>
        <v>0</v>
      </c>
    </row>
    <row r="427" spans="1:31" x14ac:dyDescent="0.2">
      <c r="A427" s="347">
        <v>42172.5</v>
      </c>
      <c r="B427" s="364">
        <f t="shared" si="181"/>
        <v>42.172499999999999</v>
      </c>
      <c r="C427" s="337">
        <f t="shared" si="162"/>
        <v>1.4595996302347256</v>
      </c>
      <c r="D427" s="338">
        <f t="shared" si="163"/>
        <v>0.81602874812840676</v>
      </c>
      <c r="E427" s="338">
        <f t="shared" si="164"/>
        <v>1.0000031020119566</v>
      </c>
      <c r="F427" s="339">
        <f t="shared" si="165"/>
        <v>2.4907845904420952E-3</v>
      </c>
      <c r="G427" s="338">
        <f t="shared" si="166"/>
        <v>1</v>
      </c>
      <c r="H427" s="339">
        <f t="shared" si="167"/>
        <v>0</v>
      </c>
      <c r="I427" s="337">
        <f t="shared" si="168"/>
        <v>305261.24344779836</v>
      </c>
      <c r="J427" s="340">
        <f t="shared" si="169"/>
        <v>1.5707930509122832</v>
      </c>
      <c r="K427" s="348">
        <f t="shared" si="185"/>
        <v>7.0822624842638389</v>
      </c>
      <c r="L427" s="349">
        <f t="shared" si="186"/>
        <v>1.429125077593675</v>
      </c>
      <c r="M427" s="337">
        <f t="shared" si="170"/>
        <v>1.0008579147192895</v>
      </c>
      <c r="N427" s="340">
        <f t="shared" si="171"/>
        <v>4.1407772698471727E-2</v>
      </c>
      <c r="O427" s="341">
        <f t="shared" si="172"/>
        <v>1.0033710575267507</v>
      </c>
      <c r="P427" s="342">
        <f t="shared" si="173"/>
        <v>9.9715593659389576E-2</v>
      </c>
      <c r="Q427" s="343">
        <f t="shared" si="174"/>
        <v>0.3222029388526374</v>
      </c>
      <c r="R427" s="344">
        <f t="shared" si="175"/>
        <v>-62.815042102482039</v>
      </c>
      <c r="S427" s="346">
        <f t="shared" si="176"/>
        <v>117.18495789751796</v>
      </c>
      <c r="U427" s="319">
        <f t="shared" si="182"/>
        <v>1000000000</v>
      </c>
      <c r="V427" s="319">
        <f t="shared" si="183"/>
        <v>1778519756.25</v>
      </c>
      <c r="X427" s="345">
        <f t="shared" si="177"/>
        <v>5.0097828365600598</v>
      </c>
      <c r="Y427" s="346">
        <f t="shared" si="178"/>
        <v>-10.489467589973625</v>
      </c>
      <c r="AA427" s="345">
        <f t="shared" si="179"/>
        <v>32.145170260387587</v>
      </c>
      <c r="AB427" s="346">
        <f t="shared" si="180"/>
        <v>-52.325574512508403</v>
      </c>
      <c r="AD427">
        <f t="shared" si="184"/>
        <v>0</v>
      </c>
      <c r="AE427">
        <f t="shared" si="187"/>
        <v>0</v>
      </c>
    </row>
    <row r="428" spans="1:31" x14ac:dyDescent="0.2">
      <c r="A428" s="347">
        <v>42415.25</v>
      </c>
      <c r="B428" s="364">
        <f t="shared" si="181"/>
        <v>42.41525</v>
      </c>
      <c r="C428" s="337">
        <f t="shared" si="162"/>
        <v>1.4640636360978136</v>
      </c>
      <c r="D428" s="338">
        <f t="shared" si="163"/>
        <v>0.81889265460515914</v>
      </c>
      <c r="E428" s="338">
        <f t="shared" si="164"/>
        <v>1.0000031378257896</v>
      </c>
      <c r="F428" s="339">
        <f t="shared" si="165"/>
        <v>2.5051217873574695E-3</v>
      </c>
      <c r="G428" s="338">
        <f t="shared" si="166"/>
        <v>1</v>
      </c>
      <c r="H428" s="339">
        <f t="shared" si="167"/>
        <v>0</v>
      </c>
      <c r="I428" s="337">
        <f t="shared" si="168"/>
        <v>307018.36400849931</v>
      </c>
      <c r="J428" s="340">
        <f t="shared" si="169"/>
        <v>1.5707930696607404</v>
      </c>
      <c r="K428" s="348">
        <f t="shared" si="185"/>
        <v>7.1222183698930381</v>
      </c>
      <c r="L428" s="349">
        <f t="shared" si="186"/>
        <v>1.429925172837637</v>
      </c>
      <c r="M428" s="337">
        <f t="shared" si="170"/>
        <v>1.000867815371727</v>
      </c>
      <c r="N428" s="340">
        <f t="shared" si="171"/>
        <v>4.1645846128036394E-2</v>
      </c>
      <c r="O428" s="341">
        <f t="shared" si="172"/>
        <v>1.0034099266590328</v>
      </c>
      <c r="P428" s="342">
        <f t="shared" si="173"/>
        <v>0.10028759718070125</v>
      </c>
      <c r="Q428" s="343">
        <f t="shared" si="174"/>
        <v>0.29426831751205862</v>
      </c>
      <c r="R428" s="344">
        <f t="shared" si="175"/>
        <v>-62.97888337972006</v>
      </c>
      <c r="S428" s="346">
        <f t="shared" si="176"/>
        <v>117.02111662027994</v>
      </c>
      <c r="U428" s="319">
        <f t="shared" si="182"/>
        <v>1000000000</v>
      </c>
      <c r="V428" s="319">
        <f t="shared" si="183"/>
        <v>1799053432.5625</v>
      </c>
      <c r="X428" s="345">
        <f t="shared" si="177"/>
        <v>5.0087085611440614</v>
      </c>
      <c r="Y428" s="346">
        <f t="shared" si="178"/>
        <v>-10.457267186185062</v>
      </c>
      <c r="AA428" s="345">
        <f t="shared" si="179"/>
        <v>32.118309914463005</v>
      </c>
      <c r="AB428" s="346">
        <f t="shared" si="180"/>
        <v>-52.521616193534989</v>
      </c>
      <c r="AD428">
        <f t="shared" si="184"/>
        <v>0</v>
      </c>
      <c r="AE428">
        <f t="shared" si="187"/>
        <v>0</v>
      </c>
    </row>
    <row r="429" spans="1:31" x14ac:dyDescent="0.2">
      <c r="A429" s="347">
        <v>42658</v>
      </c>
      <c r="B429" s="364">
        <f t="shared" si="181"/>
        <v>42.658000000000001</v>
      </c>
      <c r="C429" s="337">
        <f t="shared" si="162"/>
        <v>1.4685395770914718</v>
      </c>
      <c r="D429" s="338">
        <f t="shared" si="163"/>
        <v>0.82173912659021286</v>
      </c>
      <c r="E429" s="338">
        <f t="shared" si="164"/>
        <v>1.0000031738451785</v>
      </c>
      <c r="F429" s="339">
        <f t="shared" si="165"/>
        <v>2.5194589832429597E-3</v>
      </c>
      <c r="G429" s="338">
        <f t="shared" si="166"/>
        <v>1</v>
      </c>
      <c r="H429" s="339">
        <f t="shared" si="167"/>
        <v>0</v>
      </c>
      <c r="I429" s="337">
        <f t="shared" si="168"/>
        <v>308775.48456920037</v>
      </c>
      <c r="J429" s="340">
        <f t="shared" si="169"/>
        <v>1.5707930881958174</v>
      </c>
      <c r="K429" s="348">
        <f t="shared" si="185"/>
        <v>7.1621787639554277</v>
      </c>
      <c r="L429" s="349">
        <f t="shared" si="186"/>
        <v>1.4307163405400196</v>
      </c>
      <c r="M429" s="337">
        <f t="shared" si="170"/>
        <v>1.0008777727511848</v>
      </c>
      <c r="N429" s="340">
        <f t="shared" si="171"/>
        <v>4.1883914834077399E-2</v>
      </c>
      <c r="O429" s="341">
        <f t="shared" si="172"/>
        <v>1.0034490177147184</v>
      </c>
      <c r="P429" s="342">
        <f t="shared" si="173"/>
        <v>0.10085956692758574</v>
      </c>
      <c r="Q429" s="343">
        <f t="shared" si="174"/>
        <v>0.266358062542913</v>
      </c>
      <c r="R429" s="344">
        <f t="shared" si="175"/>
        <v>-63.142235026682251</v>
      </c>
      <c r="S429" s="346">
        <f t="shared" si="176"/>
        <v>116.85776497331776</v>
      </c>
      <c r="U429" s="319">
        <f t="shared" si="182"/>
        <v>1000000000</v>
      </c>
      <c r="V429" s="319">
        <f t="shared" si="183"/>
        <v>1819704964</v>
      </c>
      <c r="X429" s="345">
        <f t="shared" si="177"/>
        <v>5.0076503999673072</v>
      </c>
      <c r="Y429" s="346">
        <f t="shared" si="178"/>
        <v>-10.425578009987243</v>
      </c>
      <c r="AA429" s="345">
        <f t="shared" si="179"/>
        <v>32.091457820670612</v>
      </c>
      <c r="AB429" s="346">
        <f t="shared" si="180"/>
        <v>-52.716657016695017</v>
      </c>
      <c r="AD429">
        <f t="shared" si="184"/>
        <v>0</v>
      </c>
      <c r="AE429">
        <f t="shared" si="187"/>
        <v>0</v>
      </c>
    </row>
    <row r="430" spans="1:31" x14ac:dyDescent="0.2">
      <c r="A430" s="347">
        <v>42906.5</v>
      </c>
      <c r="B430" s="364">
        <f t="shared" si="181"/>
        <v>42.906500000000001</v>
      </c>
      <c r="C430" s="337">
        <f t="shared" si="162"/>
        <v>1.4731337883052289</v>
      </c>
      <c r="D430" s="338">
        <f t="shared" si="163"/>
        <v>0.8246350818765974</v>
      </c>
      <c r="E430" s="338">
        <f t="shared" si="164"/>
        <v>1.0000032109306727</v>
      </c>
      <c r="F430" s="339">
        <f t="shared" si="165"/>
        <v>2.5341357820775363E-3</v>
      </c>
      <c r="G430" s="338">
        <f t="shared" si="166"/>
        <v>1</v>
      </c>
      <c r="H430" s="339">
        <f t="shared" si="167"/>
        <v>0</v>
      </c>
      <c r="I430" s="337">
        <f t="shared" si="168"/>
        <v>310574.2259052837</v>
      </c>
      <c r="J430" s="340">
        <f t="shared" si="169"/>
        <v>1.5707931069526928</v>
      </c>
      <c r="K430" s="348">
        <f t="shared" si="185"/>
        <v>7.2030902882527492</v>
      </c>
      <c r="L430" s="349">
        <f t="shared" si="186"/>
        <v>1.4315171554161443</v>
      </c>
      <c r="M430" s="337">
        <f t="shared" si="170"/>
        <v>1.000888024747</v>
      </c>
      <c r="N430" s="340">
        <f t="shared" si="171"/>
        <v>4.2127617733976871E-2</v>
      </c>
      <c r="O430" s="341">
        <f t="shared" si="172"/>
        <v>1.0034892645669975</v>
      </c>
      <c r="P430" s="342">
        <f t="shared" si="173"/>
        <v>0.10144504969589604</v>
      </c>
      <c r="Q430" s="343">
        <f t="shared" si="174"/>
        <v>0.23781238381519934</v>
      </c>
      <c r="R430" s="344">
        <f t="shared" si="175"/>
        <v>-63.308946725148893</v>
      </c>
      <c r="S430" s="346">
        <f t="shared" si="176"/>
        <v>116.6910532748511</v>
      </c>
      <c r="U430" s="319">
        <f t="shared" si="182"/>
        <v>1000000000</v>
      </c>
      <c r="V430" s="319">
        <f t="shared" si="183"/>
        <v>1840967742.25</v>
      </c>
      <c r="X430" s="345">
        <f t="shared" si="177"/>
        <v>5.0065834806456948</v>
      </c>
      <c r="Y430" s="346">
        <f t="shared" si="178"/>
        <v>-10.393658919686663</v>
      </c>
      <c r="AA430" s="345">
        <f t="shared" si="179"/>
        <v>32.063979061264519</v>
      </c>
      <c r="AB430" s="346">
        <f t="shared" si="180"/>
        <v>-52.915287805462256</v>
      </c>
      <c r="AD430">
        <f t="shared" si="184"/>
        <v>0</v>
      </c>
      <c r="AE430">
        <f t="shared" si="187"/>
        <v>0</v>
      </c>
    </row>
    <row r="431" spans="1:31" x14ac:dyDescent="0.2">
      <c r="A431" s="347">
        <v>43155</v>
      </c>
      <c r="B431" s="364">
        <f t="shared" si="181"/>
        <v>43.155000000000001</v>
      </c>
      <c r="C431" s="337">
        <f t="shared" si="162"/>
        <v>1.4777402771602621</v>
      </c>
      <c r="D431" s="338">
        <f t="shared" si="163"/>
        <v>0.82751300632887204</v>
      </c>
      <c r="E431" s="338">
        <f t="shared" si="164"/>
        <v>1.0000032482315759</v>
      </c>
      <c r="F431" s="339">
        <f t="shared" si="165"/>
        <v>2.5488125798203624E-3</v>
      </c>
      <c r="G431" s="338">
        <f t="shared" si="166"/>
        <v>1</v>
      </c>
      <c r="H431" s="339">
        <f t="shared" si="167"/>
        <v>0</v>
      </c>
      <c r="I431" s="337">
        <f t="shared" si="168"/>
        <v>312372.96724136721</v>
      </c>
      <c r="J431" s="340">
        <f t="shared" si="169"/>
        <v>1.5707931254935521</v>
      </c>
      <c r="K431" s="348">
        <f t="shared" si="185"/>
        <v>7.2440063797452217</v>
      </c>
      <c r="L431" s="349">
        <f t="shared" si="186"/>
        <v>1.4323089243607308</v>
      </c>
      <c r="M431" s="337">
        <f t="shared" si="170"/>
        <v>1.0008983361854393</v>
      </c>
      <c r="N431" s="340">
        <f t="shared" si="171"/>
        <v>4.2371315627005537E-2</v>
      </c>
      <c r="O431" s="341">
        <f t="shared" si="172"/>
        <v>1.0035297439381339</v>
      </c>
      <c r="P431" s="342">
        <f t="shared" si="173"/>
        <v>0.10203049667134814</v>
      </c>
      <c r="Q431" s="343">
        <f t="shared" si="174"/>
        <v>0.20929313815683098</v>
      </c>
      <c r="R431" s="344">
        <f t="shared" si="175"/>
        <v>-63.475141276651748</v>
      </c>
      <c r="S431" s="346">
        <f t="shared" si="176"/>
        <v>116.52485872334825</v>
      </c>
      <c r="U431" s="319">
        <f t="shared" si="182"/>
        <v>1000000000</v>
      </c>
      <c r="V431" s="319">
        <f t="shared" si="183"/>
        <v>1862354025</v>
      </c>
      <c r="X431" s="345">
        <f t="shared" si="177"/>
        <v>5.0055326771220248</v>
      </c>
      <c r="Y431" s="346">
        <f t="shared" si="178"/>
        <v>-10.362257823836213</v>
      </c>
      <c r="AA431" s="345">
        <f t="shared" si="179"/>
        <v>32.036510619129814</v>
      </c>
      <c r="AB431" s="346">
        <f t="shared" si="180"/>
        <v>-53.112883452815552</v>
      </c>
      <c r="AD431">
        <f t="shared" si="184"/>
        <v>0</v>
      </c>
      <c r="AE431">
        <f t="shared" si="187"/>
        <v>0</v>
      </c>
    </row>
    <row r="432" spans="1:31" x14ac:dyDescent="0.2">
      <c r="A432" s="347">
        <v>43403.5</v>
      </c>
      <c r="B432" s="364">
        <f t="shared" si="181"/>
        <v>43.403500000000001</v>
      </c>
      <c r="C432" s="337">
        <f t="shared" si="162"/>
        <v>1.482358929196812</v>
      </c>
      <c r="D432" s="338">
        <f t="shared" si="163"/>
        <v>0.83037302059040985</v>
      </c>
      <c r="E432" s="338">
        <f t="shared" si="164"/>
        <v>1.0000032857478884</v>
      </c>
      <c r="F432" s="339">
        <f t="shared" si="165"/>
        <v>2.5634893764651147E-3</v>
      </c>
      <c r="G432" s="338">
        <f t="shared" si="166"/>
        <v>1</v>
      </c>
      <c r="H432" s="339">
        <f t="shared" si="167"/>
        <v>0</v>
      </c>
      <c r="I432" s="337">
        <f t="shared" si="168"/>
        <v>314171.70857745077</v>
      </c>
      <c r="J432" s="340">
        <f t="shared" si="169"/>
        <v>1.5707931438221059</v>
      </c>
      <c r="K432" s="348">
        <f t="shared" si="185"/>
        <v>7.2849269614773275</v>
      </c>
      <c r="L432" s="349">
        <f t="shared" si="186"/>
        <v>1.433091798809869</v>
      </c>
      <c r="M432" s="337">
        <f t="shared" si="170"/>
        <v>1.0009087070646661</v>
      </c>
      <c r="N432" s="340">
        <f t="shared" si="171"/>
        <v>4.2615008484372809E-2</v>
      </c>
      <c r="O432" s="341">
        <f t="shared" si="172"/>
        <v>1.0035704558064875</v>
      </c>
      <c r="P432" s="342">
        <f t="shared" si="173"/>
        <v>0.10261590765201138</v>
      </c>
      <c r="Q432" s="343">
        <f t="shared" si="174"/>
        <v>0.18080077122144822</v>
      </c>
      <c r="R432" s="344">
        <f t="shared" si="175"/>
        <v>-63.640816903891654</v>
      </c>
      <c r="S432" s="346">
        <f t="shared" si="176"/>
        <v>116.35918309610835</v>
      </c>
      <c r="U432" s="319">
        <f t="shared" si="182"/>
        <v>1000000000</v>
      </c>
      <c r="V432" s="319">
        <f t="shared" si="183"/>
        <v>1883863812.25</v>
      </c>
      <c r="X432" s="345">
        <f t="shared" si="177"/>
        <v>5.0044976156353949</v>
      </c>
      <c r="Y432" s="346">
        <f t="shared" si="178"/>
        <v>-10.331366044350066</v>
      </c>
      <c r="AA432" s="345">
        <f t="shared" si="179"/>
        <v>32.009053313681065</v>
      </c>
      <c r="AB432" s="346">
        <f t="shared" si="180"/>
        <v>-53.309450859541599</v>
      </c>
      <c r="AD432">
        <f t="shared" si="184"/>
        <v>0</v>
      </c>
      <c r="AE432">
        <f t="shared" si="187"/>
        <v>0</v>
      </c>
    </row>
    <row r="433" spans="1:31" x14ac:dyDescent="0.2">
      <c r="A433" s="347">
        <v>43652</v>
      </c>
      <c r="B433" s="364">
        <f t="shared" si="181"/>
        <v>43.652000000000001</v>
      </c>
      <c r="C433" s="337">
        <f t="shared" si="162"/>
        <v>1.48698963107683</v>
      </c>
      <c r="D433" s="338">
        <f t="shared" si="163"/>
        <v>0.83321524497970245</v>
      </c>
      <c r="E433" s="338">
        <f t="shared" si="164"/>
        <v>1.0000033234796097</v>
      </c>
      <c r="F433" s="339">
        <f t="shared" si="165"/>
        <v>2.5781661720054709E-3</v>
      </c>
      <c r="G433" s="338">
        <f t="shared" si="166"/>
        <v>1</v>
      </c>
      <c r="H433" s="339">
        <f t="shared" si="167"/>
        <v>0</v>
      </c>
      <c r="I433" s="337">
        <f t="shared" si="168"/>
        <v>315970.44991353445</v>
      </c>
      <c r="J433" s="340">
        <f t="shared" si="169"/>
        <v>1.5707931619419799</v>
      </c>
      <c r="K433" s="348">
        <f t="shared" si="185"/>
        <v>7.3258519582046242</v>
      </c>
      <c r="L433" s="349">
        <f t="shared" si="186"/>
        <v>1.4338659268599006</v>
      </c>
      <c r="M433" s="337">
        <f t="shared" si="170"/>
        <v>1.0009191373828321</v>
      </c>
      <c r="N433" s="340">
        <f t="shared" si="171"/>
        <v>4.2858696277291677E-2</v>
      </c>
      <c r="O433" s="341">
        <f t="shared" si="172"/>
        <v>1.0036114001502967</v>
      </c>
      <c r="P433" s="342">
        <f t="shared" si="173"/>
        <v>0.10320128243604676</v>
      </c>
      <c r="Q433" s="343">
        <f t="shared" si="174"/>
        <v>0.15233572247764804</v>
      </c>
      <c r="R433" s="344">
        <f t="shared" si="175"/>
        <v>-63.805972002309289</v>
      </c>
      <c r="S433" s="346">
        <f t="shared" si="176"/>
        <v>116.19402799769071</v>
      </c>
      <c r="U433" s="319">
        <f t="shared" si="182"/>
        <v>1000000000</v>
      </c>
      <c r="V433" s="319">
        <f t="shared" si="183"/>
        <v>1905497104</v>
      </c>
      <c r="X433" s="345">
        <f t="shared" si="177"/>
        <v>5.0034779328357972</v>
      </c>
      <c r="Y433" s="346">
        <f t="shared" si="178"/>
        <v>-10.300975094491255</v>
      </c>
      <c r="AA433" s="345">
        <f t="shared" si="179"/>
        <v>31.981607947736855</v>
      </c>
      <c r="AB433" s="346">
        <f t="shared" si="180"/>
        <v>-53.504996907818033</v>
      </c>
      <c r="AD433">
        <f t="shared" si="184"/>
        <v>0</v>
      </c>
      <c r="AE433">
        <f t="shared" si="187"/>
        <v>0</v>
      </c>
    </row>
    <row r="434" spans="1:31" x14ac:dyDescent="0.2">
      <c r="A434" s="347">
        <v>43906</v>
      </c>
      <c r="B434" s="364">
        <f t="shared" si="181"/>
        <v>43.905999999999999</v>
      </c>
      <c r="C434" s="337">
        <f t="shared" si="162"/>
        <v>1.4917351593534407</v>
      </c>
      <c r="D434" s="338">
        <f t="shared" si="163"/>
        <v>0.83610211580609639</v>
      </c>
      <c r="E434" s="338">
        <f t="shared" si="164"/>
        <v>1.000003362269053</v>
      </c>
      <c r="F434" s="339">
        <f t="shared" si="165"/>
        <v>2.5931678049309985E-3</v>
      </c>
      <c r="G434" s="338">
        <f t="shared" si="166"/>
        <v>1</v>
      </c>
      <c r="H434" s="339">
        <f t="shared" si="167"/>
        <v>0</v>
      </c>
      <c r="I434" s="337">
        <f t="shared" si="168"/>
        <v>317809.0024260708</v>
      </c>
      <c r="J434" s="340">
        <f t="shared" si="169"/>
        <v>1.5707931802509272</v>
      </c>
      <c r="K434" s="348">
        <f t="shared" si="185"/>
        <v>7.3676872256256809</v>
      </c>
      <c r="L434" s="349">
        <f t="shared" si="186"/>
        <v>1.4346483003918866</v>
      </c>
      <c r="M434" s="337">
        <f t="shared" si="170"/>
        <v>1.0009298599779992</v>
      </c>
      <c r="N434" s="340">
        <f t="shared" si="171"/>
        <v>4.3107772298819215E-2</v>
      </c>
      <c r="O434" s="341">
        <f t="shared" si="172"/>
        <v>1.0036534909345605</v>
      </c>
      <c r="P434" s="342">
        <f t="shared" si="173"/>
        <v>0.10379957558399382</v>
      </c>
      <c r="Q434" s="343">
        <f t="shared" si="174"/>
        <v>0.12326934534990576</v>
      </c>
      <c r="R434" s="344">
        <f t="shared" si="175"/>
        <v>-63.974243011341215</v>
      </c>
      <c r="S434" s="346">
        <f t="shared" si="176"/>
        <v>116.02575698865878</v>
      </c>
      <c r="U434" s="319">
        <f t="shared" si="182"/>
        <v>1000000000</v>
      </c>
      <c r="V434" s="319">
        <f t="shared" si="183"/>
        <v>1927736836</v>
      </c>
      <c r="X434" s="345">
        <f t="shared" si="177"/>
        <v>5.0024512068813198</v>
      </c>
      <c r="Y434" s="346">
        <f t="shared" si="178"/>
        <v>-10.270420446907634</v>
      </c>
      <c r="AA434" s="345">
        <f t="shared" si="179"/>
        <v>31.953568296563596</v>
      </c>
      <c r="AB434" s="346">
        <f t="shared" si="180"/>
        <v>-53.703822564433558</v>
      </c>
      <c r="AD434">
        <f t="shared" si="184"/>
        <v>0</v>
      </c>
      <c r="AE434">
        <f t="shared" si="187"/>
        <v>0</v>
      </c>
    </row>
    <row r="435" spans="1:31" x14ac:dyDescent="0.2">
      <c r="A435" s="347">
        <v>44160</v>
      </c>
      <c r="B435" s="364">
        <f t="shared" si="181"/>
        <v>44.16</v>
      </c>
      <c r="C435" s="337">
        <f t="shared" si="162"/>
        <v>1.4964930408780102</v>
      </c>
      <c r="D435" s="338">
        <f t="shared" si="163"/>
        <v>0.83897065364246115</v>
      </c>
      <c r="E435" s="338">
        <f t="shared" si="164"/>
        <v>1.0000034012835459</v>
      </c>
      <c r="F435" s="339">
        <f t="shared" si="165"/>
        <v>2.608169436689344E-3</v>
      </c>
      <c r="G435" s="338">
        <f t="shared" si="166"/>
        <v>1</v>
      </c>
      <c r="H435" s="339">
        <f t="shared" si="167"/>
        <v>0</v>
      </c>
      <c r="I435" s="337">
        <f t="shared" si="168"/>
        <v>319647.55493860721</v>
      </c>
      <c r="J435" s="340">
        <f t="shared" si="169"/>
        <v>1.5707931983492553</v>
      </c>
      <c r="K435" s="348">
        <f t="shared" si="185"/>
        <v>7.4095269519417295</v>
      </c>
      <c r="L435" s="349">
        <f t="shared" si="186"/>
        <v>1.4354218386616564</v>
      </c>
      <c r="M435" s="337">
        <f t="shared" si="170"/>
        <v>1.0009406446683855</v>
      </c>
      <c r="N435" s="340">
        <f t="shared" si="171"/>
        <v>4.3356842968431772E-2</v>
      </c>
      <c r="O435" s="341">
        <f t="shared" si="172"/>
        <v>1.003695824552467</v>
      </c>
      <c r="P435" s="342">
        <f t="shared" si="173"/>
        <v>0.10439783048920018</v>
      </c>
      <c r="Q435" s="343">
        <f t="shared" si="174"/>
        <v>9.4232417276818359E-2</v>
      </c>
      <c r="R435" s="344">
        <f t="shared" si="175"/>
        <v>-64.141967330863366</v>
      </c>
      <c r="S435" s="346">
        <f t="shared" si="176"/>
        <v>115.85803266913663</v>
      </c>
      <c r="U435" s="319">
        <f t="shared" si="182"/>
        <v>1000000000</v>
      </c>
      <c r="V435" s="319">
        <f t="shared" si="183"/>
        <v>1950105600</v>
      </c>
      <c r="X435" s="345">
        <f t="shared" si="177"/>
        <v>5.001439812078039</v>
      </c>
      <c r="Y435" s="346">
        <f t="shared" si="178"/>
        <v>-10.240371703850755</v>
      </c>
      <c r="AA435" s="345">
        <f t="shared" si="179"/>
        <v>31.925542763293787</v>
      </c>
      <c r="AB435" s="346">
        <f t="shared" si="180"/>
        <v>-53.901595627012604</v>
      </c>
      <c r="AD435">
        <f t="shared" si="184"/>
        <v>0</v>
      </c>
      <c r="AE435">
        <f t="shared" si="187"/>
        <v>0</v>
      </c>
    </row>
    <row r="436" spans="1:31" x14ac:dyDescent="0.2">
      <c r="A436" s="347">
        <v>44414</v>
      </c>
      <c r="B436" s="364">
        <f t="shared" si="181"/>
        <v>44.414000000000001</v>
      </c>
      <c r="C436" s="337">
        <f t="shared" si="162"/>
        <v>1.5012631581988696</v>
      </c>
      <c r="D436" s="338">
        <f t="shared" si="163"/>
        <v>0.84182098581028786</v>
      </c>
      <c r="E436" s="338">
        <f t="shared" si="164"/>
        <v>1.0000034405230884</v>
      </c>
      <c r="F436" s="339">
        <f t="shared" si="165"/>
        <v>2.6231710672737557E-3</v>
      </c>
      <c r="G436" s="338">
        <f t="shared" si="166"/>
        <v>1</v>
      </c>
      <c r="H436" s="339">
        <f t="shared" si="167"/>
        <v>0</v>
      </c>
      <c r="I436" s="337">
        <f t="shared" si="168"/>
        <v>321486.10745114373</v>
      </c>
      <c r="J436" s="340">
        <f t="shared" si="169"/>
        <v>1.5707932162405778</v>
      </c>
      <c r="K436" s="348">
        <f t="shared" si="185"/>
        <v>7.4513710620421856</v>
      </c>
      <c r="L436" s="349">
        <f t="shared" si="186"/>
        <v>1.4361866895821873</v>
      </c>
      <c r="M436" s="337">
        <f t="shared" si="170"/>
        <v>1.0009514914519839</v>
      </c>
      <c r="N436" s="340">
        <f t="shared" si="171"/>
        <v>4.3605908255400054E-2</v>
      </c>
      <c r="O436" s="341">
        <f t="shared" si="172"/>
        <v>1.003738400980388</v>
      </c>
      <c r="P436" s="342">
        <f t="shared" si="173"/>
        <v>0.10499604693642685</v>
      </c>
      <c r="Q436" s="343">
        <f t="shared" si="174"/>
        <v>6.5225386880871081E-2</v>
      </c>
      <c r="R436" s="344">
        <f t="shared" si="175"/>
        <v>-64.309143767184977</v>
      </c>
      <c r="S436" s="346">
        <f t="shared" si="176"/>
        <v>115.69085623281502</v>
      </c>
      <c r="U436" s="319">
        <f t="shared" si="182"/>
        <v>1000000000</v>
      </c>
      <c r="V436" s="319">
        <f t="shared" si="183"/>
        <v>1972603396</v>
      </c>
      <c r="X436" s="345">
        <f t="shared" si="177"/>
        <v>5.0004433919368054</v>
      </c>
      <c r="Y436" s="346">
        <f t="shared" si="178"/>
        <v>-10.210820388977641</v>
      </c>
      <c r="AA436" s="345">
        <f t="shared" si="179"/>
        <v>31.897532153039077</v>
      </c>
      <c r="AB436" s="346">
        <f t="shared" si="180"/>
        <v>-54.09832337820734</v>
      </c>
      <c r="AD436">
        <f t="shared" si="184"/>
        <v>0</v>
      </c>
      <c r="AE436">
        <f t="shared" si="187"/>
        <v>0</v>
      </c>
    </row>
    <row r="437" spans="1:31" x14ac:dyDescent="0.2">
      <c r="A437" s="347">
        <v>44668</v>
      </c>
      <c r="B437" s="364">
        <f t="shared" si="181"/>
        <v>44.667999999999999</v>
      </c>
      <c r="C437" s="337">
        <f t="shared" si="162"/>
        <v>1.5060453950522297</v>
      </c>
      <c r="D437" s="338">
        <f t="shared" si="163"/>
        <v>0.84465323920339352</v>
      </c>
      <c r="E437" s="338">
        <f t="shared" si="164"/>
        <v>1.0000034799876807</v>
      </c>
      <c r="F437" s="339">
        <f t="shared" si="165"/>
        <v>2.6381726966774807E-3</v>
      </c>
      <c r="G437" s="338">
        <f t="shared" si="166"/>
        <v>1</v>
      </c>
      <c r="H437" s="339">
        <f t="shared" si="167"/>
        <v>0</v>
      </c>
      <c r="I437" s="337">
        <f t="shared" si="168"/>
        <v>323324.65996368043</v>
      </c>
      <c r="J437" s="340">
        <f t="shared" si="169"/>
        <v>1.5707932339284258</v>
      </c>
      <c r="K437" s="348">
        <f t="shared" si="185"/>
        <v>7.4932194824864302</v>
      </c>
      <c r="L437" s="349">
        <f t="shared" si="186"/>
        <v>1.436942997803355</v>
      </c>
      <c r="M437" s="337">
        <f t="shared" si="170"/>
        <v>1.0009624003267759</v>
      </c>
      <c r="N437" s="340">
        <f t="shared" si="171"/>
        <v>4.3854968128998757E-2</v>
      </c>
      <c r="O437" s="341">
        <f t="shared" si="172"/>
        <v>1.0037812201945642</v>
      </c>
      <c r="P437" s="342">
        <f t="shared" si="173"/>
        <v>0.10559422471053719</v>
      </c>
      <c r="Q437" s="343">
        <f t="shared" si="174"/>
        <v>3.6248695640479424E-2</v>
      </c>
      <c r="R437" s="344">
        <f t="shared" si="175"/>
        <v>-64.475771289074686</v>
      </c>
      <c r="S437" s="346">
        <f t="shared" si="176"/>
        <v>115.52422871092531</v>
      </c>
      <c r="U437" s="319">
        <f t="shared" si="182"/>
        <v>1000000000</v>
      </c>
      <c r="V437" s="319">
        <f t="shared" si="183"/>
        <v>1995230224</v>
      </c>
      <c r="X437" s="345">
        <f t="shared" si="177"/>
        <v>4.99946159989568</v>
      </c>
      <c r="Y437" s="346">
        <f t="shared" si="178"/>
        <v>-10.181758212902789</v>
      </c>
      <c r="AA437" s="345">
        <f t="shared" si="179"/>
        <v>31.869537253839802</v>
      </c>
      <c r="AB437" s="346">
        <f t="shared" si="180"/>
        <v>-54.294013076171908</v>
      </c>
      <c r="AD437">
        <f t="shared" si="184"/>
        <v>0</v>
      </c>
      <c r="AE437">
        <f t="shared" si="187"/>
        <v>0</v>
      </c>
    </row>
    <row r="438" spans="1:31" x14ac:dyDescent="0.2">
      <c r="A438" s="347">
        <v>44928.25</v>
      </c>
      <c r="B438" s="364">
        <f t="shared" si="181"/>
        <v>44.928249999999998</v>
      </c>
      <c r="C438" s="337">
        <f t="shared" si="162"/>
        <v>1.5109577552438798</v>
      </c>
      <c r="D438" s="338">
        <f t="shared" si="163"/>
        <v>0.84753656457324267</v>
      </c>
      <c r="E438" s="338">
        <f t="shared" si="164"/>
        <v>1.0000035206567748</v>
      </c>
      <c r="F438" s="339">
        <f t="shared" si="165"/>
        <v>2.6535434594313076E-3</v>
      </c>
      <c r="G438" s="338">
        <f t="shared" si="166"/>
        <v>1</v>
      </c>
      <c r="H438" s="339">
        <f t="shared" si="167"/>
        <v>0</v>
      </c>
      <c r="I438" s="337">
        <f t="shared" si="168"/>
        <v>325208.45244945871</v>
      </c>
      <c r="J438" s="340">
        <f t="shared" si="169"/>
        <v>1.570793251844069</v>
      </c>
      <c r="K438" s="348">
        <f t="shared" si="185"/>
        <v>7.5361020333369968</v>
      </c>
      <c r="L438" s="349">
        <f t="shared" si="186"/>
        <v>1.4377092033029788</v>
      </c>
      <c r="M438" s="337">
        <f t="shared" si="170"/>
        <v>1.0009736420282247</v>
      </c>
      <c r="N438" s="340">
        <f t="shared" si="171"/>
        <v>4.4110150797430366E-2</v>
      </c>
      <c r="O438" s="341">
        <f t="shared" si="172"/>
        <v>1.0038253448270149</v>
      </c>
      <c r="P438" s="342">
        <f t="shared" si="173"/>
        <v>0.10620708108884794</v>
      </c>
      <c r="Q438" s="343">
        <f t="shared" si="174"/>
        <v>6.5909174789485613E-3</v>
      </c>
      <c r="R438" s="344">
        <f t="shared" si="175"/>
        <v>-64.645928643044272</v>
      </c>
      <c r="S438" s="346">
        <f t="shared" si="176"/>
        <v>115.35407135695573</v>
      </c>
      <c r="U438" s="319">
        <f t="shared" si="182"/>
        <v>1000000000</v>
      </c>
      <c r="V438" s="319">
        <f t="shared" si="183"/>
        <v>2018547648.0625</v>
      </c>
      <c r="X438" s="345">
        <f t="shared" si="177"/>
        <v>4.9984704697201678</v>
      </c>
      <c r="Y438" s="346">
        <f t="shared" si="178"/>
        <v>-10.152479787897935</v>
      </c>
      <c r="AA438" s="345">
        <f t="shared" si="179"/>
        <v>31.840870605853794</v>
      </c>
      <c r="AB438" s="346">
        <f t="shared" si="180"/>
        <v>-54.493448855146333</v>
      </c>
      <c r="AD438">
        <f t="shared" si="184"/>
        <v>44928.25</v>
      </c>
      <c r="AE438">
        <f t="shared" si="187"/>
        <v>115.35407135695573</v>
      </c>
    </row>
    <row r="439" spans="1:31" x14ac:dyDescent="0.2">
      <c r="A439" s="347">
        <v>45188.5</v>
      </c>
      <c r="B439" s="364">
        <f t="shared" si="181"/>
        <v>45.188499999999998</v>
      </c>
      <c r="C439" s="337">
        <f t="shared" si="162"/>
        <v>1.5158825954075419</v>
      </c>
      <c r="D439" s="338">
        <f t="shared" si="163"/>
        <v>0.85040117877952481</v>
      </c>
      <c r="E439" s="338">
        <f t="shared" si="164"/>
        <v>1.0000035615621299</v>
      </c>
      <c r="F439" s="339">
        <f t="shared" si="165"/>
        <v>2.6689142209312777E-3</v>
      </c>
      <c r="G439" s="338">
        <f t="shared" si="166"/>
        <v>1</v>
      </c>
      <c r="H439" s="339">
        <f t="shared" si="167"/>
        <v>0</v>
      </c>
      <c r="I439" s="337">
        <f t="shared" si="168"/>
        <v>327092.24493523716</v>
      </c>
      <c r="J439" s="340">
        <f t="shared" si="169"/>
        <v>1.5707932695533524</v>
      </c>
      <c r="K439" s="348">
        <f t="shared" si="185"/>
        <v>7.5789889583467396</v>
      </c>
      <c r="L439" s="349">
        <f t="shared" si="186"/>
        <v>1.4384667378496419</v>
      </c>
      <c r="M439" s="337">
        <f t="shared" si="170"/>
        <v>1.0009849489098028</v>
      </c>
      <c r="N439" s="340">
        <f t="shared" si="171"/>
        <v>4.4365327717516098E-2</v>
      </c>
      <c r="O439" s="341">
        <f t="shared" si="172"/>
        <v>1.0038697242899413</v>
      </c>
      <c r="P439" s="342">
        <f t="shared" si="173"/>
        <v>0.1068198964104882</v>
      </c>
      <c r="Q439" s="343">
        <f t="shared" si="174"/>
        <v>-2.3034095026363523E-2</v>
      </c>
      <c r="R439" s="344">
        <f t="shared" si="175"/>
        <v>-64.815508041838441</v>
      </c>
      <c r="S439" s="346">
        <f t="shared" si="176"/>
        <v>115.18449195816156</v>
      </c>
      <c r="U439" s="319">
        <f t="shared" si="182"/>
        <v>45188.5</v>
      </c>
      <c r="V439" s="319">
        <f t="shared" si="183"/>
        <v>2042000532.25</v>
      </c>
      <c r="X439" s="345">
        <f t="shared" si="177"/>
        <v>4.9974939903264231</v>
      </c>
      <c r="Y439" s="346">
        <f t="shared" si="178"/>
        <v>-10.123697830723145</v>
      </c>
      <c r="AA439" s="345">
        <f t="shared" si="179"/>
        <v>31.812222072742223</v>
      </c>
      <c r="AB439" s="346">
        <f t="shared" si="180"/>
        <v>-54.691810211115268</v>
      </c>
      <c r="AD439">
        <f t="shared" si="184"/>
        <v>0</v>
      </c>
      <c r="AE439">
        <f t="shared" si="187"/>
        <v>0</v>
      </c>
    </row>
    <row r="440" spans="1:31" x14ac:dyDescent="0.2">
      <c r="A440" s="347">
        <v>45448.75</v>
      </c>
      <c r="B440" s="364">
        <f t="shared" si="181"/>
        <v>45.448749999999997</v>
      </c>
      <c r="C440" s="337">
        <f t="shared" si="162"/>
        <v>1.5208197943022925</v>
      </c>
      <c r="D440" s="338">
        <f t="shared" si="163"/>
        <v>0.85324721681141624</v>
      </c>
      <c r="E440" s="338">
        <f t="shared" si="164"/>
        <v>1.0000036027037462</v>
      </c>
      <c r="F440" s="339">
        <f t="shared" si="165"/>
        <v>2.6842849811701277E-3</v>
      </c>
      <c r="G440" s="338">
        <f t="shared" si="166"/>
        <v>1</v>
      </c>
      <c r="H440" s="339">
        <f t="shared" si="167"/>
        <v>0</v>
      </c>
      <c r="I440" s="337">
        <f t="shared" si="168"/>
        <v>328976.03742101562</v>
      </c>
      <c r="J440" s="340">
        <f t="shared" si="169"/>
        <v>1.5707932870598209</v>
      </c>
      <c r="K440" s="348">
        <f t="shared" si="185"/>
        <v>7.6218801836778782</v>
      </c>
      <c r="L440" s="349">
        <f t="shared" si="186"/>
        <v>1.4392157469507605</v>
      </c>
      <c r="M440" s="337">
        <f t="shared" si="170"/>
        <v>1.0009963209693018</v>
      </c>
      <c r="N440" s="340">
        <f t="shared" si="171"/>
        <v>4.4620498856219486E-2</v>
      </c>
      <c r="O440" s="341">
        <f t="shared" si="172"/>
        <v>1.0039143585573582</v>
      </c>
      <c r="P440" s="342">
        <f t="shared" si="173"/>
        <v>0.1074326704443842</v>
      </c>
      <c r="Q440" s="343">
        <f t="shared" si="174"/>
        <v>-5.2625890751832362E-2</v>
      </c>
      <c r="R440" s="344">
        <f t="shared" si="175"/>
        <v>-64.984508867877508</v>
      </c>
      <c r="S440" s="346">
        <f t="shared" si="176"/>
        <v>115.01549113212249</v>
      </c>
      <c r="U440" s="319">
        <f t="shared" si="182"/>
        <v>45448.75</v>
      </c>
      <c r="V440" s="319">
        <f t="shared" si="183"/>
        <v>2065588876.5625</v>
      </c>
      <c r="X440" s="345">
        <f t="shared" si="177"/>
        <v>4.9965318192490962</v>
      </c>
      <c r="Y440" s="346">
        <f t="shared" si="178"/>
        <v>-10.095404002727848</v>
      </c>
      <c r="AA440" s="345">
        <f t="shared" si="179"/>
        <v>31.783592448094083</v>
      </c>
      <c r="AB440" s="346">
        <f t="shared" si="180"/>
        <v>-54.889104865149669</v>
      </c>
      <c r="AD440">
        <f t="shared" si="184"/>
        <v>0</v>
      </c>
      <c r="AE440">
        <f t="shared" si="187"/>
        <v>0</v>
      </c>
    </row>
    <row r="441" spans="1:31" x14ac:dyDescent="0.2">
      <c r="A441" s="347">
        <v>45709</v>
      </c>
      <c r="B441" s="364">
        <f t="shared" si="181"/>
        <v>45.709000000000003</v>
      </c>
      <c r="C441" s="337">
        <f t="shared" si="162"/>
        <v>1.5257692319542013</v>
      </c>
      <c r="D441" s="338">
        <f t="shared" si="163"/>
        <v>0.85607481311682343</v>
      </c>
      <c r="E441" s="338">
        <f t="shared" si="164"/>
        <v>1.0000036440816238</v>
      </c>
      <c r="F441" s="339">
        <f t="shared" si="165"/>
        <v>2.6996557401405951E-3</v>
      </c>
      <c r="G441" s="338">
        <f t="shared" si="166"/>
        <v>1</v>
      </c>
      <c r="H441" s="339">
        <f t="shared" si="167"/>
        <v>0</v>
      </c>
      <c r="I441" s="337">
        <f t="shared" si="168"/>
        <v>330859.82990679424</v>
      </c>
      <c r="J441" s="340">
        <f t="shared" si="169"/>
        <v>1.5707933043669389</v>
      </c>
      <c r="K441" s="348">
        <f t="shared" si="185"/>
        <v>7.6647756371380655</v>
      </c>
      <c r="L441" s="349">
        <f t="shared" si="186"/>
        <v>1.4399563728952121</v>
      </c>
      <c r="M441" s="337">
        <f t="shared" si="170"/>
        <v>1.0010077582045005</v>
      </c>
      <c r="N441" s="340">
        <f t="shared" si="171"/>
        <v>4.4875664180508555E-2</v>
      </c>
      <c r="O441" s="341">
        <f t="shared" si="172"/>
        <v>1.0039592476031365</v>
      </c>
      <c r="P441" s="342">
        <f t="shared" si="173"/>
        <v>0.10804540295957747</v>
      </c>
      <c r="Q441" s="343">
        <f t="shared" si="174"/>
        <v>-8.218402669100297E-2</v>
      </c>
      <c r="R441" s="344">
        <f t="shared" si="175"/>
        <v>-65.152930656980359</v>
      </c>
      <c r="S441" s="346">
        <f t="shared" si="176"/>
        <v>114.84706934301964</v>
      </c>
      <c r="U441" s="319">
        <f t="shared" si="182"/>
        <v>45709</v>
      </c>
      <c r="V441" s="319">
        <f t="shared" si="183"/>
        <v>2089312681</v>
      </c>
      <c r="X441" s="345">
        <f t="shared" si="177"/>
        <v>4.9955836235794369</v>
      </c>
      <c r="Y441" s="346">
        <f t="shared" si="178"/>
        <v>-10.067590149665765</v>
      </c>
      <c r="AA441" s="345">
        <f t="shared" si="179"/>
        <v>31.754982507824568</v>
      </c>
      <c r="AB441" s="346">
        <f t="shared" si="180"/>
        <v>-55.085340507314598</v>
      </c>
      <c r="AD441">
        <f t="shared" si="184"/>
        <v>0</v>
      </c>
      <c r="AE441">
        <f t="shared" si="187"/>
        <v>0</v>
      </c>
    </row>
    <row r="442" spans="1:31" x14ac:dyDescent="0.2">
      <c r="A442" s="347">
        <v>45975.25</v>
      </c>
      <c r="B442" s="364">
        <f t="shared" si="181"/>
        <v>45.975250000000003</v>
      </c>
      <c r="C442" s="337">
        <f t="shared" si="162"/>
        <v>1.5308453191394114</v>
      </c>
      <c r="D442" s="338">
        <f t="shared" si="163"/>
        <v>0.85894865419859179</v>
      </c>
      <c r="E442" s="338">
        <f t="shared" si="164"/>
        <v>1.0000036866579523</v>
      </c>
      <c r="F442" s="339">
        <f t="shared" si="165"/>
        <v>2.7153808668737979E-3</v>
      </c>
      <c r="G442" s="338">
        <f t="shared" si="166"/>
        <v>1</v>
      </c>
      <c r="H442" s="339">
        <f t="shared" si="167"/>
        <v>0</v>
      </c>
      <c r="I442" s="337">
        <f t="shared" si="168"/>
        <v>332787.05276688485</v>
      </c>
      <c r="J442" s="340">
        <f t="shared" si="169"/>
        <v>1.570793321870301</v>
      </c>
      <c r="K442" s="348">
        <f t="shared" si="185"/>
        <v>7.7086643366363914</v>
      </c>
      <c r="L442" s="349">
        <f t="shared" si="186"/>
        <v>1.4407055435933456</v>
      </c>
      <c r="M442" s="337">
        <f t="shared" si="170"/>
        <v>1.0010195265669604</v>
      </c>
      <c r="N442" s="340">
        <f t="shared" si="171"/>
        <v>4.5136706227369261E-2</v>
      </c>
      <c r="O442" s="341">
        <f t="shared" si="172"/>
        <v>1.0040054351843211</v>
      </c>
      <c r="P442" s="342">
        <f t="shared" si="173"/>
        <v>0.10867221866655133</v>
      </c>
      <c r="Q442" s="343">
        <f t="shared" si="174"/>
        <v>-0.11238833203754389</v>
      </c>
      <c r="R442" s="344">
        <f t="shared" si="175"/>
        <v>-65.324635824592633</v>
      </c>
      <c r="S442" s="346">
        <f t="shared" si="176"/>
        <v>114.67536417540737</v>
      </c>
      <c r="U442" s="319">
        <f t="shared" si="182"/>
        <v>45975.25</v>
      </c>
      <c r="V442" s="319">
        <f t="shared" si="183"/>
        <v>2113723612.5625</v>
      </c>
      <c r="X442" s="345">
        <f t="shared" si="177"/>
        <v>4.9946276924434194</v>
      </c>
      <c r="Y442" s="346">
        <f t="shared" si="178"/>
        <v>-10.03962344092524</v>
      </c>
      <c r="AA442" s="345">
        <f t="shared" si="179"/>
        <v>31.725734133614047</v>
      </c>
      <c r="AB442" s="346">
        <f t="shared" si="180"/>
        <v>-55.285012383667386</v>
      </c>
      <c r="AD442">
        <f t="shared" si="184"/>
        <v>0</v>
      </c>
      <c r="AE442">
        <f t="shared" si="187"/>
        <v>0</v>
      </c>
    </row>
    <row r="443" spans="1:31" x14ac:dyDescent="0.2">
      <c r="A443" s="347">
        <v>46241.5</v>
      </c>
      <c r="B443" s="364">
        <f t="shared" si="181"/>
        <v>46.241500000000002</v>
      </c>
      <c r="C443" s="337">
        <f t="shared" si="162"/>
        <v>1.5359339658894846</v>
      </c>
      <c r="D443" s="338">
        <f t="shared" si="163"/>
        <v>0.8618034762924085</v>
      </c>
      <c r="E443" s="338">
        <f t="shared" si="164"/>
        <v>1.0000037294815614</v>
      </c>
      <c r="F443" s="339">
        <f t="shared" si="165"/>
        <v>2.731105992264081E-3</v>
      </c>
      <c r="G443" s="338">
        <f t="shared" si="166"/>
        <v>1</v>
      </c>
      <c r="H443" s="339">
        <f t="shared" si="167"/>
        <v>0</v>
      </c>
      <c r="I443" s="337">
        <f t="shared" si="168"/>
        <v>334714.27562697552</v>
      </c>
      <c r="J443" s="340">
        <f t="shared" si="169"/>
        <v>1.5707933391721007</v>
      </c>
      <c r="K443" s="348">
        <f t="shared" si="185"/>
        <v>7.7525573136863599</v>
      </c>
      <c r="L443" s="349">
        <f t="shared" si="186"/>
        <v>1.4414462314813123</v>
      </c>
      <c r="M443" s="337">
        <f t="shared" si="170"/>
        <v>1.0010313631402372</v>
      </c>
      <c r="N443" s="340">
        <f t="shared" si="171"/>
        <v>4.5397742118697688E-2</v>
      </c>
      <c r="O443" s="341">
        <f t="shared" si="172"/>
        <v>1.004051889371204</v>
      </c>
      <c r="P443" s="342">
        <f t="shared" si="173"/>
        <v>0.10929899042968498</v>
      </c>
      <c r="Q443" s="343">
        <f t="shared" si="174"/>
        <v>-0.14255649579529781</v>
      </c>
      <c r="R443" s="344">
        <f t="shared" si="175"/>
        <v>-65.495734431730583</v>
      </c>
      <c r="S443" s="346">
        <f t="shared" si="176"/>
        <v>114.50426556826942</v>
      </c>
      <c r="U443" s="319">
        <f t="shared" si="182"/>
        <v>46241.5</v>
      </c>
      <c r="V443" s="319">
        <f t="shared" si="183"/>
        <v>2138276322.25</v>
      </c>
      <c r="X443" s="345">
        <f t="shared" si="177"/>
        <v>4.993685712910322</v>
      </c>
      <c r="Y443" s="346">
        <f t="shared" si="178"/>
        <v>-10.012142397171543</v>
      </c>
      <c r="AA443" s="345">
        <f t="shared" si="179"/>
        <v>31.696507949389389</v>
      </c>
      <c r="AB443" s="346">
        <f t="shared" si="180"/>
        <v>-55.483592034559052</v>
      </c>
      <c r="AD443">
        <f t="shared" si="184"/>
        <v>0</v>
      </c>
      <c r="AE443">
        <f t="shared" si="187"/>
        <v>0</v>
      </c>
    </row>
    <row r="444" spans="1:31" x14ac:dyDescent="0.2">
      <c r="A444" s="347">
        <v>46507.75</v>
      </c>
      <c r="B444" s="364">
        <f t="shared" si="181"/>
        <v>46.507750000000001</v>
      </c>
      <c r="C444" s="337">
        <f t="shared" si="162"/>
        <v>1.5410350477857322</v>
      </c>
      <c r="D444" s="338">
        <f t="shared" si="163"/>
        <v>0.86463942150165529</v>
      </c>
      <c r="E444" s="338">
        <f t="shared" si="164"/>
        <v>1.0000037725524509</v>
      </c>
      <c r="F444" s="339">
        <f t="shared" si="165"/>
        <v>2.7468311163036676E-3</v>
      </c>
      <c r="G444" s="338">
        <f t="shared" si="166"/>
        <v>1</v>
      </c>
      <c r="H444" s="339">
        <f t="shared" si="167"/>
        <v>0</v>
      </c>
      <c r="I444" s="337">
        <f t="shared" si="168"/>
        <v>336641.49848706636</v>
      </c>
      <c r="J444" s="340">
        <f t="shared" si="169"/>
        <v>1.5707933562757999</v>
      </c>
      <c r="K444" s="348">
        <f t="shared" si="185"/>
        <v>7.7964544960418705</v>
      </c>
      <c r="L444" s="349">
        <f t="shared" si="186"/>
        <v>1.4421785790243853</v>
      </c>
      <c r="M444" s="337">
        <f t="shared" si="170"/>
        <v>1.0010432679219121</v>
      </c>
      <c r="N444" s="340">
        <f t="shared" si="171"/>
        <v>4.5658771819138959E-2</v>
      </c>
      <c r="O444" s="341">
        <f t="shared" si="172"/>
        <v>1.0040986101353389</v>
      </c>
      <c r="P444" s="342">
        <f t="shared" si="173"/>
        <v>0.10992571800205324</v>
      </c>
      <c r="Q444" s="343">
        <f t="shared" si="174"/>
        <v>-0.17268807016843063</v>
      </c>
      <c r="R444" s="344">
        <f t="shared" si="175"/>
        <v>-65.666226441684771</v>
      </c>
      <c r="S444" s="346">
        <f t="shared" si="176"/>
        <v>114.33377355831523</v>
      </c>
      <c r="U444" s="319">
        <f t="shared" si="182"/>
        <v>46507.75</v>
      </c>
      <c r="V444" s="319">
        <f t="shared" si="183"/>
        <v>2162970810.0625</v>
      </c>
      <c r="X444" s="345">
        <f t="shared" si="177"/>
        <v>4.9927573575357238</v>
      </c>
      <c r="Y444" s="346">
        <f t="shared" si="178"/>
        <v>-9.9851388539184551</v>
      </c>
      <c r="AA444" s="345">
        <f t="shared" si="179"/>
        <v>31.667304730390853</v>
      </c>
      <c r="AB444" s="346">
        <f t="shared" si="180"/>
        <v>-55.681087587766299</v>
      </c>
      <c r="AD444">
        <f t="shared" si="184"/>
        <v>0</v>
      </c>
      <c r="AE444">
        <f t="shared" si="187"/>
        <v>0</v>
      </c>
    </row>
    <row r="445" spans="1:31" x14ac:dyDescent="0.2">
      <c r="A445" s="347">
        <v>46774</v>
      </c>
      <c r="B445" s="364">
        <f t="shared" si="181"/>
        <v>46.774000000000001</v>
      </c>
      <c r="C445" s="337">
        <f t="shared" si="162"/>
        <v>1.5461484417493583</v>
      </c>
      <c r="D445" s="338">
        <f t="shared" si="163"/>
        <v>0.86745663127128425</v>
      </c>
      <c r="E445" s="338">
        <f t="shared" si="164"/>
        <v>1.0000038158706208</v>
      </c>
      <c r="F445" s="339">
        <f t="shared" si="165"/>
        <v>2.7625562389847805E-3</v>
      </c>
      <c r="G445" s="338">
        <f t="shared" si="166"/>
        <v>1</v>
      </c>
      <c r="H445" s="339">
        <f t="shared" si="167"/>
        <v>0</v>
      </c>
      <c r="I445" s="337">
        <f t="shared" si="168"/>
        <v>338568.72134715726</v>
      </c>
      <c r="J445" s="340">
        <f t="shared" si="169"/>
        <v>1.5707933731847816</v>
      </c>
      <c r="K445" s="348">
        <f t="shared" si="185"/>
        <v>7.8403558130679691</v>
      </c>
      <c r="L445" s="349">
        <f t="shared" si="186"/>
        <v>1.4429027255332014</v>
      </c>
      <c r="M445" s="337">
        <f t="shared" si="170"/>
        <v>1.001055240909551</v>
      </c>
      <c r="N445" s="340">
        <f t="shared" si="171"/>
        <v>4.5919795293343307E-2</v>
      </c>
      <c r="O445" s="341">
        <f t="shared" si="172"/>
        <v>1.0041455974481213</v>
      </c>
      <c r="P445" s="342">
        <f t="shared" si="173"/>
        <v>0.11055240113685996</v>
      </c>
      <c r="Q445" s="343">
        <f t="shared" si="174"/>
        <v>-0.2027826163461196</v>
      </c>
      <c r="R445" s="344">
        <f t="shared" si="175"/>
        <v>-65.836111960770879</v>
      </c>
      <c r="S445" s="346">
        <f t="shared" si="176"/>
        <v>114.16388803922912</v>
      </c>
      <c r="U445" s="319">
        <f t="shared" si="182"/>
        <v>46774</v>
      </c>
      <c r="V445" s="319">
        <f t="shared" si="183"/>
        <v>2187807076</v>
      </c>
      <c r="X445" s="345">
        <f t="shared" si="177"/>
        <v>4.9918423080176746</v>
      </c>
      <c r="Y445" s="346">
        <f t="shared" si="178"/>
        <v>-9.9586048274228727</v>
      </c>
      <c r="AA445" s="345">
        <f t="shared" si="179"/>
        <v>31.638125233731213</v>
      </c>
      <c r="AB445" s="346">
        <f t="shared" si="180"/>
        <v>-55.877507133348004</v>
      </c>
      <c r="AD445">
        <f t="shared" si="184"/>
        <v>0</v>
      </c>
      <c r="AE445">
        <f t="shared" si="187"/>
        <v>0</v>
      </c>
    </row>
    <row r="446" spans="1:31" x14ac:dyDescent="0.2">
      <c r="A446" s="347">
        <v>47046.25</v>
      </c>
      <c r="B446" s="364">
        <f t="shared" si="181"/>
        <v>47.046250000000001</v>
      </c>
      <c r="C446" s="337">
        <f t="shared" si="162"/>
        <v>1.5513896716669031</v>
      </c>
      <c r="D446" s="338">
        <f t="shared" si="163"/>
        <v>0.87031810060628079</v>
      </c>
      <c r="E446" s="338">
        <f t="shared" si="164"/>
        <v>1.0000038604206769</v>
      </c>
      <c r="F446" s="339">
        <f t="shared" si="165"/>
        <v>2.7786357292148801E-3</v>
      </c>
      <c r="G446" s="338">
        <f t="shared" si="166"/>
        <v>1</v>
      </c>
      <c r="H446" s="339">
        <f t="shared" si="167"/>
        <v>0</v>
      </c>
      <c r="I446" s="337">
        <f t="shared" si="168"/>
        <v>340539.37458156014</v>
      </c>
      <c r="J446" s="340">
        <f t="shared" si="169"/>
        <v>1.570793390276906</v>
      </c>
      <c r="K446" s="348">
        <f t="shared" si="185"/>
        <v>7.8852506590841083</v>
      </c>
      <c r="L446" s="349">
        <f t="shared" si="186"/>
        <v>1.4436348524248479</v>
      </c>
      <c r="M446" s="337">
        <f t="shared" si="170"/>
        <v>1.0010675542372827</v>
      </c>
      <c r="N446" s="340">
        <f t="shared" si="171"/>
        <v>4.6186694511579467E-2</v>
      </c>
      <c r="O446" s="341">
        <f t="shared" si="172"/>
        <v>1.0041939192263827</v>
      </c>
      <c r="P446" s="342">
        <f t="shared" si="173"/>
        <v>0.1111931605005652</v>
      </c>
      <c r="Q446" s="343">
        <f t="shared" si="174"/>
        <v>-0.23351661247446825</v>
      </c>
      <c r="R446" s="344">
        <f t="shared" si="175"/>
        <v>-66.009198994474474</v>
      </c>
      <c r="S446" s="346">
        <f t="shared" si="176"/>
        <v>113.99080100552553</v>
      </c>
      <c r="U446" s="319">
        <f t="shared" si="182"/>
        <v>47046.25</v>
      </c>
      <c r="V446" s="319">
        <f t="shared" si="183"/>
        <v>2213349639.0625</v>
      </c>
      <c r="X446" s="345">
        <f t="shared" si="177"/>
        <v>4.990920074320135</v>
      </c>
      <c r="Y446" s="346">
        <f t="shared" si="178"/>
        <v>-9.9319502244999054</v>
      </c>
      <c r="AA446" s="345">
        <f t="shared" si="179"/>
        <v>31.608313471300406</v>
      </c>
      <c r="AB446" s="346">
        <f t="shared" si="180"/>
        <v>-56.077248769974545</v>
      </c>
      <c r="AD446">
        <f t="shared" si="184"/>
        <v>0</v>
      </c>
      <c r="AE446">
        <f t="shared" si="187"/>
        <v>0</v>
      </c>
    </row>
    <row r="447" spans="1:31" x14ac:dyDescent="0.2">
      <c r="A447" s="347">
        <v>47318.5</v>
      </c>
      <c r="B447" s="364">
        <f t="shared" si="181"/>
        <v>47.3185</v>
      </c>
      <c r="C447" s="337">
        <f t="shared" si="162"/>
        <v>1.5566435187723584</v>
      </c>
      <c r="D447" s="338">
        <f t="shared" si="163"/>
        <v>0.87316027752021463</v>
      </c>
      <c r="E447" s="338">
        <f t="shared" si="164"/>
        <v>1.000003905229284</v>
      </c>
      <c r="F447" s="339">
        <f t="shared" si="165"/>
        <v>2.7947152180081447E-3</v>
      </c>
      <c r="G447" s="338">
        <f t="shared" si="166"/>
        <v>1</v>
      </c>
      <c r="H447" s="339">
        <f t="shared" si="167"/>
        <v>0</v>
      </c>
      <c r="I447" s="337">
        <f t="shared" si="168"/>
        <v>342510.0278159632</v>
      </c>
      <c r="J447" s="340">
        <f t="shared" si="169"/>
        <v>1.5707934071723491</v>
      </c>
      <c r="K447" s="348">
        <f t="shared" si="185"/>
        <v>7.9301496838147889</v>
      </c>
      <c r="L447" s="349">
        <f t="shared" si="186"/>
        <v>1.4443586893696905</v>
      </c>
      <c r="M447" s="337">
        <f t="shared" si="170"/>
        <v>1.0010799388744971</v>
      </c>
      <c r="N447" s="340">
        <f t="shared" si="171"/>
        <v>4.645358714505906E-2</v>
      </c>
      <c r="O447" s="341">
        <f t="shared" si="172"/>
        <v>1.0042425196411207</v>
      </c>
      <c r="P447" s="342">
        <f t="shared" si="173"/>
        <v>0.11183387287983339</v>
      </c>
      <c r="Q447" s="343">
        <f t="shared" si="174"/>
        <v>-0.26421099350556243</v>
      </c>
      <c r="R447" s="344">
        <f t="shared" si="175"/>
        <v>-66.181652552362678</v>
      </c>
      <c r="S447" s="346">
        <f t="shared" si="176"/>
        <v>113.81834744763732</v>
      </c>
      <c r="U447" s="319">
        <f t="shared" si="182"/>
        <v>47318.5</v>
      </c>
      <c r="V447" s="319">
        <f t="shared" si="183"/>
        <v>2239040442.25</v>
      </c>
      <c r="X447" s="345">
        <f t="shared" si="177"/>
        <v>4.9900111077801315</v>
      </c>
      <c r="Y447" s="346">
        <f t="shared" si="178"/>
        <v>-9.9057702119939641</v>
      </c>
      <c r="AA447" s="345">
        <f t="shared" si="179"/>
        <v>31.578528056809315</v>
      </c>
      <c r="AB447" s="346">
        <f t="shared" si="180"/>
        <v>-56.275882340368717</v>
      </c>
      <c r="AD447">
        <f t="shared" si="184"/>
        <v>0</v>
      </c>
      <c r="AE447">
        <f t="shared" si="187"/>
        <v>0</v>
      </c>
    </row>
    <row r="448" spans="1:31" x14ac:dyDescent="0.2">
      <c r="A448" s="347">
        <v>47590.75</v>
      </c>
      <c r="B448" s="364">
        <f t="shared" si="181"/>
        <v>47.59075</v>
      </c>
      <c r="C448" s="337">
        <f t="shared" si="162"/>
        <v>1.5619098557431903</v>
      </c>
      <c r="D448" s="338">
        <f t="shared" si="163"/>
        <v>0.87598331100925642</v>
      </c>
      <c r="E448" s="338">
        <f t="shared" si="164"/>
        <v>1.000003950296442</v>
      </c>
      <c r="F448" s="339">
        <f t="shared" si="165"/>
        <v>2.8107947053562575E-3</v>
      </c>
      <c r="G448" s="338">
        <f t="shared" si="166"/>
        <v>1</v>
      </c>
      <c r="H448" s="339">
        <f t="shared" si="167"/>
        <v>0</v>
      </c>
      <c r="I448" s="337">
        <f t="shared" si="168"/>
        <v>344480.68105036631</v>
      </c>
      <c r="J448" s="340">
        <f t="shared" si="169"/>
        <v>1.5707934238744863</v>
      </c>
      <c r="K448" s="348">
        <f t="shared" si="185"/>
        <v>7.9750528166823429</v>
      </c>
      <c r="L448" s="349">
        <f t="shared" si="186"/>
        <v>1.4450743756311393</v>
      </c>
      <c r="M448" s="337">
        <f t="shared" si="170"/>
        <v>1.0010923948185479</v>
      </c>
      <c r="N448" s="340">
        <f t="shared" si="171"/>
        <v>4.6720473156004777E-2</v>
      </c>
      <c r="O448" s="341">
        <f t="shared" si="172"/>
        <v>1.0042913986612427</v>
      </c>
      <c r="P448" s="342">
        <f t="shared" si="173"/>
        <v>0.11247453801122756</v>
      </c>
      <c r="Q448" s="343">
        <f t="shared" si="174"/>
        <v>-0.29486531939361138</v>
      </c>
      <c r="R448" s="344">
        <f t="shared" si="175"/>
        <v>-66.353473175017228</v>
      </c>
      <c r="S448" s="346">
        <f t="shared" si="176"/>
        <v>113.64652682498277</v>
      </c>
      <c r="U448" s="319">
        <f t="shared" si="182"/>
        <v>47590.75</v>
      </c>
      <c r="V448" s="319">
        <f t="shared" si="183"/>
        <v>2264879485.5625</v>
      </c>
      <c r="X448" s="345">
        <f t="shared" si="177"/>
        <v>4.9891150958046975</v>
      </c>
      <c r="Y448" s="346">
        <f t="shared" si="178"/>
        <v>-9.8800568087283054</v>
      </c>
      <c r="AA448" s="345">
        <f t="shared" si="179"/>
        <v>31.548769742896702</v>
      </c>
      <c r="AB448" s="346">
        <f t="shared" si="180"/>
        <v>-56.473416366288916</v>
      </c>
      <c r="AD448">
        <f t="shared" si="184"/>
        <v>0</v>
      </c>
      <c r="AE448">
        <f t="shared" si="187"/>
        <v>0</v>
      </c>
    </row>
    <row r="449" spans="1:31" x14ac:dyDescent="0.2">
      <c r="A449" s="347">
        <v>47863</v>
      </c>
      <c r="B449" s="364">
        <f t="shared" si="181"/>
        <v>47.863</v>
      </c>
      <c r="C449" s="337">
        <f t="shared" si="162"/>
        <v>1.5671885566676123</v>
      </c>
      <c r="D449" s="338">
        <f t="shared" si="163"/>
        <v>0.87878734928978908</v>
      </c>
      <c r="E449" s="338">
        <f t="shared" si="164"/>
        <v>1.0000039956221507</v>
      </c>
      <c r="F449" s="339">
        <f t="shared" si="165"/>
        <v>2.8268741912509062E-3</v>
      </c>
      <c r="G449" s="338">
        <f t="shared" si="166"/>
        <v>1</v>
      </c>
      <c r="H449" s="339">
        <f t="shared" si="167"/>
        <v>0</v>
      </c>
      <c r="I449" s="337">
        <f t="shared" si="168"/>
        <v>346451.33428476949</v>
      </c>
      <c r="J449" s="340">
        <f t="shared" si="169"/>
        <v>1.5707934403866164</v>
      </c>
      <c r="K449" s="348">
        <f t="shared" si="185"/>
        <v>8.0199599886833539</v>
      </c>
      <c r="L449" s="349">
        <f t="shared" si="186"/>
        <v>1.4457820473872522</v>
      </c>
      <c r="M449" s="337">
        <f t="shared" si="170"/>
        <v>1.0011049220667736</v>
      </c>
      <c r="N449" s="340">
        <f t="shared" si="171"/>
        <v>4.698735250664493E-2</v>
      </c>
      <c r="O449" s="341">
        <f t="shared" si="172"/>
        <v>1.0043405562554846</v>
      </c>
      <c r="P449" s="342">
        <f t="shared" si="173"/>
        <v>0.11311515563145477</v>
      </c>
      <c r="Q449" s="343">
        <f t="shared" si="174"/>
        <v>-0.32547915985998405</v>
      </c>
      <c r="R449" s="344">
        <f t="shared" si="175"/>
        <v>-66.524661535123059</v>
      </c>
      <c r="S449" s="346">
        <f t="shared" si="176"/>
        <v>113.47533846487694</v>
      </c>
      <c r="U449" s="319">
        <f t="shared" si="182"/>
        <v>47863</v>
      </c>
      <c r="V449" s="319">
        <f t="shared" si="183"/>
        <v>2290866769</v>
      </c>
      <c r="X449" s="345">
        <f t="shared" si="177"/>
        <v>4.9882317345288882</v>
      </c>
      <c r="Y449" s="346">
        <f t="shared" si="178"/>
        <v>-9.8548022102998036</v>
      </c>
      <c r="AA449" s="345">
        <f t="shared" si="179"/>
        <v>31.519039263706134</v>
      </c>
      <c r="AB449" s="346">
        <f t="shared" si="180"/>
        <v>-56.669859324823257</v>
      </c>
      <c r="AD449">
        <f t="shared" si="184"/>
        <v>0</v>
      </c>
      <c r="AE449">
        <f t="shared" si="187"/>
        <v>0</v>
      </c>
    </row>
    <row r="450" spans="1:31" x14ac:dyDescent="0.2">
      <c r="A450" s="347">
        <v>48141.75</v>
      </c>
      <c r="B450" s="364">
        <f t="shared" si="181"/>
        <v>48.141750000000002</v>
      </c>
      <c r="C450" s="337">
        <f t="shared" si="162"/>
        <v>1.5726059674187105</v>
      </c>
      <c r="D450" s="338">
        <f t="shared" si="163"/>
        <v>0.88163880737022882</v>
      </c>
      <c r="E450" s="338">
        <f t="shared" si="164"/>
        <v>1.0000040422979</v>
      </c>
      <c r="F450" s="339">
        <f t="shared" si="165"/>
        <v>2.843337575202345E-3</v>
      </c>
      <c r="G450" s="338">
        <f t="shared" si="166"/>
        <v>1</v>
      </c>
      <c r="H450" s="339">
        <f t="shared" si="167"/>
        <v>0</v>
      </c>
      <c r="I450" s="337">
        <f t="shared" si="168"/>
        <v>348469.03709134407</v>
      </c>
      <c r="J450" s="340">
        <f t="shared" si="169"/>
        <v>1.5707934570994759</v>
      </c>
      <c r="K450" s="348">
        <f t="shared" si="185"/>
        <v>8.0659434390520612</v>
      </c>
      <c r="L450" s="349">
        <f t="shared" si="186"/>
        <v>1.4464984501418134</v>
      </c>
      <c r="M450" s="337">
        <f t="shared" si="170"/>
        <v>1.0011178222797834</v>
      </c>
      <c r="N450" s="340">
        <f t="shared" si="171"/>
        <v>4.7260596692247345E-2</v>
      </c>
      <c r="O450" s="341">
        <f t="shared" si="172"/>
        <v>1.0043911760901005</v>
      </c>
      <c r="P450" s="342">
        <f t="shared" si="173"/>
        <v>0.11377101856987158</v>
      </c>
      <c r="Q450" s="343">
        <f t="shared" si="174"/>
        <v>-0.35678152329562979</v>
      </c>
      <c r="R450" s="344">
        <f t="shared" si="175"/>
        <v>-66.699282786603604</v>
      </c>
      <c r="S450" s="346">
        <f t="shared" si="176"/>
        <v>113.3007172133964</v>
      </c>
      <c r="U450" s="319">
        <f t="shared" si="182"/>
        <v>48141.75</v>
      </c>
      <c r="V450" s="319">
        <f t="shared" si="183"/>
        <v>2317628093.0625</v>
      </c>
      <c r="X450" s="345">
        <f t="shared" si="177"/>
        <v>4.9873400817858311</v>
      </c>
      <c r="Y450" s="346">
        <f t="shared" si="178"/>
        <v>-9.82941205219071</v>
      </c>
      <c r="AA450" s="345">
        <f t="shared" si="179"/>
        <v>31.488628553013548</v>
      </c>
      <c r="AB450" s="346">
        <f t="shared" si="180"/>
        <v>-56.869870734412885</v>
      </c>
      <c r="AD450">
        <f t="shared" si="184"/>
        <v>0</v>
      </c>
      <c r="AE450">
        <f t="shared" si="187"/>
        <v>0</v>
      </c>
    </row>
    <row r="451" spans="1:31" x14ac:dyDescent="0.2">
      <c r="A451" s="347">
        <v>48420.5</v>
      </c>
      <c r="B451" s="364">
        <f t="shared" si="181"/>
        <v>48.420499999999997</v>
      </c>
      <c r="C451" s="337">
        <f t="shared" si="162"/>
        <v>1.5780360768819703</v>
      </c>
      <c r="D451" s="338">
        <f t="shared" si="163"/>
        <v>0.884470664294148</v>
      </c>
      <c r="E451" s="338">
        <f t="shared" si="164"/>
        <v>1.0000040892446935</v>
      </c>
      <c r="F451" s="339">
        <f t="shared" si="165"/>
        <v>2.859800957612446E-3</v>
      </c>
      <c r="G451" s="338">
        <f t="shared" si="166"/>
        <v>1</v>
      </c>
      <c r="H451" s="339">
        <f t="shared" si="167"/>
        <v>0</v>
      </c>
      <c r="I451" s="337">
        <f t="shared" si="168"/>
        <v>350486.73989791865</v>
      </c>
      <c r="J451" s="340">
        <f t="shared" si="169"/>
        <v>1.5707934736199083</v>
      </c>
      <c r="K451" s="348">
        <f t="shared" si="185"/>
        <v>8.1119309821942789</v>
      </c>
      <c r="L451" s="349">
        <f t="shared" si="186"/>
        <v>1.4472067305042688</v>
      </c>
      <c r="M451" s="337">
        <f t="shared" si="170"/>
        <v>1.0011307972367076</v>
      </c>
      <c r="N451" s="340">
        <f t="shared" si="171"/>
        <v>4.7533833815595825E-2</v>
      </c>
      <c r="O451" s="341">
        <f t="shared" si="172"/>
        <v>1.0044420878927234</v>
      </c>
      <c r="P451" s="342">
        <f t="shared" si="173"/>
        <v>0.11442683114321534</v>
      </c>
      <c r="Q451" s="343">
        <f t="shared" si="174"/>
        <v>-0.388040563349134</v>
      </c>
      <c r="R451" s="344">
        <f t="shared" si="175"/>
        <v>-66.873243052047982</v>
      </c>
      <c r="S451" s="346">
        <f t="shared" si="176"/>
        <v>113.12675694795202</v>
      </c>
      <c r="U451" s="319">
        <f t="shared" si="182"/>
        <v>48420.5</v>
      </c>
      <c r="V451" s="319">
        <f t="shared" si="183"/>
        <v>2344544820.25</v>
      </c>
      <c r="X451" s="345">
        <f t="shared" si="177"/>
        <v>4.9864610731222321</v>
      </c>
      <c r="Y451" s="346">
        <f t="shared" si="178"/>
        <v>-9.8044868572067507</v>
      </c>
      <c r="AA451" s="345">
        <f t="shared" si="179"/>
        <v>31.458248521623638</v>
      </c>
      <c r="AB451" s="346">
        <f t="shared" si="180"/>
        <v>-57.068756194841214</v>
      </c>
      <c r="AD451">
        <f t="shared" si="184"/>
        <v>0</v>
      </c>
      <c r="AE451">
        <f t="shared" si="187"/>
        <v>0</v>
      </c>
    </row>
    <row r="452" spans="1:31" x14ac:dyDescent="0.2">
      <c r="A452" s="347">
        <v>48699.25</v>
      </c>
      <c r="B452" s="364">
        <f t="shared" si="181"/>
        <v>48.699249999999999</v>
      </c>
      <c r="C452" s="337">
        <f t="shared" si="162"/>
        <v>1.5834787544170648</v>
      </c>
      <c r="D452" s="338">
        <f t="shared" si="163"/>
        <v>0.88728307652484451</v>
      </c>
      <c r="E452" s="338">
        <f t="shared" si="164"/>
        <v>1.0000041364625309</v>
      </c>
      <c r="F452" s="339">
        <f t="shared" si="165"/>
        <v>2.8762643384722853E-3</v>
      </c>
      <c r="G452" s="338">
        <f t="shared" si="166"/>
        <v>1</v>
      </c>
      <c r="H452" s="339">
        <f t="shared" si="167"/>
        <v>0</v>
      </c>
      <c r="I452" s="337">
        <f t="shared" si="168"/>
        <v>352504.44270449335</v>
      </c>
      <c r="J452" s="340">
        <f t="shared" si="169"/>
        <v>1.5707934899512179</v>
      </c>
      <c r="K452" s="348">
        <f t="shared" si="185"/>
        <v>8.1579225488951064</v>
      </c>
      <c r="L452" s="349">
        <f t="shared" si="186"/>
        <v>1.4479070251316823</v>
      </c>
      <c r="M452" s="337">
        <f t="shared" si="170"/>
        <v>1.0011438469346405</v>
      </c>
      <c r="N452" s="340">
        <f t="shared" si="171"/>
        <v>4.7807063836166785E-2</v>
      </c>
      <c r="O452" s="341">
        <f t="shared" si="172"/>
        <v>1.0044932916292366</v>
      </c>
      <c r="P452" s="342">
        <f t="shared" si="173"/>
        <v>0.11508259306935513</v>
      </c>
      <c r="Q452" s="343">
        <f t="shared" si="174"/>
        <v>-0.41925584974627517</v>
      </c>
      <c r="R452" s="344">
        <f t="shared" si="175"/>
        <v>-67.046543447972908</v>
      </c>
      <c r="S452" s="346">
        <f t="shared" si="176"/>
        <v>112.95345655202709</v>
      </c>
      <c r="U452" s="319">
        <f t="shared" si="182"/>
        <v>48699.25</v>
      </c>
      <c r="V452" s="319">
        <f t="shared" si="183"/>
        <v>2371616950.5625</v>
      </c>
      <c r="X452" s="345">
        <f t="shared" si="177"/>
        <v>4.9855944089657136</v>
      </c>
      <c r="Y452" s="346">
        <f t="shared" si="178"/>
        <v>-9.7800187933424194</v>
      </c>
      <c r="AA452" s="345">
        <f t="shared" si="179"/>
        <v>31.427899899383021</v>
      </c>
      <c r="AB452" s="346">
        <f t="shared" si="180"/>
        <v>-57.266524654630473</v>
      </c>
      <c r="AD452">
        <f t="shared" si="184"/>
        <v>0</v>
      </c>
      <c r="AE452">
        <f t="shared" si="187"/>
        <v>0</v>
      </c>
    </row>
    <row r="453" spans="1:31" x14ac:dyDescent="0.2">
      <c r="A453" s="347">
        <v>48978</v>
      </c>
      <c r="B453" s="364">
        <f t="shared" si="181"/>
        <v>48.978000000000002</v>
      </c>
      <c r="C453" s="337">
        <f t="shared" si="162"/>
        <v>1.5889338708733212</v>
      </c>
      <c r="D453" s="338">
        <f t="shared" si="163"/>
        <v>0.89007619961478468</v>
      </c>
      <c r="E453" s="338">
        <f t="shared" si="164"/>
        <v>1.0000041839514124</v>
      </c>
      <c r="F453" s="339">
        <f t="shared" si="165"/>
        <v>2.8927277177729382E-3</v>
      </c>
      <c r="G453" s="338">
        <f t="shared" si="166"/>
        <v>1</v>
      </c>
      <c r="H453" s="339">
        <f t="shared" si="167"/>
        <v>0</v>
      </c>
      <c r="I453" s="337">
        <f t="shared" si="168"/>
        <v>354522.14551106817</v>
      </c>
      <c r="J453" s="340">
        <f t="shared" si="169"/>
        <v>1.5707935060966338</v>
      </c>
      <c r="K453" s="348">
        <f t="shared" si="185"/>
        <v>8.2039180714857487</v>
      </c>
      <c r="L453" s="349">
        <f t="shared" si="186"/>
        <v>1.4485994676481635</v>
      </c>
      <c r="M453" s="337">
        <f t="shared" si="170"/>
        <v>1.0011569713706594</v>
      </c>
      <c r="N453" s="340">
        <f t="shared" si="171"/>
        <v>4.8080286713443006E-2</v>
      </c>
      <c r="O453" s="341">
        <f t="shared" si="172"/>
        <v>1.0045447872653355</v>
      </c>
      <c r="P453" s="342">
        <f t="shared" si="173"/>
        <v>0.11573830406632178</v>
      </c>
      <c r="Q453" s="343">
        <f t="shared" si="174"/>
        <v>-0.45042696274470917</v>
      </c>
      <c r="R453" s="344">
        <f t="shared" si="175"/>
        <v>-67.219185212489066</v>
      </c>
      <c r="S453" s="346">
        <f t="shared" si="176"/>
        <v>112.78081478751093</v>
      </c>
      <c r="U453" s="319">
        <f t="shared" si="182"/>
        <v>48978</v>
      </c>
      <c r="V453" s="319">
        <f t="shared" si="183"/>
        <v>2398844484</v>
      </c>
      <c r="X453" s="345">
        <f t="shared" si="177"/>
        <v>4.9847397981191746</v>
      </c>
      <c r="Y453" s="346">
        <f t="shared" si="178"/>
        <v>-9.7560002023637331</v>
      </c>
      <c r="AA453" s="345">
        <f t="shared" si="179"/>
        <v>31.397583397231124</v>
      </c>
      <c r="AB453" s="346">
        <f t="shared" si="180"/>
        <v>-57.463185010125351</v>
      </c>
      <c r="AD453">
        <f t="shared" si="184"/>
        <v>0</v>
      </c>
      <c r="AE453">
        <f t="shared" si="187"/>
        <v>0</v>
      </c>
    </row>
    <row r="454" spans="1:31" x14ac:dyDescent="0.2">
      <c r="A454" s="347">
        <v>49263.25</v>
      </c>
      <c r="B454" s="364">
        <f t="shared" si="181"/>
        <v>49.263249999999999</v>
      </c>
      <c r="C454" s="337">
        <f t="shared" si="162"/>
        <v>1.5945289360298616</v>
      </c>
      <c r="D454" s="338">
        <f t="shared" si="163"/>
        <v>0.89291464607293047</v>
      </c>
      <c r="E454" s="338">
        <f t="shared" si="164"/>
        <v>1.0000042328282561</v>
      </c>
      <c r="F454" s="339">
        <f t="shared" si="165"/>
        <v>2.9095749948777729E-3</v>
      </c>
      <c r="G454" s="338">
        <f t="shared" si="166"/>
        <v>1</v>
      </c>
      <c r="H454" s="339">
        <f t="shared" si="167"/>
        <v>0</v>
      </c>
      <c r="I454" s="337">
        <f t="shared" si="168"/>
        <v>356586.8978898144</v>
      </c>
      <c r="J454" s="340">
        <f t="shared" si="169"/>
        <v>1.5707935224293803</v>
      </c>
      <c r="K454" s="348">
        <f t="shared" si="185"/>
        <v>8.2509901617218553</v>
      </c>
      <c r="L454" s="349">
        <f t="shared" si="186"/>
        <v>1.4493000642273111</v>
      </c>
      <c r="M454" s="337">
        <f t="shared" si="170"/>
        <v>1.0011704792168348</v>
      </c>
      <c r="N454" s="340">
        <f t="shared" si="171"/>
        <v>4.8359873269783263E-2</v>
      </c>
      <c r="O454" s="341">
        <f t="shared" si="172"/>
        <v>1.0045977858494348</v>
      </c>
      <c r="P454" s="342">
        <f t="shared" si="173"/>
        <v>0.11640925216678531</v>
      </c>
      <c r="Q454" s="343">
        <f t="shared" si="174"/>
        <v>-0.48227877835405042</v>
      </c>
      <c r="R454" s="344">
        <f t="shared" si="175"/>
        <v>-67.395172270028141</v>
      </c>
      <c r="S454" s="346">
        <f t="shared" si="176"/>
        <v>112.60482772997186</v>
      </c>
      <c r="U454" s="319">
        <f t="shared" si="182"/>
        <v>49263.25</v>
      </c>
      <c r="V454" s="319">
        <f t="shared" si="183"/>
        <v>2426867800.5625</v>
      </c>
      <c r="X454" s="345">
        <f t="shared" si="177"/>
        <v>4.9838774420001135</v>
      </c>
      <c r="Y454" s="346">
        <f t="shared" si="178"/>
        <v>-9.7318790406940359</v>
      </c>
      <c r="AA454" s="345">
        <f t="shared" si="179"/>
        <v>31.366593937740845</v>
      </c>
      <c r="AB454" s="346">
        <f t="shared" si="180"/>
        <v>-57.663293229334109</v>
      </c>
      <c r="AD454">
        <f t="shared" si="184"/>
        <v>0</v>
      </c>
      <c r="AE454">
        <f t="shared" si="187"/>
        <v>0</v>
      </c>
    </row>
    <row r="455" spans="1:31" x14ac:dyDescent="0.2">
      <c r="A455" s="347">
        <v>49548.5</v>
      </c>
      <c r="B455" s="364">
        <f t="shared" si="181"/>
        <v>49.548499999999997</v>
      </c>
      <c r="C455" s="337">
        <f t="shared" si="162"/>
        <v>1.6001367580519552</v>
      </c>
      <c r="D455" s="338">
        <f t="shared" si="163"/>
        <v>0.8957332199297019</v>
      </c>
      <c r="E455" s="338">
        <f t="shared" si="164"/>
        <v>1.0000042819889317</v>
      </c>
      <c r="F455" s="339">
        <f t="shared" si="165"/>
        <v>2.9264222703309487E-3</v>
      </c>
      <c r="G455" s="338">
        <f t="shared" si="166"/>
        <v>1</v>
      </c>
      <c r="H455" s="339">
        <f t="shared" si="167"/>
        <v>0</v>
      </c>
      <c r="I455" s="337">
        <f t="shared" si="168"/>
        <v>358651.65026856068</v>
      </c>
      <c r="J455" s="340">
        <f t="shared" si="169"/>
        <v>1.5707935385740721</v>
      </c>
      <c r="K455" s="348">
        <f t="shared" si="185"/>
        <v>8.2980662558890828</v>
      </c>
      <c r="L455" s="349">
        <f t="shared" si="186"/>
        <v>1.44999271197784</v>
      </c>
      <c r="M455" s="337">
        <f t="shared" si="170"/>
        <v>1.001184065321032</v>
      </c>
      <c r="N455" s="340">
        <f t="shared" si="171"/>
        <v>4.8639452259977851E-2</v>
      </c>
      <c r="O455" s="341">
        <f t="shared" si="172"/>
        <v>1.0046510900318057</v>
      </c>
      <c r="P455" s="342">
        <f t="shared" si="173"/>
        <v>0.11708014633830242</v>
      </c>
      <c r="Q455" s="343">
        <f t="shared" si="174"/>
        <v>-0.51408348057123709</v>
      </c>
      <c r="R455" s="344">
        <f t="shared" si="175"/>
        <v>-67.570472611622336</v>
      </c>
      <c r="S455" s="346">
        <f t="shared" si="176"/>
        <v>112.42952738837766</v>
      </c>
      <c r="U455" s="319">
        <f t="shared" si="182"/>
        <v>49548.5</v>
      </c>
      <c r="V455" s="319">
        <f t="shared" si="183"/>
        <v>2455053852.25</v>
      </c>
      <c r="X455" s="345">
        <f t="shared" si="177"/>
        <v>4.9830271165608284</v>
      </c>
      <c r="Y455" s="346">
        <f t="shared" si="178"/>
        <v>-9.7082128690738383</v>
      </c>
      <c r="AA455" s="345">
        <f t="shared" si="179"/>
        <v>31.335639560962942</v>
      </c>
      <c r="AB455" s="346">
        <f t="shared" si="180"/>
        <v>-57.862259742548481</v>
      </c>
      <c r="AD455">
        <f t="shared" si="184"/>
        <v>0</v>
      </c>
      <c r="AE455">
        <f t="shared" si="187"/>
        <v>0</v>
      </c>
    </row>
    <row r="456" spans="1:31" x14ac:dyDescent="0.2">
      <c r="A456" s="347">
        <v>49833.75</v>
      </c>
      <c r="B456" s="364">
        <f t="shared" si="181"/>
        <v>49.833750000000002</v>
      </c>
      <c r="C456" s="337">
        <f t="shared" si="162"/>
        <v>1.6057572032863414</v>
      </c>
      <c r="D456" s="338">
        <f t="shared" si="163"/>
        <v>0.89853208483955949</v>
      </c>
      <c r="E456" s="338">
        <f t="shared" si="164"/>
        <v>1.000004331433439</v>
      </c>
      <c r="F456" s="339">
        <f t="shared" si="165"/>
        <v>2.9432695441229035E-3</v>
      </c>
      <c r="G456" s="338">
        <f t="shared" si="166"/>
        <v>1</v>
      </c>
      <c r="H456" s="339">
        <f t="shared" si="167"/>
        <v>0</v>
      </c>
      <c r="I456" s="337">
        <f t="shared" si="168"/>
        <v>360716.40264730697</v>
      </c>
      <c r="J456" s="340">
        <f t="shared" si="169"/>
        <v>1.5707935545339384</v>
      </c>
      <c r="K456" s="348">
        <f t="shared" si="185"/>
        <v>8.3451462862272852</v>
      </c>
      <c r="L456" s="349">
        <f t="shared" si="186"/>
        <v>1.4506775447619378</v>
      </c>
      <c r="M456" s="337">
        <f t="shared" si="170"/>
        <v>1.0011977296800656</v>
      </c>
      <c r="N456" s="340">
        <f t="shared" si="171"/>
        <v>4.891902364062943E-2</v>
      </c>
      <c r="O456" s="341">
        <f t="shared" si="172"/>
        <v>1.0047046997750766</v>
      </c>
      <c r="P456" s="342">
        <f t="shared" si="173"/>
        <v>0.11775098627924656</v>
      </c>
      <c r="Q456" s="343">
        <f t="shared" si="174"/>
        <v>-0.54584065337368526</v>
      </c>
      <c r="R456" s="344">
        <f t="shared" si="175"/>
        <v>-67.74508792466024</v>
      </c>
      <c r="S456" s="346">
        <f t="shared" si="176"/>
        <v>112.25491207533976</v>
      </c>
      <c r="U456" s="319">
        <f t="shared" si="182"/>
        <v>49833.75</v>
      </c>
      <c r="V456" s="319">
        <f t="shared" si="183"/>
        <v>2483402639.0625</v>
      </c>
      <c r="X456" s="345">
        <f t="shared" si="177"/>
        <v>4.9821885352106783</v>
      </c>
      <c r="Y456" s="346">
        <f t="shared" si="178"/>
        <v>-9.684994015463273</v>
      </c>
      <c r="AA456" s="345">
        <f t="shared" si="179"/>
        <v>31.30472096951064</v>
      </c>
      <c r="AB456" s="346">
        <f t="shared" si="180"/>
        <v>-58.060093909196958</v>
      </c>
      <c r="AD456">
        <f t="shared" si="184"/>
        <v>0</v>
      </c>
      <c r="AE456">
        <f t="shared" si="187"/>
        <v>0</v>
      </c>
    </row>
    <row r="457" spans="1:31" x14ac:dyDescent="0.2">
      <c r="A457" s="347">
        <v>50119</v>
      </c>
      <c r="B457" s="364">
        <f t="shared" si="181"/>
        <v>50.119</v>
      </c>
      <c r="C457" s="337">
        <f t="shared" si="162"/>
        <v>1.6113901396456962</v>
      </c>
      <c r="D457" s="338">
        <f t="shared" si="163"/>
        <v>0.90131140341146299</v>
      </c>
      <c r="E457" s="338">
        <f t="shared" si="164"/>
        <v>1.0000043811617783</v>
      </c>
      <c r="F457" s="339">
        <f t="shared" si="165"/>
        <v>2.9601168162440728E-3</v>
      </c>
      <c r="G457" s="338">
        <f t="shared" si="166"/>
        <v>1</v>
      </c>
      <c r="H457" s="339">
        <f t="shared" si="167"/>
        <v>0</v>
      </c>
      <c r="I457" s="337">
        <f t="shared" si="168"/>
        <v>362781.15502605349</v>
      </c>
      <c r="J457" s="340">
        <f t="shared" si="169"/>
        <v>1.5707935703121352</v>
      </c>
      <c r="K457" s="348">
        <f t="shared" si="185"/>
        <v>8.3922301864912416</v>
      </c>
      <c r="L457" s="349">
        <f t="shared" si="186"/>
        <v>1.4513546934674013</v>
      </c>
      <c r="M457" s="337">
        <f t="shared" si="170"/>
        <v>1.001211472290731</v>
      </c>
      <c r="N457" s="340">
        <f t="shared" si="171"/>
        <v>4.919858736834775E-2</v>
      </c>
      <c r="O457" s="341">
        <f t="shared" si="172"/>
        <v>1.0047586150416687</v>
      </c>
      <c r="P457" s="342">
        <f t="shared" si="173"/>
        <v>0.11842177168817224</v>
      </c>
      <c r="Q457" s="343">
        <f t="shared" si="174"/>
        <v>-0.57754989194250206</v>
      </c>
      <c r="R457" s="344">
        <f t="shared" si="175"/>
        <v>-67.919020007054399</v>
      </c>
      <c r="S457" s="346">
        <f t="shared" si="176"/>
        <v>112.0809799929456</v>
      </c>
      <c r="U457" s="319">
        <f t="shared" si="182"/>
        <v>50119</v>
      </c>
      <c r="V457" s="319">
        <f t="shared" si="183"/>
        <v>2511914161</v>
      </c>
      <c r="X457" s="345">
        <f t="shared" si="177"/>
        <v>4.9813614193771452</v>
      </c>
      <c r="Y457" s="346">
        <f t="shared" si="178"/>
        <v>-9.6622149782387279</v>
      </c>
      <c r="AA457" s="345">
        <f t="shared" si="179"/>
        <v>31.273838846775362</v>
      </c>
      <c r="AB457" s="346">
        <f t="shared" si="180"/>
        <v>-58.256805028815684</v>
      </c>
      <c r="AD457">
        <f t="shared" si="184"/>
        <v>0</v>
      </c>
      <c r="AE457">
        <f t="shared" si="187"/>
        <v>0</v>
      </c>
    </row>
    <row r="458" spans="1:31" x14ac:dyDescent="0.2">
      <c r="A458" s="347">
        <v>50410.75</v>
      </c>
      <c r="B458" s="364">
        <f t="shared" si="181"/>
        <v>50.41075</v>
      </c>
      <c r="C458" s="337">
        <f t="shared" si="162"/>
        <v>1.6171642191595303</v>
      </c>
      <c r="D458" s="338">
        <f t="shared" si="163"/>
        <v>0.90413400325958049</v>
      </c>
      <c r="E458" s="338">
        <f t="shared" si="164"/>
        <v>1.0000044323168857</v>
      </c>
      <c r="F458" s="339">
        <f t="shared" si="165"/>
        <v>2.9773479859040298E-3</v>
      </c>
      <c r="G458" s="338">
        <f t="shared" si="166"/>
        <v>1</v>
      </c>
      <c r="H458" s="339">
        <f t="shared" si="167"/>
        <v>0</v>
      </c>
      <c r="I458" s="337">
        <f t="shared" si="168"/>
        <v>364892.95697697124</v>
      </c>
      <c r="J458" s="340">
        <f t="shared" si="169"/>
        <v>1.5707935862651581</v>
      </c>
      <c r="K458" s="348">
        <f t="shared" si="185"/>
        <v>8.4403909246555262</v>
      </c>
      <c r="L458" s="349">
        <f t="shared" si="186"/>
        <v>1.4520394570526405</v>
      </c>
      <c r="M458" s="337">
        <f t="shared" si="170"/>
        <v>1.0012256089979359</v>
      </c>
      <c r="N458" s="340">
        <f t="shared" si="171"/>
        <v>4.9484513561095587E-2</v>
      </c>
      <c r="O458" s="341">
        <f t="shared" si="172"/>
        <v>1.0048140748832133</v>
      </c>
      <c r="P458" s="342">
        <f t="shared" si="173"/>
        <v>0.11910778557949614</v>
      </c>
      <c r="Q458" s="343">
        <f t="shared" si="174"/>
        <v>-0.60993169444575757</v>
      </c>
      <c r="R458" s="344">
        <f t="shared" si="175"/>
        <v>-68.096210707910004</v>
      </c>
      <c r="S458" s="346">
        <f t="shared" si="176"/>
        <v>111.90378929209</v>
      </c>
      <c r="U458" s="319">
        <f t="shared" si="182"/>
        <v>50410.75</v>
      </c>
      <c r="V458" s="319">
        <f t="shared" si="183"/>
        <v>2541243715.5625</v>
      </c>
      <c r="X458" s="345">
        <f t="shared" si="177"/>
        <v>4.9805270341904659</v>
      </c>
      <c r="Y458" s="346">
        <f t="shared" si="178"/>
        <v>-9.6393641929517369</v>
      </c>
      <c r="AA458" s="345">
        <f t="shared" si="179"/>
        <v>31.242291429458785</v>
      </c>
      <c r="AB458" s="346">
        <f t="shared" si="180"/>
        <v>-58.456846514958272</v>
      </c>
      <c r="AD458">
        <f t="shared" si="184"/>
        <v>0</v>
      </c>
      <c r="AE458">
        <f t="shared" si="187"/>
        <v>0</v>
      </c>
    </row>
    <row r="459" spans="1:31" x14ac:dyDescent="0.2">
      <c r="A459" s="347">
        <v>50702.5</v>
      </c>
      <c r="B459" s="364">
        <f t="shared" si="181"/>
        <v>50.702500000000001</v>
      </c>
      <c r="C459" s="337">
        <f t="shared" si="162"/>
        <v>1.6229510909971778</v>
      </c>
      <c r="D459" s="338">
        <f t="shared" si="163"/>
        <v>0.90693649650963315</v>
      </c>
      <c r="E459" s="338">
        <f t="shared" si="164"/>
        <v>1.0000044837689075</v>
      </c>
      <c r="F459" s="339">
        <f t="shared" si="165"/>
        <v>2.9945791537959541E-3</v>
      </c>
      <c r="G459" s="338">
        <f t="shared" si="166"/>
        <v>1</v>
      </c>
      <c r="H459" s="339">
        <f t="shared" si="167"/>
        <v>0</v>
      </c>
      <c r="I459" s="337">
        <f t="shared" si="168"/>
        <v>367004.75892788911</v>
      </c>
      <c r="J459" s="340">
        <f t="shared" si="169"/>
        <v>1.5707936020345885</v>
      </c>
      <c r="K459" s="348">
        <f t="shared" si="185"/>
        <v>8.4885555756189106</v>
      </c>
      <c r="L459" s="349">
        <f t="shared" si="186"/>
        <v>1.452716450160517</v>
      </c>
      <c r="M459" s="337">
        <f t="shared" si="170"/>
        <v>1.0012398275568115</v>
      </c>
      <c r="N459" s="340">
        <f t="shared" si="171"/>
        <v>4.9770431656369393E-2</v>
      </c>
      <c r="O459" s="341">
        <f t="shared" si="172"/>
        <v>1.0048698542504848</v>
      </c>
      <c r="P459" s="342">
        <f t="shared" si="173"/>
        <v>0.11979374178795849</v>
      </c>
      <c r="Q459" s="343">
        <f t="shared" si="174"/>
        <v>-0.64226253209254081</v>
      </c>
      <c r="R459" s="344">
        <f t="shared" si="175"/>
        <v>-68.272690821759667</v>
      </c>
      <c r="S459" s="346">
        <f t="shared" si="176"/>
        <v>111.72730917824033</v>
      </c>
      <c r="U459" s="319">
        <f t="shared" si="182"/>
        <v>50702.5</v>
      </c>
      <c r="V459" s="319">
        <f t="shared" si="183"/>
        <v>2570743506.25</v>
      </c>
      <c r="X459" s="345">
        <f t="shared" si="177"/>
        <v>4.9797040780763009</v>
      </c>
      <c r="Y459" s="346">
        <f t="shared" si="178"/>
        <v>-9.6169581487527882</v>
      </c>
      <c r="AA459" s="345">
        <f t="shared" si="179"/>
        <v>31.210783547926162</v>
      </c>
      <c r="AB459" s="346">
        <f t="shared" si="180"/>
        <v>-58.655732673006852</v>
      </c>
      <c r="AD459">
        <f t="shared" si="184"/>
        <v>0</v>
      </c>
      <c r="AE459">
        <f t="shared" si="187"/>
        <v>0</v>
      </c>
    </row>
    <row r="460" spans="1:31" x14ac:dyDescent="0.2">
      <c r="A460" s="347">
        <v>50994.25</v>
      </c>
      <c r="B460" s="364">
        <f t="shared" si="181"/>
        <v>50.994250000000001</v>
      </c>
      <c r="C460" s="337">
        <f t="shared" si="162"/>
        <v>1.6287506188071295</v>
      </c>
      <c r="D460" s="338">
        <f t="shared" si="163"/>
        <v>0.90971905368688644</v>
      </c>
      <c r="E460" s="338">
        <f t="shared" si="164"/>
        <v>1.000004535517844</v>
      </c>
      <c r="F460" s="339">
        <f t="shared" si="165"/>
        <v>3.0118103199096129E-3</v>
      </c>
      <c r="G460" s="338">
        <f t="shared" si="166"/>
        <v>1</v>
      </c>
      <c r="H460" s="339">
        <f t="shared" si="167"/>
        <v>0</v>
      </c>
      <c r="I460" s="337">
        <f t="shared" si="168"/>
        <v>369116.56087880715</v>
      </c>
      <c r="J460" s="340">
        <f t="shared" si="169"/>
        <v>1.5707936176235779</v>
      </c>
      <c r="K460" s="348">
        <f t="shared" si="185"/>
        <v>8.5367240731527367</v>
      </c>
      <c r="L460" s="349">
        <f t="shared" si="186"/>
        <v>1.4533858037000029</v>
      </c>
      <c r="M460" s="337">
        <f t="shared" si="170"/>
        <v>1.0012541279638705</v>
      </c>
      <c r="N460" s="340">
        <f t="shared" si="171"/>
        <v>5.0056341607768021E-2</v>
      </c>
      <c r="O460" s="341">
        <f t="shared" si="172"/>
        <v>1.0049259531026109</v>
      </c>
      <c r="P460" s="342">
        <f t="shared" si="173"/>
        <v>0.12047963999162754</v>
      </c>
      <c r="Q460" s="343">
        <f t="shared" si="174"/>
        <v>-0.67454200743425508</v>
      </c>
      <c r="R460" s="344">
        <f t="shared" si="175"/>
        <v>-68.448462597526913</v>
      </c>
      <c r="S460" s="346">
        <f t="shared" si="176"/>
        <v>111.55153740247309</v>
      </c>
      <c r="U460" s="319">
        <f t="shared" si="182"/>
        <v>50994.25</v>
      </c>
      <c r="V460" s="319">
        <f t="shared" si="183"/>
        <v>2600413533.0625</v>
      </c>
      <c r="X460" s="345">
        <f t="shared" si="177"/>
        <v>4.9788922773064517</v>
      </c>
      <c r="Y460" s="346">
        <f t="shared" si="178"/>
        <v>-9.5949893426322248</v>
      </c>
      <c r="AA460" s="345">
        <f t="shared" si="179"/>
        <v>31.179315873354302</v>
      </c>
      <c r="AB460" s="346">
        <f t="shared" si="180"/>
        <v>-58.853473254894688</v>
      </c>
      <c r="AD460">
        <f t="shared" si="184"/>
        <v>0</v>
      </c>
      <c r="AE460">
        <f t="shared" si="187"/>
        <v>0</v>
      </c>
    </row>
    <row r="461" spans="1:31" x14ac:dyDescent="0.2">
      <c r="A461" s="347">
        <v>51286</v>
      </c>
      <c r="B461" s="364">
        <f t="shared" si="181"/>
        <v>51.286000000000001</v>
      </c>
      <c r="C461" s="337">
        <f t="shared" ref="C461:C524" si="188">SQRT(1+(A461/pole1)^2)</f>
        <v>1.6345626678769105</v>
      </c>
      <c r="D461" s="338">
        <f t="shared" ref="D461:D524" si="189">ATAN(A461/pole1)</f>
        <v>0.91248184413403988</v>
      </c>
      <c r="E461" s="338">
        <f t="shared" ref="E461:E524" si="190">SQRT(1+(A461/Zero1)^2)</f>
        <v>1.0000045875636947</v>
      </c>
      <c r="F461" s="339">
        <f t="shared" ref="F461:F524" si="191">ATAN(A461/Zero1)</f>
        <v>3.0290414842347752E-3</v>
      </c>
      <c r="G461" s="338">
        <f t="shared" ref="G461:G524" si="192">IF(VIN_nom&gt;Vout, 1, SQRT(1+(A461/z_RHP)^2))</f>
        <v>1</v>
      </c>
      <c r="H461" s="339">
        <f t="shared" ref="H461:H524" si="193">IF(VIN_nom&gt;Vout, 0, -ATAN(A461/z_RHP))</f>
        <v>0</v>
      </c>
      <c r="I461" s="337">
        <f t="shared" ref="I461:I524" si="194">SQRT(1+(A461/Pole2)^2)</f>
        <v>371228.3628297252</v>
      </c>
      <c r="J461" s="340">
        <f t="shared" ref="J461:J524" si="195">ATAN(A461/Pole2)</f>
        <v>1.5707936330352055</v>
      </c>
      <c r="K461" s="348">
        <f t="shared" si="185"/>
        <v>8.5848963525095083</v>
      </c>
      <c r="L461" s="349">
        <f t="shared" si="186"/>
        <v>1.4540476456695375</v>
      </c>
      <c r="M461" s="337">
        <f t="shared" ref="M461:M524" si="196">SQRT(1+(A461/pole4)^2)</f>
        <v>1.0012685102156058</v>
      </c>
      <c r="N461" s="340">
        <f t="shared" ref="N461:N524" si="197">ATAN(A461/pole4)</f>
        <v>5.0342243368898282E-2</v>
      </c>
      <c r="O461" s="341">
        <f t="shared" ref="O461:O524" si="198">SQRT((1-(V461/pterm2))^2+(A461/pterm1)^2)</f>
        <v>1.0049823713984942</v>
      </c>
      <c r="P461" s="342">
        <f t="shared" ref="P461:P524" si="199">IF((ATAN((A461/pterm1)/(1-A461^2/pterm2))&gt;0),ATAN((A461/pterm1)/(1-A461^2/pterm2)),PI()+ATAN((A461/pterm1)/(1-A461^2/pterm2)))</f>
        <v>0.12116547986877384</v>
      </c>
      <c r="Q461" s="343">
        <f t="shared" ref="Q461:Q524" si="200">20*LOG10(((E461*K461*G461)/(C461*I461*O461*M461))*Adc)</f>
        <v>-0.70676973479836969</v>
      </c>
      <c r="R461" s="344">
        <f t="shared" ref="R461:R524" si="201">((F461+L461+H461)-(D461+J461+P461+N461))*radconv</f>
        <v>-68.623528383148638</v>
      </c>
      <c r="S461" s="346">
        <f t="shared" ref="S461:S524" si="202">IF(R461&gt;0,R461,R461+180)</f>
        <v>111.37647161685136</v>
      </c>
      <c r="U461" s="319">
        <f t="shared" si="182"/>
        <v>51286</v>
      </c>
      <c r="V461" s="319">
        <f t="shared" si="183"/>
        <v>2630253796</v>
      </c>
      <c r="X461" s="345">
        <f t="shared" ref="X461:X524" si="203">20*LOG10((K461/(I461*M461))*AEA)</f>
        <v>4.9780913658124195</v>
      </c>
      <c r="Y461" s="346">
        <f t="shared" ref="Y461:Y524" si="204">(L461-(J461+N461))*radconv</f>
        <v>-9.5734504383379946</v>
      </c>
      <c r="AA461" s="345">
        <f t="shared" ref="AA461:AA524" si="205">20*LOG10((E461*G461/(C461*O461))*Acs*Am)</f>
        <v>31.147889057484221</v>
      </c>
      <c r="AB461" s="346">
        <f t="shared" ref="AB461:AB524" si="206">(F461+H461-(D461+P461))*radconv</f>
        <v>-59.050077944810624</v>
      </c>
      <c r="AD461">
        <f t="shared" si="184"/>
        <v>0</v>
      </c>
      <c r="AE461">
        <f t="shared" si="187"/>
        <v>0</v>
      </c>
    </row>
    <row r="462" spans="1:31" x14ac:dyDescent="0.2">
      <c r="A462" s="347">
        <v>51584.75</v>
      </c>
      <c r="B462" s="364">
        <f t="shared" ref="B462:B525" si="207">A462/1000</f>
        <v>51.58475</v>
      </c>
      <c r="C462" s="337">
        <f t="shared" si="188"/>
        <v>1.6405270027688765</v>
      </c>
      <c r="D462" s="338">
        <f t="shared" si="189"/>
        <v>0.91529061443247961</v>
      </c>
      <c r="E462" s="338">
        <f t="shared" si="190"/>
        <v>1.0000046411659747</v>
      </c>
      <c r="F462" s="339">
        <f t="shared" si="191"/>
        <v>3.0466860765168673E-3</v>
      </c>
      <c r="G462" s="338">
        <f t="shared" si="192"/>
        <v>1</v>
      </c>
      <c r="H462" s="339">
        <f t="shared" si="193"/>
        <v>0</v>
      </c>
      <c r="I462" s="337">
        <f t="shared" si="194"/>
        <v>373390.83355067397</v>
      </c>
      <c r="J462" s="340">
        <f t="shared" si="195"/>
        <v>1.5707936486359539</v>
      </c>
      <c r="K462" s="348">
        <f t="shared" si="185"/>
        <v>8.6342282892393527</v>
      </c>
      <c r="L462" s="349">
        <f t="shared" si="186"/>
        <v>1.4547177139667549</v>
      </c>
      <c r="M462" s="337">
        <f t="shared" si="196"/>
        <v>1.0012833223529072</v>
      </c>
      <c r="N462" s="340">
        <f t="shared" si="197"/>
        <v>5.063499627654286E-2</v>
      </c>
      <c r="O462" s="341">
        <f t="shared" si="198"/>
        <v>1.0050404743359516</v>
      </c>
      <c r="P462" s="342">
        <f t="shared" si="199"/>
        <v>0.12186771442309301</v>
      </c>
      <c r="Q462" s="343">
        <f t="shared" si="200"/>
        <v>-0.7397166907974404</v>
      </c>
      <c r="R462" s="344">
        <f t="shared" si="201"/>
        <v>-68.802065497085863</v>
      </c>
      <c r="S462" s="346">
        <f t="shared" si="202"/>
        <v>111.19793450291414</v>
      </c>
      <c r="U462" s="319">
        <f t="shared" ref="U462:U525" si="208">IF(Q462&lt;0,A462,1000000000)</f>
        <v>51584.75</v>
      </c>
      <c r="V462" s="319">
        <f t="shared" ref="V462:V525" si="209">A462^2</f>
        <v>2660986432.5625</v>
      </c>
      <c r="X462" s="345">
        <f t="shared" si="203"/>
        <v>4.9772822520987745</v>
      </c>
      <c r="Y462" s="346">
        <f t="shared" si="204"/>
        <v>-9.5518327528024844</v>
      </c>
      <c r="AA462" s="345">
        <f t="shared" si="205"/>
        <v>31.115751215198792</v>
      </c>
      <c r="AB462" s="346">
        <f t="shared" si="206"/>
        <v>-59.250232744283387</v>
      </c>
      <c r="AD462">
        <f t="shared" ref="AD462:AD525" si="210">SUM((Q463&lt;0)*(Q462&gt;0))*A462</f>
        <v>0</v>
      </c>
      <c r="AE462">
        <f t="shared" si="187"/>
        <v>0</v>
      </c>
    </row>
    <row r="463" spans="1:31" x14ac:dyDescent="0.2">
      <c r="A463" s="347">
        <v>51883.5</v>
      </c>
      <c r="B463" s="364">
        <f t="shared" si="207"/>
        <v>51.883499999999998</v>
      </c>
      <c r="C463" s="337">
        <f t="shared" si="188"/>
        <v>1.6465041862658052</v>
      </c>
      <c r="D463" s="338">
        <f t="shared" si="189"/>
        <v>0.91807901365036237</v>
      </c>
      <c r="E463" s="338">
        <f t="shared" si="190"/>
        <v>1.0000046950795878</v>
      </c>
      <c r="F463" s="339">
        <f t="shared" si="191"/>
        <v>3.0643306669018949E-3</v>
      </c>
      <c r="G463" s="338">
        <f t="shared" si="192"/>
        <v>1</v>
      </c>
      <c r="H463" s="339">
        <f t="shared" si="193"/>
        <v>0</v>
      </c>
      <c r="I463" s="337">
        <f t="shared" si="194"/>
        <v>375553.30427162285</v>
      </c>
      <c r="J463" s="340">
        <f t="shared" si="195"/>
        <v>1.5707936640570412</v>
      </c>
      <c r="K463" s="348">
        <f t="shared" si="185"/>
        <v>8.6835640586159411</v>
      </c>
      <c r="L463" s="349">
        <f t="shared" si="186"/>
        <v>1.4553801685570769</v>
      </c>
      <c r="M463" s="337">
        <f t="shared" si="196"/>
        <v>1.0012982203019163</v>
      </c>
      <c r="N463" s="340">
        <f t="shared" si="197"/>
        <v>5.0927740497749958E-2</v>
      </c>
      <c r="O463" s="341">
        <f t="shared" si="198"/>
        <v>1.0050989121420411</v>
      </c>
      <c r="P463" s="342">
        <f t="shared" si="199"/>
        <v>0.12256988713629315</v>
      </c>
      <c r="Q463" s="343">
        <f t="shared" si="200"/>
        <v>-0.77260860458423242</v>
      </c>
      <c r="R463" s="344">
        <f t="shared" si="201"/>
        <v>-68.979867616237343</v>
      </c>
      <c r="S463" s="346">
        <f t="shared" si="202"/>
        <v>111.02013238376266</v>
      </c>
      <c r="U463" s="319">
        <f t="shared" si="208"/>
        <v>51883.5</v>
      </c>
      <c r="V463" s="319">
        <f t="shared" si="209"/>
        <v>2691897572.25</v>
      </c>
      <c r="X463" s="345">
        <f t="shared" si="203"/>
        <v>4.9764840153142496</v>
      </c>
      <c r="Y463" s="346">
        <f t="shared" si="204"/>
        <v>-9.5306507925489878</v>
      </c>
      <c r="AA463" s="345">
        <f t="shared" si="205"/>
        <v>31.08365753819653</v>
      </c>
      <c r="AB463" s="346">
        <f t="shared" si="206"/>
        <v>-59.449216823688339</v>
      </c>
      <c r="AD463">
        <f t="shared" si="210"/>
        <v>0</v>
      </c>
      <c r="AE463">
        <f t="shared" si="187"/>
        <v>0</v>
      </c>
    </row>
    <row r="464" spans="1:31" x14ac:dyDescent="0.2">
      <c r="A464" s="347">
        <v>52182.25</v>
      </c>
      <c r="B464" s="364">
        <f t="shared" si="207"/>
        <v>52.182250000000003</v>
      </c>
      <c r="C464" s="337">
        <f t="shared" si="188"/>
        <v>1.6524940789448674</v>
      </c>
      <c r="D464" s="338">
        <f t="shared" si="189"/>
        <v>0.92084721971183936</v>
      </c>
      <c r="E464" s="338">
        <f t="shared" si="190"/>
        <v>1.0000047493045339</v>
      </c>
      <c r="F464" s="339">
        <f t="shared" si="191"/>
        <v>3.0819752553788711E-3</v>
      </c>
      <c r="G464" s="338">
        <f t="shared" si="192"/>
        <v>1</v>
      </c>
      <c r="H464" s="339">
        <f t="shared" si="193"/>
        <v>0</v>
      </c>
      <c r="I464" s="337">
        <f t="shared" si="194"/>
        <v>377715.77499257174</v>
      </c>
      <c r="J464" s="340">
        <f t="shared" si="195"/>
        <v>1.5707936793015531</v>
      </c>
      <c r="K464" s="348">
        <f t="shared" si="185"/>
        <v>8.7329035956826733</v>
      </c>
      <c r="L464" s="349">
        <f t="shared" si="186"/>
        <v>1.456035137902842</v>
      </c>
      <c r="M464" s="337">
        <f t="shared" si="196"/>
        <v>1.0013132040588031</v>
      </c>
      <c r="N464" s="340">
        <f t="shared" si="197"/>
        <v>5.1220475982732522E-2</v>
      </c>
      <c r="O464" s="341">
        <f t="shared" si="198"/>
        <v>1.0051576847719057</v>
      </c>
      <c r="P464" s="342">
        <f t="shared" si="199"/>
        <v>0.12327199766359341</v>
      </c>
      <c r="Q464" s="343">
        <f t="shared" si="200"/>
        <v>-0.80544509954180032</v>
      </c>
      <c r="R464" s="344">
        <f t="shared" si="201"/>
        <v>-69.156937552126493</v>
      </c>
      <c r="S464" s="346">
        <f t="shared" si="202"/>
        <v>110.84306244787351</v>
      </c>
      <c r="U464" s="319">
        <f t="shared" si="208"/>
        <v>52182.25</v>
      </c>
      <c r="V464" s="319">
        <f t="shared" si="209"/>
        <v>2722987215.0625</v>
      </c>
      <c r="X464" s="345">
        <f t="shared" si="203"/>
        <v>4.975696393108481</v>
      </c>
      <c r="Y464" s="346">
        <f t="shared" si="204"/>
        <v>-9.5098971945518986</v>
      </c>
      <c r="AA464" s="345">
        <f t="shared" si="205"/>
        <v>31.051608665444729</v>
      </c>
      <c r="AB464" s="346">
        <f t="shared" si="206"/>
        <v>-59.647040357574589</v>
      </c>
      <c r="AD464">
        <f t="shared" si="210"/>
        <v>0</v>
      </c>
      <c r="AE464">
        <f t="shared" si="187"/>
        <v>0</v>
      </c>
    </row>
    <row r="465" spans="1:31" x14ac:dyDescent="0.2">
      <c r="A465" s="347">
        <v>52481</v>
      </c>
      <c r="B465" s="364">
        <f t="shared" si="207"/>
        <v>52.481000000000002</v>
      </c>
      <c r="C465" s="337">
        <f t="shared" si="188"/>
        <v>1.6584965431030925</v>
      </c>
      <c r="D465" s="338">
        <f t="shared" si="189"/>
        <v>0.92359540921138517</v>
      </c>
      <c r="E465" s="338">
        <f t="shared" si="190"/>
        <v>1.0000048038408129</v>
      </c>
      <c r="F465" s="339">
        <f t="shared" si="191"/>
        <v>3.099619841936809E-3</v>
      </c>
      <c r="G465" s="338">
        <f t="shared" si="192"/>
        <v>1</v>
      </c>
      <c r="H465" s="339">
        <f t="shared" si="193"/>
        <v>0</v>
      </c>
      <c r="I465" s="337">
        <f t="shared" si="194"/>
        <v>379878.24571352074</v>
      </c>
      <c r="J465" s="340">
        <f t="shared" si="195"/>
        <v>1.5707936943725054</v>
      </c>
      <c r="K465" s="348">
        <f t="shared" si="185"/>
        <v>8.7822468369377749</v>
      </c>
      <c r="L465" s="349">
        <f t="shared" si="186"/>
        <v>1.4566827476053357</v>
      </c>
      <c r="M465" s="337">
        <f t="shared" si="196"/>
        <v>1.0013282736197155</v>
      </c>
      <c r="N465" s="340">
        <f t="shared" si="197"/>
        <v>5.1513202681712493E-2</v>
      </c>
      <c r="O465" s="341">
        <f t="shared" si="198"/>
        <v>1.005216792180442</v>
      </c>
      <c r="P465" s="342">
        <f t="shared" si="199"/>
        <v>0.12397404566044007</v>
      </c>
      <c r="Q465" s="343">
        <f t="shared" si="200"/>
        <v>-0.83822581137942376</v>
      </c>
      <c r="R465" s="344">
        <f t="shared" si="201"/>
        <v>-69.333278204027735</v>
      </c>
      <c r="S465" s="346">
        <f t="shared" si="202"/>
        <v>110.66672179597226</v>
      </c>
      <c r="U465" s="319">
        <f t="shared" si="208"/>
        <v>52481</v>
      </c>
      <c r="V465" s="319">
        <f t="shared" si="209"/>
        <v>2754255361</v>
      </c>
      <c r="X465" s="345">
        <f t="shared" si="203"/>
        <v>4.9749191304821645</v>
      </c>
      <c r="Y465" s="346">
        <f t="shared" si="204"/>
        <v>-9.4895647597083546</v>
      </c>
      <c r="AA465" s="345">
        <f t="shared" si="205"/>
        <v>31.019605216233419</v>
      </c>
      <c r="AB465" s="346">
        <f t="shared" si="206"/>
        <v>-59.843713444319363</v>
      </c>
      <c r="AD465">
        <f t="shared" si="210"/>
        <v>0</v>
      </c>
      <c r="AE465">
        <f t="shared" si="187"/>
        <v>0</v>
      </c>
    </row>
    <row r="466" spans="1:31" x14ac:dyDescent="0.2">
      <c r="A466" s="347">
        <v>52786.5</v>
      </c>
      <c r="B466" s="364">
        <f t="shared" si="207"/>
        <v>52.786499999999997</v>
      </c>
      <c r="C466" s="337">
        <f t="shared" si="188"/>
        <v>1.664647486844093</v>
      </c>
      <c r="D466" s="338">
        <f t="shared" si="189"/>
        <v>0.92638517423970002</v>
      </c>
      <c r="E466" s="338">
        <f t="shared" si="190"/>
        <v>1.0000048599312561</v>
      </c>
      <c r="F466" s="339">
        <f t="shared" si="191"/>
        <v>3.1176630907975324E-3</v>
      </c>
      <c r="G466" s="338">
        <f t="shared" si="192"/>
        <v>1</v>
      </c>
      <c r="H466" s="339">
        <f t="shared" si="193"/>
        <v>0</v>
      </c>
      <c r="I466" s="337">
        <f t="shared" si="194"/>
        <v>382089.5756055708</v>
      </c>
      <c r="J466" s="340">
        <f t="shared" si="195"/>
        <v>1.5707937096075566</v>
      </c>
      <c r="K466" s="348">
        <f t="shared" si="185"/>
        <v>8.8327087123958155</v>
      </c>
      <c r="L466" s="349">
        <f t="shared" si="186"/>
        <v>1.4573375064980276</v>
      </c>
      <c r="M466" s="337">
        <f t="shared" si="196"/>
        <v>1.0013437723943241</v>
      </c>
      <c r="N466" s="340">
        <f t="shared" si="197"/>
        <v>5.1812534151502783E-2</v>
      </c>
      <c r="O466" s="341">
        <f t="shared" si="198"/>
        <v>1.0052775812331021</v>
      </c>
      <c r="P466" s="342">
        <f t="shared" si="199"/>
        <v>0.12469189080518978</v>
      </c>
      <c r="Q466" s="343">
        <f t="shared" si="200"/>
        <v>-0.87168912054142633</v>
      </c>
      <c r="R466" s="344">
        <f t="shared" si="201"/>
        <v>-69.512852042966912</v>
      </c>
      <c r="S466" s="346">
        <f t="shared" si="202"/>
        <v>110.48714795703309</v>
      </c>
      <c r="U466" s="319">
        <f t="shared" si="208"/>
        <v>52786.5</v>
      </c>
      <c r="V466" s="319">
        <f t="shared" si="209"/>
        <v>2786414582.25</v>
      </c>
      <c r="X466" s="345">
        <f t="shared" si="203"/>
        <v>4.9741347613477762</v>
      </c>
      <c r="Y466" s="346">
        <f t="shared" si="204"/>
        <v>-9.4692011413337465</v>
      </c>
      <c r="AA466" s="345">
        <f t="shared" si="205"/>
        <v>30.986926276205807</v>
      </c>
      <c r="AB466" s="346">
        <f t="shared" si="206"/>
        <v>-60.043650901633143</v>
      </c>
      <c r="AD466">
        <f t="shared" si="210"/>
        <v>0</v>
      </c>
      <c r="AE466">
        <f t="shared" si="187"/>
        <v>0</v>
      </c>
    </row>
    <row r="467" spans="1:31" x14ac:dyDescent="0.2">
      <c r="A467" s="347">
        <v>53092</v>
      </c>
      <c r="B467" s="364">
        <f t="shared" si="207"/>
        <v>53.091999999999999</v>
      </c>
      <c r="C467" s="337">
        <f t="shared" si="188"/>
        <v>1.6708112907367441</v>
      </c>
      <c r="D467" s="338">
        <f t="shared" si="189"/>
        <v>0.92915437719699268</v>
      </c>
      <c r="E467" s="338">
        <f t="shared" si="190"/>
        <v>1.0000049163472597</v>
      </c>
      <c r="F467" s="339">
        <f t="shared" si="191"/>
        <v>3.1357063376282841E-3</v>
      </c>
      <c r="G467" s="338">
        <f t="shared" si="192"/>
        <v>1</v>
      </c>
      <c r="H467" s="339">
        <f t="shared" si="193"/>
        <v>0</v>
      </c>
      <c r="I467" s="337">
        <f t="shared" si="194"/>
        <v>384300.90549762093</v>
      </c>
      <c r="J467" s="340">
        <f t="shared" si="195"/>
        <v>1.5707937246672781</v>
      </c>
      <c r="K467" s="348">
        <f t="shared" si="185"/>
        <v>8.8831743314953293</v>
      </c>
      <c r="L467" s="349">
        <f t="shared" si="186"/>
        <v>1.4579848262500033</v>
      </c>
      <c r="M467" s="337">
        <f t="shared" si="196"/>
        <v>1.0013593608858808</v>
      </c>
      <c r="N467" s="340">
        <f t="shared" si="197"/>
        <v>5.2111856328527939E-2</v>
      </c>
      <c r="O467" s="341">
        <f t="shared" si="198"/>
        <v>1.0053387202672306</v>
      </c>
      <c r="P467" s="342">
        <f t="shared" si="199"/>
        <v>0.12540966983391302</v>
      </c>
      <c r="Q467" s="343">
        <f t="shared" si="200"/>
        <v>-0.90509336561242115</v>
      </c>
      <c r="R467" s="344">
        <f t="shared" si="201"/>
        <v>-69.691669662849009</v>
      </c>
      <c r="S467" s="346">
        <f t="shared" si="202"/>
        <v>110.30833033715099</v>
      </c>
      <c r="U467" s="319">
        <f t="shared" si="208"/>
        <v>53092</v>
      </c>
      <c r="V467" s="319">
        <f t="shared" si="209"/>
        <v>2818760464</v>
      </c>
      <c r="X467" s="345">
        <f t="shared" si="203"/>
        <v>4.9733607083663598</v>
      </c>
      <c r="Y467" s="346">
        <f t="shared" si="204"/>
        <v>-9.4492632118439932</v>
      </c>
      <c r="AA467" s="345">
        <f t="shared" si="205"/>
        <v>30.954296084116226</v>
      </c>
      <c r="AB467" s="346">
        <f t="shared" si="206"/>
        <v>-60.242406451005003</v>
      </c>
      <c r="AD467">
        <f t="shared" si="210"/>
        <v>0</v>
      </c>
      <c r="AE467">
        <f t="shared" si="187"/>
        <v>0</v>
      </c>
    </row>
    <row r="468" spans="1:31" x14ac:dyDescent="0.2">
      <c r="A468" s="347">
        <v>53397.5</v>
      </c>
      <c r="B468" s="364">
        <f t="shared" si="207"/>
        <v>53.397500000000001</v>
      </c>
      <c r="C468" s="337">
        <f t="shared" si="188"/>
        <v>1.6769878129777798</v>
      </c>
      <c r="D468" s="338">
        <f t="shared" si="189"/>
        <v>0.93190320257387071</v>
      </c>
      <c r="E468" s="338">
        <f t="shared" si="190"/>
        <v>1.0000049730888239</v>
      </c>
      <c r="F468" s="339">
        <f t="shared" si="191"/>
        <v>3.1537495824173157E-3</v>
      </c>
      <c r="G468" s="338">
        <f t="shared" si="192"/>
        <v>1</v>
      </c>
      <c r="H468" s="339">
        <f t="shared" si="193"/>
        <v>0</v>
      </c>
      <c r="I468" s="337">
        <f t="shared" si="194"/>
        <v>386512.23538967117</v>
      </c>
      <c r="J468" s="340">
        <f t="shared" si="195"/>
        <v>1.5707937395546789</v>
      </c>
      <c r="K468" s="348">
        <f t="shared" si="185"/>
        <v>8.9336436307934921</v>
      </c>
      <c r="L468" s="349">
        <f t="shared" si="186"/>
        <v>1.458624832393107</v>
      </c>
      <c r="M468" s="337">
        <f t="shared" si="196"/>
        <v>1.0013750390901954</v>
      </c>
      <c r="N468" s="340">
        <f t="shared" si="197"/>
        <v>5.2411169159588405E-2</v>
      </c>
      <c r="O468" s="341">
        <f t="shared" si="198"/>
        <v>1.0054002092338015</v>
      </c>
      <c r="P468" s="342">
        <f t="shared" si="199"/>
        <v>0.12612738237891452</v>
      </c>
      <c r="Q468" s="343">
        <f t="shared" si="200"/>
        <v>-0.93843819593817202</v>
      </c>
      <c r="R468" s="344">
        <f t="shared" si="201"/>
        <v>-69.869734417819913</v>
      </c>
      <c r="S468" s="346">
        <f t="shared" si="202"/>
        <v>110.13026558218009</v>
      </c>
      <c r="U468" s="319">
        <f t="shared" si="208"/>
        <v>53397.5</v>
      </c>
      <c r="V468" s="319">
        <f t="shared" si="209"/>
        <v>2851293006.25</v>
      </c>
      <c r="X468" s="345">
        <f t="shared" si="203"/>
        <v>4.9725967211449511</v>
      </c>
      <c r="Y468" s="346">
        <f t="shared" si="204"/>
        <v>-9.4297437759185101</v>
      </c>
      <c r="AA468" s="345">
        <f t="shared" si="205"/>
        <v>30.921715241011889</v>
      </c>
      <c r="AB468" s="346">
        <f t="shared" si="206"/>
        <v>-60.43999064190141</v>
      </c>
      <c r="AD468">
        <f t="shared" si="210"/>
        <v>0</v>
      </c>
      <c r="AE468">
        <f t="shared" si="187"/>
        <v>0</v>
      </c>
    </row>
    <row r="469" spans="1:31" x14ac:dyDescent="0.2">
      <c r="A469" s="347">
        <v>53703</v>
      </c>
      <c r="B469" s="364">
        <f t="shared" si="207"/>
        <v>53.703000000000003</v>
      </c>
      <c r="C469" s="337">
        <f t="shared" si="188"/>
        <v>1.683176913554898</v>
      </c>
      <c r="D469" s="338">
        <f t="shared" si="189"/>
        <v>0.93463183338759792</v>
      </c>
      <c r="E469" s="338">
        <f t="shared" si="190"/>
        <v>1.0000050301559482</v>
      </c>
      <c r="F469" s="339">
        <f t="shared" si="191"/>
        <v>3.1717928251528797E-3</v>
      </c>
      <c r="G469" s="338">
        <f t="shared" si="192"/>
        <v>1</v>
      </c>
      <c r="H469" s="339">
        <f t="shared" si="193"/>
        <v>0</v>
      </c>
      <c r="I469" s="337">
        <f t="shared" si="194"/>
        <v>388723.56528172153</v>
      </c>
      <c r="J469" s="340">
        <f t="shared" si="195"/>
        <v>1.5707937542727002</v>
      </c>
      <c r="K469" s="348">
        <f t="shared" si="185"/>
        <v>8.9841165482684993</v>
      </c>
      <c r="L469" s="349">
        <f t="shared" si="186"/>
        <v>1.4592576476624997</v>
      </c>
      <c r="M469" s="337">
        <f t="shared" si="196"/>
        <v>1.0013908070030542</v>
      </c>
      <c r="N469" s="340">
        <f t="shared" si="197"/>
        <v>5.2710472591494646E-2</v>
      </c>
      <c r="O469" s="341">
        <f t="shared" si="198"/>
        <v>1.0054620480835206</v>
      </c>
      <c r="P469" s="342">
        <f t="shared" si="199"/>
        <v>0.12684502807275239</v>
      </c>
      <c r="Q469" s="343">
        <f t="shared" si="200"/>
        <v>-0.97172327359290733</v>
      </c>
      <c r="R469" s="344">
        <f t="shared" si="201"/>
        <v>-70.047049737858487</v>
      </c>
      <c r="S469" s="346">
        <f t="shared" si="202"/>
        <v>109.95295026214151</v>
      </c>
      <c r="U469" s="319">
        <f t="shared" si="208"/>
        <v>53703</v>
      </c>
      <c r="V469" s="319">
        <f t="shared" si="209"/>
        <v>2884012209</v>
      </c>
      <c r="X469" s="345">
        <f t="shared" si="203"/>
        <v>4.971842556306286</v>
      </c>
      <c r="Y469" s="346">
        <f t="shared" si="204"/>
        <v>-9.4106357984715565</v>
      </c>
      <c r="AA469" s="345">
        <f t="shared" si="205"/>
        <v>30.889184328195817</v>
      </c>
      <c r="AB469" s="346">
        <f t="shared" si="206"/>
        <v>-60.636413939386919</v>
      </c>
      <c r="AD469">
        <f t="shared" si="210"/>
        <v>0</v>
      </c>
      <c r="AE469">
        <f t="shared" si="187"/>
        <v>0</v>
      </c>
    </row>
    <row r="470" spans="1:31" x14ac:dyDescent="0.2">
      <c r="A470" s="347">
        <v>54015.75</v>
      </c>
      <c r="B470" s="364">
        <f t="shared" si="207"/>
        <v>54.015749999999997</v>
      </c>
      <c r="C470" s="337">
        <f t="shared" si="188"/>
        <v>1.6895257766225773</v>
      </c>
      <c r="D470" s="338">
        <f t="shared" si="189"/>
        <v>0.93740448935193299</v>
      </c>
      <c r="E470" s="338">
        <f t="shared" si="190"/>
        <v>1.0000050889146068</v>
      </c>
      <c r="F470" s="339">
        <f t="shared" si="191"/>
        <v>3.1902642605439045E-3</v>
      </c>
      <c r="G470" s="338">
        <f t="shared" si="192"/>
        <v>1</v>
      </c>
      <c r="H470" s="339">
        <f t="shared" si="193"/>
        <v>0</v>
      </c>
      <c r="I470" s="337">
        <f t="shared" si="194"/>
        <v>390987.37354273215</v>
      </c>
      <c r="J470" s="340">
        <f t="shared" si="195"/>
        <v>1.5707937691675469</v>
      </c>
      <c r="K470" s="348">
        <f t="shared" si="185"/>
        <v>9.0357909528928815</v>
      </c>
      <c r="L470" s="349">
        <f t="shared" si="186"/>
        <v>1.4598981570565868</v>
      </c>
      <c r="M470" s="337">
        <f t="shared" si="196"/>
        <v>1.0014070420362882</v>
      </c>
      <c r="N470" s="340">
        <f t="shared" si="197"/>
        <v>5.301686917709314E-2</v>
      </c>
      <c r="O470" s="341">
        <f t="shared" si="198"/>
        <v>1.0055257168521661</v>
      </c>
      <c r="P470" s="342">
        <f t="shared" si="199"/>
        <v>0.12757963500512837</v>
      </c>
      <c r="Q470" s="343">
        <f t="shared" si="200"/>
        <v>-1.0057360227899141</v>
      </c>
      <c r="R470" s="344">
        <f t="shared" si="201"/>
        <v>-70.227800364004139</v>
      </c>
      <c r="S470" s="346">
        <f t="shared" si="202"/>
        <v>109.77219963599586</v>
      </c>
      <c r="U470" s="319">
        <f t="shared" si="208"/>
        <v>54015.75</v>
      </c>
      <c r="V470" s="319">
        <f t="shared" si="209"/>
        <v>2917701248.0625</v>
      </c>
      <c r="X470" s="345">
        <f t="shared" si="203"/>
        <v>4.9710804217562616</v>
      </c>
      <c r="Y470" s="346">
        <f t="shared" si="204"/>
        <v>-9.3914933980538766</v>
      </c>
      <c r="AA470" s="345">
        <f t="shared" si="205"/>
        <v>30.855933713548829</v>
      </c>
      <c r="AB470" s="346">
        <f t="shared" si="206"/>
        <v>-60.836306965950257</v>
      </c>
      <c r="AD470">
        <f t="shared" si="210"/>
        <v>0</v>
      </c>
      <c r="AE470">
        <f t="shared" si="187"/>
        <v>0</v>
      </c>
    </row>
    <row r="471" spans="1:31" x14ac:dyDescent="0.2">
      <c r="A471" s="347">
        <v>54328.5</v>
      </c>
      <c r="B471" s="364">
        <f t="shared" si="207"/>
        <v>54.328499999999998</v>
      </c>
      <c r="C471" s="337">
        <f t="shared" si="188"/>
        <v>1.6958875308171422</v>
      </c>
      <c r="D471" s="338">
        <f t="shared" si="189"/>
        <v>0.94015636430489835</v>
      </c>
      <c r="E471" s="338">
        <f t="shared" si="190"/>
        <v>1.0000051480144612</v>
      </c>
      <c r="F471" s="339">
        <f t="shared" si="191"/>
        <v>3.2087356937579247E-3</v>
      </c>
      <c r="G471" s="338">
        <f t="shared" si="192"/>
        <v>1</v>
      </c>
      <c r="H471" s="339">
        <f t="shared" si="193"/>
        <v>0</v>
      </c>
      <c r="I471" s="337">
        <f t="shared" si="194"/>
        <v>393251.18180374295</v>
      </c>
      <c r="J471" s="340">
        <f t="shared" si="195"/>
        <v>1.5707937838909047</v>
      </c>
      <c r="K471" s="348">
        <f t="shared" ref="K471:K534" si="211">SQRT(1+(A471/Zero2)^2)</f>
        <v>9.0874690223122876</v>
      </c>
      <c r="L471" s="349">
        <f t="shared" ref="L471:L534" si="212">ATAN(A471/Zero2)</f>
        <v>1.4605313818878034</v>
      </c>
      <c r="M471" s="337">
        <f t="shared" si="196"/>
        <v>1.0014233710774276</v>
      </c>
      <c r="N471" s="340">
        <f t="shared" si="197"/>
        <v>5.3323255799351654E-2</v>
      </c>
      <c r="O471" s="341">
        <f t="shared" si="198"/>
        <v>1.0055897522021671</v>
      </c>
      <c r="P471" s="342">
        <f t="shared" si="199"/>
        <v>0.12831417109722637</v>
      </c>
      <c r="Q471" s="343">
        <f t="shared" si="200"/>
        <v>-1.0396854729218539</v>
      </c>
      <c r="R471" s="344">
        <f t="shared" si="201"/>
        <v>-70.40777306120431</v>
      </c>
      <c r="S471" s="346">
        <f t="shared" si="202"/>
        <v>109.59222693879569</v>
      </c>
      <c r="U471" s="319">
        <f t="shared" si="208"/>
        <v>54328.5</v>
      </c>
      <c r="V471" s="319">
        <f t="shared" si="209"/>
        <v>2951585912.25</v>
      </c>
      <c r="X471" s="345">
        <f t="shared" si="203"/>
        <v>4.9703280866639794</v>
      </c>
      <c r="Y471" s="346">
        <f t="shared" si="204"/>
        <v>-9.3727677916618326</v>
      </c>
      <c r="AA471" s="345">
        <f t="shared" si="205"/>
        <v>30.822736598509177</v>
      </c>
      <c r="AB471" s="346">
        <f t="shared" si="206"/>
        <v>-61.035005269542495</v>
      </c>
      <c r="AD471">
        <f t="shared" si="210"/>
        <v>0</v>
      </c>
      <c r="AE471">
        <f t="shared" si="187"/>
        <v>0</v>
      </c>
    </row>
    <row r="472" spans="1:31" x14ac:dyDescent="0.2">
      <c r="A472" s="347">
        <v>54641.25</v>
      </c>
      <c r="B472" s="364">
        <f t="shared" si="207"/>
        <v>54.641249999999999</v>
      </c>
      <c r="C472" s="337">
        <f t="shared" si="188"/>
        <v>1.7022620316070651</v>
      </c>
      <c r="D472" s="338">
        <f t="shared" si="189"/>
        <v>0.94288764979048589</v>
      </c>
      <c r="E472" s="338">
        <f t="shared" si="190"/>
        <v>1.000005207455511</v>
      </c>
      <c r="F472" s="339">
        <f t="shared" si="191"/>
        <v>3.2272071247823352E-3</v>
      </c>
      <c r="G472" s="338">
        <f t="shared" si="192"/>
        <v>1</v>
      </c>
      <c r="H472" s="339">
        <f t="shared" si="193"/>
        <v>0</v>
      </c>
      <c r="I472" s="337">
        <f t="shared" si="194"/>
        <v>395514.99006475374</v>
      </c>
      <c r="J472" s="340">
        <f t="shared" si="195"/>
        <v>1.5707937984457188</v>
      </c>
      <c r="K472" s="348">
        <f t="shared" si="211"/>
        <v>9.1391506943580723</v>
      </c>
      <c r="L472" s="349">
        <f t="shared" si="212"/>
        <v>1.4611574452260507</v>
      </c>
      <c r="M472" s="337">
        <f t="shared" si="196"/>
        <v>1.0014397941218747</v>
      </c>
      <c r="N472" s="340">
        <f t="shared" si="197"/>
        <v>5.3629632401236249E-2</v>
      </c>
      <c r="O472" s="341">
        <f t="shared" si="198"/>
        <v>1.0056541540797657</v>
      </c>
      <c r="P472" s="342">
        <f t="shared" si="199"/>
        <v>0.1290486359556535</v>
      </c>
      <c r="Q472" s="343">
        <f t="shared" si="200"/>
        <v>-1.0735713015938653</v>
      </c>
      <c r="R472" s="344">
        <f t="shared" si="201"/>
        <v>-70.586971727097406</v>
      </c>
      <c r="S472" s="346">
        <f t="shared" si="202"/>
        <v>109.41302827290259</v>
      </c>
      <c r="U472" s="319">
        <f t="shared" si="208"/>
        <v>54641.25</v>
      </c>
      <c r="V472" s="319">
        <f t="shared" si="209"/>
        <v>2985666201.5625</v>
      </c>
      <c r="X472" s="345">
        <f t="shared" si="203"/>
        <v>4.9695853112605999</v>
      </c>
      <c r="Y472" s="346">
        <f t="shared" si="204"/>
        <v>-9.3544519248104159</v>
      </c>
      <c r="AA472" s="345">
        <f t="shared" si="205"/>
        <v>30.789593545240542</v>
      </c>
      <c r="AB472" s="346">
        <f t="shared" si="206"/>
        <v>-61.232519802286987</v>
      </c>
      <c r="AD472">
        <f t="shared" si="210"/>
        <v>0</v>
      </c>
      <c r="AE472">
        <f t="shared" si="187"/>
        <v>0</v>
      </c>
    </row>
    <row r="473" spans="1:31" x14ac:dyDescent="0.2">
      <c r="A473" s="347">
        <v>54954</v>
      </c>
      <c r="B473" s="364">
        <f t="shared" si="207"/>
        <v>54.954000000000001</v>
      </c>
      <c r="C473" s="337">
        <f t="shared" si="188"/>
        <v>1.7086491363302099</v>
      </c>
      <c r="D473" s="338">
        <f t="shared" si="189"/>
        <v>0.94559853572599939</v>
      </c>
      <c r="E473" s="338">
        <f t="shared" si="190"/>
        <v>1.0000052672377564</v>
      </c>
      <c r="F473" s="339">
        <f t="shared" si="191"/>
        <v>3.2456785536045325E-3</v>
      </c>
      <c r="G473" s="338">
        <f t="shared" si="192"/>
        <v>1</v>
      </c>
      <c r="H473" s="339">
        <f t="shared" si="193"/>
        <v>0</v>
      </c>
      <c r="I473" s="337">
        <f t="shared" si="194"/>
        <v>397778.79832576471</v>
      </c>
      <c r="J473" s="340">
        <f t="shared" si="195"/>
        <v>1.570793812834866</v>
      </c>
      <c r="K473" s="348">
        <f t="shared" si="211"/>
        <v>9.1908359082556483</v>
      </c>
      <c r="L473" s="349">
        <f t="shared" si="212"/>
        <v>1.4617764673956126</v>
      </c>
      <c r="M473" s="337">
        <f t="shared" si="196"/>
        <v>1.0014563111650043</v>
      </c>
      <c r="N473" s="340">
        <f t="shared" si="197"/>
        <v>5.3935998925724253E-2</v>
      </c>
      <c r="O473" s="341">
        <f t="shared" si="198"/>
        <v>1.0057189224309104</v>
      </c>
      <c r="P473" s="342">
        <f t="shared" si="199"/>
        <v>0.12978302918730136</v>
      </c>
      <c r="Q473" s="343">
        <f t="shared" si="200"/>
        <v>-1.1073931995151522</v>
      </c>
      <c r="R473" s="344">
        <f t="shared" si="201"/>
        <v>-70.765400323444624</v>
      </c>
      <c r="S473" s="346">
        <f t="shared" si="202"/>
        <v>109.23459967655538</v>
      </c>
      <c r="U473" s="319">
        <f t="shared" si="208"/>
        <v>54954</v>
      </c>
      <c r="V473" s="319">
        <f t="shared" si="209"/>
        <v>3019942116</v>
      </c>
      <c r="X473" s="345">
        <f t="shared" si="203"/>
        <v>4.9688518625022713</v>
      </c>
      <c r="Y473" s="346">
        <f t="shared" si="204"/>
        <v>-9.3365389003236796</v>
      </c>
      <c r="AA473" s="345">
        <f t="shared" si="205"/>
        <v>30.756505096077582</v>
      </c>
      <c r="AB473" s="346">
        <f t="shared" si="206"/>
        <v>-61.428861423120942</v>
      </c>
      <c r="AD473">
        <f t="shared" si="210"/>
        <v>0</v>
      </c>
      <c r="AE473">
        <f t="shared" si="187"/>
        <v>0</v>
      </c>
    </row>
    <row r="474" spans="1:31" x14ac:dyDescent="0.2">
      <c r="A474" s="347">
        <v>55274</v>
      </c>
      <c r="B474" s="364">
        <f t="shared" si="207"/>
        <v>55.274000000000001</v>
      </c>
      <c r="C474" s="337">
        <f t="shared" si="188"/>
        <v>1.7151972021525663</v>
      </c>
      <c r="D474" s="338">
        <f t="shared" si="189"/>
        <v>0.94835134595761161</v>
      </c>
      <c r="E474" s="338">
        <f t="shared" si="190"/>
        <v>1.0000053287589925</v>
      </c>
      <c r="F474" s="339">
        <f t="shared" si="191"/>
        <v>3.2645781747272038E-3</v>
      </c>
      <c r="G474" s="338">
        <f t="shared" si="192"/>
        <v>1</v>
      </c>
      <c r="H474" s="339">
        <f t="shared" si="193"/>
        <v>0</v>
      </c>
      <c r="I474" s="337">
        <f t="shared" si="194"/>
        <v>400095.08495573601</v>
      </c>
      <c r="J474" s="340">
        <f t="shared" si="195"/>
        <v>1.5707938273890363</v>
      </c>
      <c r="K474" s="348">
        <f t="shared" si="211"/>
        <v>9.2437228645976557</v>
      </c>
      <c r="L474" s="349">
        <f t="shared" si="212"/>
        <v>1.4624026742046896</v>
      </c>
      <c r="M474" s="337">
        <f t="shared" si="196"/>
        <v>1.0014733083848504</v>
      </c>
      <c r="N474" s="340">
        <f t="shared" si="197"/>
        <v>5.4249456981980637E-2</v>
      </c>
      <c r="O474" s="341">
        <f t="shared" si="198"/>
        <v>1.0057855714650759</v>
      </c>
      <c r="P474" s="342">
        <f t="shared" si="199"/>
        <v>0.13053437217610903</v>
      </c>
      <c r="Q474" s="343">
        <f t="shared" si="200"/>
        <v>-1.1419326582043252</v>
      </c>
      <c r="R474" s="344">
        <f t="shared" si="201"/>
        <v>-70.947172295732784</v>
      </c>
      <c r="S474" s="346">
        <f t="shared" si="202"/>
        <v>109.05282770426722</v>
      </c>
      <c r="U474" s="319">
        <f t="shared" si="208"/>
        <v>55274</v>
      </c>
      <c r="V474" s="319">
        <f t="shared" si="209"/>
        <v>3055215076</v>
      </c>
      <c r="X474" s="345">
        <f t="shared" si="203"/>
        <v>4.9681108285381921</v>
      </c>
      <c r="Y474" s="346">
        <f t="shared" si="204"/>
        <v>-9.3186205506111435</v>
      </c>
      <c r="AA474" s="345">
        <f t="shared" si="205"/>
        <v>30.722706671352494</v>
      </c>
      <c r="AB474" s="346">
        <f t="shared" si="206"/>
        <v>-61.628551745121634</v>
      </c>
      <c r="AD474">
        <f t="shared" si="210"/>
        <v>0</v>
      </c>
      <c r="AE474">
        <f t="shared" ref="AE474:AE537" si="213">IF(AD474&gt;0,S474,0)</f>
        <v>0</v>
      </c>
    </row>
    <row r="475" spans="1:31" x14ac:dyDescent="0.2">
      <c r="A475" s="347">
        <v>55594</v>
      </c>
      <c r="B475" s="364">
        <f t="shared" si="207"/>
        <v>55.594000000000001</v>
      </c>
      <c r="C475" s="337">
        <f t="shared" si="188"/>
        <v>1.7217581667568214</v>
      </c>
      <c r="D475" s="338">
        <f t="shared" si="189"/>
        <v>0.95108319693728127</v>
      </c>
      <c r="E475" s="338">
        <f t="shared" si="190"/>
        <v>1.000005390637426</v>
      </c>
      <c r="F475" s="339">
        <f t="shared" si="191"/>
        <v>3.2834777935176799E-3</v>
      </c>
      <c r="G475" s="338">
        <f t="shared" si="192"/>
        <v>1</v>
      </c>
      <c r="H475" s="339">
        <f t="shared" si="193"/>
        <v>0</v>
      </c>
      <c r="I475" s="337">
        <f t="shared" si="194"/>
        <v>402411.37158570735</v>
      </c>
      <c r="J475" s="340">
        <f t="shared" si="195"/>
        <v>1.5707938417756586</v>
      </c>
      <c r="K475" s="348">
        <f t="shared" si="211"/>
        <v>9.296613404484134</v>
      </c>
      <c r="L475" s="349">
        <f t="shared" si="212"/>
        <v>1.4630217559894148</v>
      </c>
      <c r="M475" s="337">
        <f t="shared" si="196"/>
        <v>1.0014904040020649</v>
      </c>
      <c r="N475" s="340">
        <f t="shared" si="197"/>
        <v>5.4562904367465997E-2</v>
      </c>
      <c r="O475" s="341">
        <f t="shared" si="198"/>
        <v>1.0058526040450801</v>
      </c>
      <c r="P475" s="342">
        <f t="shared" si="199"/>
        <v>0.13128563934710777</v>
      </c>
      <c r="Q475" s="343">
        <f t="shared" si="200"/>
        <v>-1.1764045737155864</v>
      </c>
      <c r="R475" s="344">
        <f t="shared" si="201"/>
        <v>-71.128146660269465</v>
      </c>
      <c r="S475" s="346">
        <f t="shared" si="202"/>
        <v>108.87185333973054</v>
      </c>
      <c r="U475" s="319">
        <f t="shared" si="208"/>
        <v>55594</v>
      </c>
      <c r="V475" s="319">
        <f t="shared" si="209"/>
        <v>3090692836</v>
      </c>
      <c r="X475" s="345">
        <f t="shared" si="203"/>
        <v>4.9673790856398794</v>
      </c>
      <c r="Y475" s="346">
        <f t="shared" si="204"/>
        <v>-9.3011098137334187</v>
      </c>
      <c r="AA475" s="345">
        <f t="shared" si="205"/>
        <v>30.688966498739543</v>
      </c>
      <c r="AB475" s="346">
        <f t="shared" si="206"/>
        <v>-61.827036846536039</v>
      </c>
      <c r="AD475">
        <f t="shared" si="210"/>
        <v>0</v>
      </c>
      <c r="AE475">
        <f t="shared" si="213"/>
        <v>0</v>
      </c>
    </row>
    <row r="476" spans="1:31" x14ac:dyDescent="0.2">
      <c r="A476" s="347">
        <v>55914</v>
      </c>
      <c r="B476" s="364">
        <f t="shared" si="207"/>
        <v>55.914000000000001</v>
      </c>
      <c r="C476" s="337">
        <f t="shared" si="188"/>
        <v>1.7283318832467995</v>
      </c>
      <c r="D476" s="338">
        <f t="shared" si="189"/>
        <v>0.9537942868119742</v>
      </c>
      <c r="E476" s="338">
        <f t="shared" si="190"/>
        <v>1.0000054528730569</v>
      </c>
      <c r="F476" s="339">
        <f t="shared" si="191"/>
        <v>3.3023774099624607E-3</v>
      </c>
      <c r="G476" s="338">
        <f t="shared" si="192"/>
        <v>1</v>
      </c>
      <c r="H476" s="339">
        <f t="shared" si="193"/>
        <v>0</v>
      </c>
      <c r="I476" s="337">
        <f t="shared" si="194"/>
        <v>404727.65821567882</v>
      </c>
      <c r="J476" s="340">
        <f t="shared" si="195"/>
        <v>1.5707938559976093</v>
      </c>
      <c r="K476" s="348">
        <f t="shared" si="211"/>
        <v>9.3495074670983147</v>
      </c>
      <c r="L476" s="349">
        <f t="shared" si="212"/>
        <v>1.4636338331988754</v>
      </c>
      <c r="M476" s="337">
        <f t="shared" si="196"/>
        <v>1.0015075980116093</v>
      </c>
      <c r="N476" s="340">
        <f t="shared" si="197"/>
        <v>5.4876341021136421E-2</v>
      </c>
      <c r="O476" s="341">
        <f t="shared" si="198"/>
        <v>1.0059200201120744</v>
      </c>
      <c r="P476" s="342">
        <f t="shared" si="199"/>
        <v>0.13203683028014596</v>
      </c>
      <c r="Q476" s="343">
        <f t="shared" si="200"/>
        <v>-1.2108086558719446</v>
      </c>
      <c r="R476" s="344">
        <f t="shared" si="201"/>
        <v>-71.308327841410289</v>
      </c>
      <c r="S476" s="346">
        <f t="shared" si="202"/>
        <v>108.69167215858971</v>
      </c>
      <c r="U476" s="319">
        <f t="shared" si="208"/>
        <v>55914</v>
      </c>
      <c r="V476" s="319">
        <f t="shared" si="209"/>
        <v>3126375396</v>
      </c>
      <c r="X476" s="345">
        <f t="shared" si="203"/>
        <v>4.9666564046036585</v>
      </c>
      <c r="Y476" s="346">
        <f t="shared" si="204"/>
        <v>-9.2839997851333944</v>
      </c>
      <c r="AA476" s="345">
        <f t="shared" si="205"/>
        <v>30.655285097619405</v>
      </c>
      <c r="AB476" s="346">
        <f t="shared" si="206"/>
        <v>-62.024328056276921</v>
      </c>
      <c r="AD476">
        <f t="shared" si="210"/>
        <v>0</v>
      </c>
      <c r="AE476">
        <f t="shared" si="213"/>
        <v>0</v>
      </c>
    </row>
    <row r="477" spans="1:31" x14ac:dyDescent="0.2">
      <c r="A477" s="347">
        <v>56234</v>
      </c>
      <c r="B477" s="364">
        <f t="shared" si="207"/>
        <v>56.234000000000002</v>
      </c>
      <c r="C477" s="337">
        <f t="shared" si="188"/>
        <v>1.7349182066693656</v>
      </c>
      <c r="D477" s="338">
        <f t="shared" si="189"/>
        <v>0.9564848119492404</v>
      </c>
      <c r="E477" s="338">
        <f t="shared" si="190"/>
        <v>1.0000055154658853</v>
      </c>
      <c r="F477" s="339">
        <f t="shared" si="191"/>
        <v>3.321277024048044E-3</v>
      </c>
      <c r="G477" s="338">
        <f t="shared" si="192"/>
        <v>1</v>
      </c>
      <c r="H477" s="339">
        <f t="shared" si="193"/>
        <v>0</v>
      </c>
      <c r="I477" s="337">
        <f t="shared" si="194"/>
        <v>407043.94484565035</v>
      </c>
      <c r="J477" s="340">
        <f t="shared" si="195"/>
        <v>1.5707938700577</v>
      </c>
      <c r="K477" s="348">
        <f t="shared" si="211"/>
        <v>9.4024049929879485</v>
      </c>
      <c r="L477" s="349">
        <f t="shared" si="212"/>
        <v>1.4642390235928593</v>
      </c>
      <c r="M477" s="337">
        <f t="shared" si="196"/>
        <v>1.001524890408416</v>
      </c>
      <c r="N477" s="340">
        <f t="shared" si="197"/>
        <v>5.5189766881960589E-2</v>
      </c>
      <c r="O477" s="341">
        <f t="shared" si="198"/>
        <v>1.0059878196068897</v>
      </c>
      <c r="P477" s="342">
        <f t="shared" si="199"/>
        <v>0.13278794455539025</v>
      </c>
      <c r="Q477" s="343">
        <f t="shared" si="200"/>
        <v>-1.2451446278635379</v>
      </c>
      <c r="R477" s="344">
        <f t="shared" si="201"/>
        <v>-71.48772031565872</v>
      </c>
      <c r="S477" s="346">
        <f t="shared" si="202"/>
        <v>108.51227968434128</v>
      </c>
      <c r="U477" s="319">
        <f t="shared" si="208"/>
        <v>56234</v>
      </c>
      <c r="V477" s="319">
        <f t="shared" si="209"/>
        <v>3162262756</v>
      </c>
      <c r="X477" s="345">
        <f t="shared" si="203"/>
        <v>4.9659425626576352</v>
      </c>
      <c r="Y477" s="346">
        <f t="shared" si="204"/>
        <v>-9.2672837143364912</v>
      </c>
      <c r="AA477" s="345">
        <f t="shared" si="205"/>
        <v>30.621662967573833</v>
      </c>
      <c r="AB477" s="346">
        <f t="shared" si="206"/>
        <v>-62.22043660132222</v>
      </c>
      <c r="AD477">
        <f t="shared" si="210"/>
        <v>0</v>
      </c>
      <c r="AE477">
        <f t="shared" si="213"/>
        <v>0</v>
      </c>
    </row>
    <row r="478" spans="1:31" x14ac:dyDescent="0.2">
      <c r="A478" s="347">
        <v>56561.5</v>
      </c>
      <c r="B478" s="364">
        <f t="shared" si="207"/>
        <v>56.561500000000002</v>
      </c>
      <c r="C478" s="337">
        <f t="shared" si="188"/>
        <v>1.7416718014052206</v>
      </c>
      <c r="D478" s="338">
        <f t="shared" si="189"/>
        <v>0.95921730595324695</v>
      </c>
      <c r="E478" s="338">
        <f t="shared" si="190"/>
        <v>1.0000055798955865</v>
      </c>
      <c r="F478" s="339">
        <f t="shared" si="191"/>
        <v>3.3406195953818844E-3</v>
      </c>
      <c r="G478" s="338">
        <f t="shared" si="192"/>
        <v>1</v>
      </c>
      <c r="H478" s="339">
        <f t="shared" si="193"/>
        <v>0</v>
      </c>
      <c r="I478" s="337">
        <f t="shared" si="194"/>
        <v>409414.51944351196</v>
      </c>
      <c r="J478" s="340">
        <f t="shared" si="195"/>
        <v>1.5707938842825955</v>
      </c>
      <c r="K478" s="348">
        <f t="shared" si="211"/>
        <v>9.4565458299756724</v>
      </c>
      <c r="L478" s="349">
        <f t="shared" si="212"/>
        <v>1.4648513874554299</v>
      </c>
      <c r="M478" s="337">
        <f t="shared" si="196"/>
        <v>1.0015426899636666</v>
      </c>
      <c r="N478" s="340">
        <f t="shared" si="197"/>
        <v>5.5510527422477141E-2</v>
      </c>
      <c r="O478" s="341">
        <f t="shared" si="198"/>
        <v>1.0060576051033021</v>
      </c>
      <c r="P478" s="342">
        <f t="shared" si="199"/>
        <v>0.13355658325984246</v>
      </c>
      <c r="Q478" s="343">
        <f t="shared" si="200"/>
        <v>-1.2802145507381884</v>
      </c>
      <c r="R478" s="344">
        <f t="shared" si="201"/>
        <v>-71.670505371255899</v>
      </c>
      <c r="S478" s="346">
        <f t="shared" si="202"/>
        <v>108.3294946287441</v>
      </c>
      <c r="U478" s="319">
        <f t="shared" si="208"/>
        <v>56561.5</v>
      </c>
      <c r="V478" s="319">
        <f t="shared" si="209"/>
        <v>3199203282.25</v>
      </c>
      <c r="X478" s="345">
        <f t="shared" si="203"/>
        <v>4.9652209163656869</v>
      </c>
      <c r="Y478" s="346">
        <f t="shared" si="204"/>
        <v>-9.250576889698193</v>
      </c>
      <c r="AA478" s="345">
        <f t="shared" si="205"/>
        <v>30.587314690991132</v>
      </c>
      <c r="AB478" s="346">
        <f t="shared" si="206"/>
        <v>-62.419928481557704</v>
      </c>
      <c r="AD478">
        <f t="shared" si="210"/>
        <v>0</v>
      </c>
      <c r="AE478">
        <f t="shared" si="213"/>
        <v>0</v>
      </c>
    </row>
    <row r="479" spans="1:31" x14ac:dyDescent="0.2">
      <c r="A479" s="347">
        <v>56889</v>
      </c>
      <c r="B479" s="364">
        <f t="shared" si="207"/>
        <v>56.889000000000003</v>
      </c>
      <c r="C479" s="337">
        <f t="shared" si="188"/>
        <v>1.7484382998566437</v>
      </c>
      <c r="D479" s="338">
        <f t="shared" si="189"/>
        <v>0.96192867043586627</v>
      </c>
      <c r="E479" s="338">
        <f t="shared" si="190"/>
        <v>1.0000056446994245</v>
      </c>
      <c r="F479" s="339">
        <f t="shared" si="191"/>
        <v>3.3599621642160294E-3</v>
      </c>
      <c r="G479" s="338">
        <f t="shared" si="192"/>
        <v>1</v>
      </c>
      <c r="H479" s="339">
        <f t="shared" si="193"/>
        <v>0</v>
      </c>
      <c r="I479" s="337">
        <f t="shared" si="194"/>
        <v>411785.09404137358</v>
      </c>
      <c r="J479" s="340">
        <f t="shared" si="195"/>
        <v>1.5707938983437106</v>
      </c>
      <c r="K479" s="348">
        <f t="shared" si="211"/>
        <v>9.5106901726946944</v>
      </c>
      <c r="L479" s="349">
        <f t="shared" si="212"/>
        <v>1.4654567791700439</v>
      </c>
      <c r="M479" s="337">
        <f t="shared" si="196"/>
        <v>1.001560592561296</v>
      </c>
      <c r="N479" s="340">
        <f t="shared" si="197"/>
        <v>5.5831276528995256E-2</v>
      </c>
      <c r="O479" s="341">
        <f t="shared" si="198"/>
        <v>1.0061277920849108</v>
      </c>
      <c r="P479" s="342">
        <f t="shared" si="199"/>
        <v>0.13432514078229102</v>
      </c>
      <c r="Q479" s="343">
        <f t="shared" si="200"/>
        <v>-1.315212588502056</v>
      </c>
      <c r="R479" s="344">
        <f t="shared" si="201"/>
        <v>-71.852473953358839</v>
      </c>
      <c r="S479" s="346">
        <f t="shared" si="202"/>
        <v>108.14752604664116</v>
      </c>
      <c r="U479" s="319">
        <f t="shared" si="208"/>
        <v>56889</v>
      </c>
      <c r="V479" s="319">
        <f t="shared" si="209"/>
        <v>3236358321</v>
      </c>
      <c r="X479" s="345">
        <f t="shared" si="203"/>
        <v>4.9645080759264388</v>
      </c>
      <c r="Y479" s="346">
        <f t="shared" si="204"/>
        <v>-9.2342688752086133</v>
      </c>
      <c r="AA479" s="345">
        <f t="shared" si="205"/>
        <v>30.553029493666514</v>
      </c>
      <c r="AB479" s="346">
        <f t="shared" si="206"/>
        <v>-62.618205078150218</v>
      </c>
      <c r="AD479">
        <f t="shared" si="210"/>
        <v>0</v>
      </c>
      <c r="AE479">
        <f t="shared" si="213"/>
        <v>0</v>
      </c>
    </row>
    <row r="480" spans="1:31" x14ac:dyDescent="0.2">
      <c r="A480" s="347">
        <v>57216.5</v>
      </c>
      <c r="B480" s="364">
        <f t="shared" si="207"/>
        <v>57.216500000000003</v>
      </c>
      <c r="C480" s="337">
        <f t="shared" si="188"/>
        <v>1.755217552789198</v>
      </c>
      <c r="D480" s="338">
        <f t="shared" si="189"/>
        <v>0.96461911012879431</v>
      </c>
      <c r="E480" s="338">
        <f t="shared" si="190"/>
        <v>1.0000057098773998</v>
      </c>
      <c r="F480" s="339">
        <f t="shared" si="191"/>
        <v>3.3793047305360068E-3</v>
      </c>
      <c r="G480" s="338">
        <f t="shared" si="192"/>
        <v>1</v>
      </c>
      <c r="H480" s="339">
        <f t="shared" si="193"/>
        <v>0</v>
      </c>
      <c r="I480" s="337">
        <f t="shared" si="194"/>
        <v>414155.66863923537</v>
      </c>
      <c r="J480" s="340">
        <f t="shared" si="195"/>
        <v>1.5707939122438577</v>
      </c>
      <c r="K480" s="348">
        <f t="shared" si="211"/>
        <v>9.564837961609598</v>
      </c>
      <c r="L480" s="349">
        <f t="shared" si="212"/>
        <v>1.4660553166998422</v>
      </c>
      <c r="M480" s="337">
        <f t="shared" si="196"/>
        <v>1.001578598195779</v>
      </c>
      <c r="N480" s="340">
        <f t="shared" si="197"/>
        <v>5.6152014136132508E-2</v>
      </c>
      <c r="O480" s="341">
        <f t="shared" si="198"/>
        <v>1.0061983804872494</v>
      </c>
      <c r="P480" s="342">
        <f t="shared" si="199"/>
        <v>0.13509361667373157</v>
      </c>
      <c r="Q480" s="343">
        <f t="shared" si="200"/>
        <v>-1.3501384862687265</v>
      </c>
      <c r="R480" s="344">
        <f t="shared" si="201"/>
        <v>-72.033631004129319</v>
      </c>
      <c r="S480" s="346">
        <f t="shared" si="202"/>
        <v>107.96636899587068</v>
      </c>
      <c r="U480" s="319">
        <f t="shared" si="208"/>
        <v>57216.5</v>
      </c>
      <c r="V480" s="319">
        <f t="shared" si="209"/>
        <v>3273727872.25</v>
      </c>
      <c r="X480" s="345">
        <f t="shared" si="203"/>
        <v>4.9638038220857919</v>
      </c>
      <c r="Y480" s="346">
        <f t="shared" si="204"/>
        <v>-9.2183529084926459</v>
      </c>
      <c r="AA480" s="345">
        <f t="shared" si="205"/>
        <v>30.518807849740494</v>
      </c>
      <c r="AB480" s="346">
        <f t="shared" si="206"/>
        <v>-62.815278095636678</v>
      </c>
      <c r="AD480">
        <f t="shared" si="210"/>
        <v>0</v>
      </c>
      <c r="AE480">
        <f t="shared" si="213"/>
        <v>0</v>
      </c>
    </row>
    <row r="481" spans="1:31" x14ac:dyDescent="0.2">
      <c r="A481" s="347">
        <v>57544</v>
      </c>
      <c r="B481" s="364">
        <f t="shared" si="207"/>
        <v>57.543999999999997</v>
      </c>
      <c r="C481" s="337">
        <f t="shared" si="188"/>
        <v>1.7620094129859916</v>
      </c>
      <c r="D481" s="338">
        <f t="shared" si="189"/>
        <v>0.96728882782770009</v>
      </c>
      <c r="E481" s="338">
        <f t="shared" si="190"/>
        <v>1.0000057754295117</v>
      </c>
      <c r="F481" s="339">
        <f t="shared" si="191"/>
        <v>3.3986472943273436E-3</v>
      </c>
      <c r="G481" s="338">
        <f t="shared" si="192"/>
        <v>1</v>
      </c>
      <c r="H481" s="339">
        <f t="shared" si="193"/>
        <v>0</v>
      </c>
      <c r="I481" s="337">
        <f t="shared" si="194"/>
        <v>416526.24323709722</v>
      </c>
      <c r="J481" s="340">
        <f t="shared" si="195"/>
        <v>1.570793925985785</v>
      </c>
      <c r="K481" s="348">
        <f t="shared" si="211"/>
        <v>9.6189891385217923</v>
      </c>
      <c r="L481" s="349">
        <f t="shared" si="212"/>
        <v>1.4666471153715168</v>
      </c>
      <c r="M481" s="337">
        <f t="shared" si="196"/>
        <v>1.0015967068615583</v>
      </c>
      <c r="N481" s="340">
        <f t="shared" si="197"/>
        <v>5.6472740178520636E-2</v>
      </c>
      <c r="O481" s="341">
        <f t="shared" si="198"/>
        <v>1.0062693702455021</v>
      </c>
      <c r="P481" s="342">
        <f t="shared" si="199"/>
        <v>0.13586201048551605</v>
      </c>
      <c r="Q481" s="343">
        <f t="shared" si="200"/>
        <v>-1.3849920027092852</v>
      </c>
      <c r="R481" s="344">
        <f t="shared" si="201"/>
        <v>-72.213981505877896</v>
      </c>
      <c r="S481" s="346">
        <f t="shared" si="202"/>
        <v>107.7860184941221</v>
      </c>
      <c r="U481" s="319">
        <f t="shared" si="208"/>
        <v>57544</v>
      </c>
      <c r="V481" s="319">
        <f t="shared" si="209"/>
        <v>3311311936</v>
      </c>
      <c r="X481" s="345">
        <f t="shared" si="203"/>
        <v>4.9631079417466415</v>
      </c>
      <c r="Y481" s="346">
        <f t="shared" si="204"/>
        <v>-9.2028223782297101</v>
      </c>
      <c r="AA481" s="345">
        <f t="shared" si="205"/>
        <v>30.484650213639082</v>
      </c>
      <c r="AB481" s="346">
        <f t="shared" si="206"/>
        <v>-63.011159127648185</v>
      </c>
      <c r="AD481">
        <f t="shared" si="210"/>
        <v>0</v>
      </c>
      <c r="AE481">
        <f t="shared" si="213"/>
        <v>0</v>
      </c>
    </row>
    <row r="482" spans="1:31" x14ac:dyDescent="0.2">
      <c r="A482" s="347">
        <v>57879</v>
      </c>
      <c r="B482" s="364">
        <f t="shared" si="207"/>
        <v>57.878999999999998</v>
      </c>
      <c r="C482" s="337">
        <f t="shared" si="188"/>
        <v>1.7689697042205212</v>
      </c>
      <c r="D482" s="338">
        <f t="shared" si="189"/>
        <v>0.96999845424081155</v>
      </c>
      <c r="E482" s="338">
        <f t="shared" si="190"/>
        <v>1.0000058428699043</v>
      </c>
      <c r="F482" s="339">
        <f t="shared" si="191"/>
        <v>3.418432814963564E-3</v>
      </c>
      <c r="G482" s="338">
        <f t="shared" si="192"/>
        <v>1</v>
      </c>
      <c r="H482" s="339">
        <f t="shared" si="193"/>
        <v>0</v>
      </c>
      <c r="I482" s="337">
        <f t="shared" si="194"/>
        <v>418951.10580284911</v>
      </c>
      <c r="J482" s="340">
        <f t="shared" si="195"/>
        <v>1.5707939398815167</v>
      </c>
      <c r="K482" s="348">
        <f t="shared" si="211"/>
        <v>9.674383864679081</v>
      </c>
      <c r="L482" s="349">
        <f t="shared" si="212"/>
        <v>1.4672456121137878</v>
      </c>
      <c r="M482" s="337">
        <f t="shared" si="196"/>
        <v>1.0016153368213379</v>
      </c>
      <c r="N482" s="340">
        <f t="shared" si="197"/>
        <v>5.6800799058932212E-2</v>
      </c>
      <c r="O482" s="341">
        <f t="shared" si="198"/>
        <v>1.0063424009036666</v>
      </c>
      <c r="P482" s="342">
        <f t="shared" si="199"/>
        <v>0.13664791571409579</v>
      </c>
      <c r="Q482" s="343">
        <f t="shared" si="200"/>
        <v>-1.4205685669301014</v>
      </c>
      <c r="R482" s="344">
        <f t="shared" si="201"/>
        <v>-72.397632937544856</v>
      </c>
      <c r="S482" s="346">
        <f t="shared" si="202"/>
        <v>107.60236706245514</v>
      </c>
      <c r="U482" s="319">
        <f t="shared" si="208"/>
        <v>57879</v>
      </c>
      <c r="V482" s="319">
        <f t="shared" si="209"/>
        <v>3349978641</v>
      </c>
      <c r="X482" s="345">
        <f t="shared" si="203"/>
        <v>4.9624045726356902</v>
      </c>
      <c r="Y482" s="346">
        <f t="shared" si="204"/>
        <v>-9.1873282262737082</v>
      </c>
      <c r="AA482" s="345">
        <f t="shared" si="205"/>
        <v>30.449777018529218</v>
      </c>
      <c r="AB482" s="346">
        <f t="shared" si="206"/>
        <v>-63.210304711271164</v>
      </c>
      <c r="AD482">
        <f t="shared" si="210"/>
        <v>0</v>
      </c>
      <c r="AE482">
        <f t="shared" si="213"/>
        <v>0</v>
      </c>
    </row>
    <row r="483" spans="1:31" x14ac:dyDescent="0.2">
      <c r="A483" s="347">
        <v>58214</v>
      </c>
      <c r="B483" s="364">
        <f t="shared" si="207"/>
        <v>58.213999999999999</v>
      </c>
      <c r="C483" s="337">
        <f t="shared" si="188"/>
        <v>1.775942881503791</v>
      </c>
      <c r="D483" s="338">
        <f t="shared" si="189"/>
        <v>0.9726868217575757</v>
      </c>
      <c r="E483" s="338">
        <f t="shared" si="190"/>
        <v>1.000005910701766</v>
      </c>
      <c r="F483" s="339">
        <f t="shared" si="191"/>
        <v>3.4382183329233684E-3</v>
      </c>
      <c r="G483" s="338">
        <f t="shared" si="192"/>
        <v>1</v>
      </c>
      <c r="H483" s="339">
        <f t="shared" si="193"/>
        <v>0</v>
      </c>
      <c r="I483" s="337">
        <f t="shared" si="194"/>
        <v>421375.96836860105</v>
      </c>
      <c r="J483" s="340">
        <f t="shared" si="195"/>
        <v>1.5707939536173188</v>
      </c>
      <c r="K483" s="348">
        <f t="shared" si="211"/>
        <v>9.7297820167253484</v>
      </c>
      <c r="L483" s="349">
        <f t="shared" si="212"/>
        <v>1.4678372937820581</v>
      </c>
      <c r="M483" s="337">
        <f t="shared" si="196"/>
        <v>1.0016340745735768</v>
      </c>
      <c r="N483" s="340">
        <f t="shared" si="197"/>
        <v>5.7128845700532706E-2</v>
      </c>
      <c r="O483" s="341">
        <f t="shared" si="198"/>
        <v>1.0064158513726402</v>
      </c>
      <c r="P483" s="342">
        <f t="shared" si="199"/>
        <v>0.13743373411213386</v>
      </c>
      <c r="Q483" s="343">
        <f t="shared" si="200"/>
        <v>-1.4560689281299313</v>
      </c>
      <c r="R483" s="344">
        <f t="shared" si="201"/>
        <v>-72.580451113884664</v>
      </c>
      <c r="S483" s="346">
        <f t="shared" si="202"/>
        <v>107.41954888611534</v>
      </c>
      <c r="U483" s="319">
        <f t="shared" si="208"/>
        <v>58214</v>
      </c>
      <c r="V483" s="319">
        <f t="shared" si="209"/>
        <v>3388869796</v>
      </c>
      <c r="X483" s="345">
        <f t="shared" si="203"/>
        <v>4.9617095327379452</v>
      </c>
      <c r="Y483" s="346">
        <f t="shared" si="204"/>
        <v>-9.1722238388999369</v>
      </c>
      <c r="AA483" s="345">
        <f t="shared" si="205"/>
        <v>30.414971697227134</v>
      </c>
      <c r="AB483" s="346">
        <f t="shared" si="206"/>
        <v>-63.408227274984711</v>
      </c>
      <c r="AD483">
        <f t="shared" si="210"/>
        <v>0</v>
      </c>
      <c r="AE483">
        <f t="shared" si="213"/>
        <v>0</v>
      </c>
    </row>
    <row r="484" spans="1:31" x14ac:dyDescent="0.2">
      <c r="A484" s="347">
        <v>58549</v>
      </c>
      <c r="B484" s="364">
        <f t="shared" si="207"/>
        <v>58.548999999999999</v>
      </c>
      <c r="C484" s="337">
        <f t="shared" si="188"/>
        <v>1.7829287936407012</v>
      </c>
      <c r="D484" s="338">
        <f t="shared" si="189"/>
        <v>0.97535414118086416</v>
      </c>
      <c r="E484" s="338">
        <f t="shared" si="190"/>
        <v>1.0000059789250966</v>
      </c>
      <c r="F484" s="339">
        <f t="shared" si="191"/>
        <v>3.4580038481912662E-3</v>
      </c>
      <c r="G484" s="338">
        <f t="shared" si="192"/>
        <v>1</v>
      </c>
      <c r="H484" s="339">
        <f t="shared" si="193"/>
        <v>0</v>
      </c>
      <c r="I484" s="337">
        <f t="shared" si="194"/>
        <v>423800.83093435306</v>
      </c>
      <c r="J484" s="340">
        <f t="shared" si="195"/>
        <v>1.5707939671959363</v>
      </c>
      <c r="K484" s="348">
        <f t="shared" si="211"/>
        <v>9.7851835364742765</v>
      </c>
      <c r="L484" s="349">
        <f t="shared" si="212"/>
        <v>1.4684222757147611</v>
      </c>
      <c r="M484" s="337">
        <f t="shared" si="196"/>
        <v>1.0016529201122253</v>
      </c>
      <c r="N484" s="340">
        <f t="shared" si="197"/>
        <v>5.7456880033405745E-2</v>
      </c>
      <c r="O484" s="341">
        <f t="shared" si="198"/>
        <v>1.0064897215819193</v>
      </c>
      <c r="P484" s="342">
        <f t="shared" si="199"/>
        <v>0.13821946520061645</v>
      </c>
      <c r="Q484" s="343">
        <f t="shared" si="200"/>
        <v>-1.4914928702437718</v>
      </c>
      <c r="R484" s="344">
        <f t="shared" si="201"/>
        <v>-72.762441473313444</v>
      </c>
      <c r="S484" s="346">
        <f t="shared" si="202"/>
        <v>107.23755852668656</v>
      </c>
      <c r="U484" s="319">
        <f t="shared" si="208"/>
        <v>58549</v>
      </c>
      <c r="V484" s="319">
        <f t="shared" si="209"/>
        <v>3427985401</v>
      </c>
      <c r="X484" s="345">
        <f t="shared" si="203"/>
        <v>4.9610226126592929</v>
      </c>
      <c r="Y484" s="346">
        <f t="shared" si="204"/>
        <v>-9.1575026038543061</v>
      </c>
      <c r="AA484" s="345">
        <f t="shared" si="205"/>
        <v>30.380234675191943</v>
      </c>
      <c r="AB484" s="346">
        <f t="shared" si="206"/>
        <v>-63.604938869459119</v>
      </c>
      <c r="AD484">
        <f t="shared" si="210"/>
        <v>0</v>
      </c>
      <c r="AE484">
        <f t="shared" si="213"/>
        <v>0</v>
      </c>
    </row>
    <row r="485" spans="1:31" x14ac:dyDescent="0.2">
      <c r="A485" s="347">
        <v>58884</v>
      </c>
      <c r="B485" s="364">
        <f t="shared" si="207"/>
        <v>58.884</v>
      </c>
      <c r="C485" s="337">
        <f t="shared" si="188"/>
        <v>1.7899272915225724</v>
      </c>
      <c r="D485" s="338">
        <f t="shared" si="189"/>
        <v>0.97800062122365405</v>
      </c>
      <c r="E485" s="338">
        <f t="shared" si="190"/>
        <v>1.000006047539896</v>
      </c>
      <c r="F485" s="339">
        <f t="shared" si="191"/>
        <v>3.4777893607517677E-3</v>
      </c>
      <c r="G485" s="338">
        <f t="shared" si="192"/>
        <v>1</v>
      </c>
      <c r="H485" s="339">
        <f t="shared" si="193"/>
        <v>0</v>
      </c>
      <c r="I485" s="337">
        <f t="shared" si="194"/>
        <v>426225.69350010512</v>
      </c>
      <c r="J485" s="340">
        <f t="shared" si="195"/>
        <v>1.5707939806200526</v>
      </c>
      <c r="K485" s="348">
        <f t="shared" si="211"/>
        <v>9.8405883670463865</v>
      </c>
      <c r="L485" s="349">
        <f t="shared" si="212"/>
        <v>1.469000670671379</v>
      </c>
      <c r="M485" s="337">
        <f t="shared" si="196"/>
        <v>1.0016718734311998</v>
      </c>
      <c r="N485" s="340">
        <f t="shared" si="197"/>
        <v>5.7784901987650801E-2</v>
      </c>
      <c r="O485" s="341">
        <f t="shared" si="198"/>
        <v>1.0065640114606191</v>
      </c>
      <c r="P485" s="342">
        <f t="shared" si="199"/>
        <v>0.13900510850092795</v>
      </c>
      <c r="Q485" s="343">
        <f t="shared" si="200"/>
        <v>-1.5268401908392712</v>
      </c>
      <c r="R485" s="344">
        <f t="shared" si="201"/>
        <v>-72.943609482288451</v>
      </c>
      <c r="S485" s="346">
        <f t="shared" si="202"/>
        <v>107.05639051771155</v>
      </c>
      <c r="U485" s="319">
        <f t="shared" si="208"/>
        <v>58884</v>
      </c>
      <c r="V485" s="319">
        <f t="shared" si="209"/>
        <v>3467325456</v>
      </c>
      <c r="X485" s="345">
        <f t="shared" si="203"/>
        <v>4.9603436088868325</v>
      </c>
      <c r="Y485" s="346">
        <f t="shared" si="204"/>
        <v>-9.1431580566431503</v>
      </c>
      <c r="AA485" s="345">
        <f t="shared" si="205"/>
        <v>30.345566358368906</v>
      </c>
      <c r="AB485" s="346">
        <f t="shared" si="206"/>
        <v>-63.800451425645328</v>
      </c>
      <c r="AD485">
        <f t="shared" si="210"/>
        <v>0</v>
      </c>
      <c r="AE485">
        <f t="shared" si="213"/>
        <v>0</v>
      </c>
    </row>
    <row r="486" spans="1:31" x14ac:dyDescent="0.2">
      <c r="A486" s="347">
        <v>59227</v>
      </c>
      <c r="B486" s="364">
        <f t="shared" si="207"/>
        <v>59.226999999999997</v>
      </c>
      <c r="C486" s="337">
        <f t="shared" si="188"/>
        <v>1.7971058043164603</v>
      </c>
      <c r="D486" s="338">
        <f t="shared" si="189"/>
        <v>0.98068892476603209</v>
      </c>
      <c r="E486" s="338">
        <f t="shared" si="190"/>
        <v>1.0000061181988611</v>
      </c>
      <c r="F486" s="339">
        <f t="shared" si="191"/>
        <v>3.4980473603431327E-3</v>
      </c>
      <c r="G486" s="338">
        <f t="shared" si="192"/>
        <v>1</v>
      </c>
      <c r="H486" s="339">
        <f t="shared" si="193"/>
        <v>0</v>
      </c>
      <c r="I486" s="337">
        <f t="shared" si="194"/>
        <v>428708.46323160664</v>
      </c>
      <c r="J486" s="340">
        <f t="shared" si="195"/>
        <v>1.5707939942074023</v>
      </c>
      <c r="K486" s="348">
        <f t="shared" si="211"/>
        <v>9.8973196703462065</v>
      </c>
      <c r="L486" s="349">
        <f t="shared" si="212"/>
        <v>1.4695861683659339</v>
      </c>
      <c r="M486" s="337">
        <f t="shared" si="196"/>
        <v>1.0016913910322036</v>
      </c>
      <c r="N486" s="340">
        <f t="shared" si="197"/>
        <v>5.8120744403441893E-2</v>
      </c>
      <c r="O486" s="341">
        <f t="shared" si="198"/>
        <v>1.006640510173566</v>
      </c>
      <c r="P486" s="342">
        <f t="shared" si="199"/>
        <v>0.13980942197501395</v>
      </c>
      <c r="Q486" s="343">
        <f t="shared" si="200"/>
        <v>-1.5629520411311992</v>
      </c>
      <c r="R486" s="344">
        <f t="shared" si="201"/>
        <v>-73.12825758381193</v>
      </c>
      <c r="S486" s="346">
        <f t="shared" si="202"/>
        <v>106.87174241618807</v>
      </c>
      <c r="U486" s="319">
        <f t="shared" si="208"/>
        <v>59227</v>
      </c>
      <c r="V486" s="319">
        <f t="shared" si="209"/>
        <v>3507837529</v>
      </c>
      <c r="X486" s="345">
        <f t="shared" si="203"/>
        <v>4.9596563856632923</v>
      </c>
      <c r="Y486" s="346">
        <f t="shared" si="204"/>
        <v>-9.1288546413182665</v>
      </c>
      <c r="AA486" s="345">
        <f t="shared" si="205"/>
        <v>30.310141731300515</v>
      </c>
      <c r="AB486" s="346">
        <f t="shared" si="206"/>
        <v>-63.999402942493674</v>
      </c>
      <c r="AD486">
        <f t="shared" si="210"/>
        <v>0</v>
      </c>
      <c r="AE486">
        <f t="shared" si="213"/>
        <v>0</v>
      </c>
    </row>
    <row r="487" spans="1:31" x14ac:dyDescent="0.2">
      <c r="A487" s="347">
        <v>59570</v>
      </c>
      <c r="B487" s="364">
        <f t="shared" si="207"/>
        <v>59.57</v>
      </c>
      <c r="C487" s="337">
        <f t="shared" si="188"/>
        <v>1.8042972013519203</v>
      </c>
      <c r="D487" s="338">
        <f t="shared" si="189"/>
        <v>0.98335581788255477</v>
      </c>
      <c r="E487" s="338">
        <f t="shared" si="190"/>
        <v>1.0000061892682151</v>
      </c>
      <c r="F487" s="339">
        <f t="shared" si="191"/>
        <v>3.5183053570633834E-3</v>
      </c>
      <c r="G487" s="338">
        <f t="shared" si="192"/>
        <v>1</v>
      </c>
      <c r="H487" s="339">
        <f t="shared" si="193"/>
        <v>0</v>
      </c>
      <c r="I487" s="337">
        <f t="shared" si="194"/>
        <v>431191.23296310822</v>
      </c>
      <c r="J487" s="340">
        <f t="shared" si="195"/>
        <v>1.5707940076382823</v>
      </c>
      <c r="K487" s="348">
        <f t="shared" si="211"/>
        <v>9.9540543278471176</v>
      </c>
      <c r="L487" s="349">
        <f t="shared" si="212"/>
        <v>1.4701649919894286</v>
      </c>
      <c r="M487" s="337">
        <f t="shared" si="196"/>
        <v>1.001711021609698</v>
      </c>
      <c r="N487" s="340">
        <f t="shared" si="197"/>
        <v>5.8456573694071097E-2</v>
      </c>
      <c r="O487" s="341">
        <f t="shared" si="198"/>
        <v>1.0067174486875583</v>
      </c>
      <c r="P487" s="342">
        <f t="shared" si="199"/>
        <v>0.1406136424038063</v>
      </c>
      <c r="Q487" s="343">
        <f t="shared" si="200"/>
        <v>-1.5989831796748151</v>
      </c>
      <c r="R487" s="344">
        <f t="shared" si="201"/>
        <v>-73.312055262479689</v>
      </c>
      <c r="S487" s="346">
        <f t="shared" si="202"/>
        <v>106.68794473752031</v>
      </c>
      <c r="U487" s="319">
        <f t="shared" si="208"/>
        <v>59570</v>
      </c>
      <c r="V487" s="319">
        <f t="shared" si="209"/>
        <v>3548584900</v>
      </c>
      <c r="X487" s="345">
        <f t="shared" si="203"/>
        <v>4.9589770476107695</v>
      </c>
      <c r="Y487" s="346">
        <f t="shared" si="204"/>
        <v>-9.1149328611163085</v>
      </c>
      <c r="AA487" s="345">
        <f t="shared" si="205"/>
        <v>30.274789930809423</v>
      </c>
      <c r="AB487" s="346">
        <f t="shared" si="206"/>
        <v>-64.197122401363387</v>
      </c>
      <c r="AD487">
        <f t="shared" si="210"/>
        <v>0</v>
      </c>
      <c r="AE487">
        <f t="shared" si="213"/>
        <v>0</v>
      </c>
    </row>
    <row r="488" spans="1:31" x14ac:dyDescent="0.2">
      <c r="A488" s="347">
        <v>59913</v>
      </c>
      <c r="B488" s="364">
        <f t="shared" si="207"/>
        <v>59.912999999999997</v>
      </c>
      <c r="C488" s="337">
        <f t="shared" si="188"/>
        <v>1.8115013291832585</v>
      </c>
      <c r="D488" s="338">
        <f t="shared" si="189"/>
        <v>0.98600151785089007</v>
      </c>
      <c r="E488" s="338">
        <f t="shared" si="190"/>
        <v>1.0000062607479581</v>
      </c>
      <c r="F488" s="339">
        <f t="shared" si="191"/>
        <v>3.5385633508958933E-3</v>
      </c>
      <c r="G488" s="338">
        <f t="shared" si="192"/>
        <v>1</v>
      </c>
      <c r="H488" s="339">
        <f t="shared" si="193"/>
        <v>0</v>
      </c>
      <c r="I488" s="337">
        <f t="shared" si="194"/>
        <v>433674.00269460981</v>
      </c>
      <c r="J488" s="340">
        <f t="shared" si="195"/>
        <v>1.5707940209153792</v>
      </c>
      <c r="K488" s="348">
        <f t="shared" si="211"/>
        <v>10.010792282520832</v>
      </c>
      <c r="L488" s="349">
        <f t="shared" si="212"/>
        <v>1.4707372546301456</v>
      </c>
      <c r="M488" s="337">
        <f t="shared" si="196"/>
        <v>1.0017307651570406</v>
      </c>
      <c r="N488" s="340">
        <f t="shared" si="197"/>
        <v>5.8792389784561722E-2</v>
      </c>
      <c r="O488" s="341">
        <f t="shared" si="198"/>
        <v>1.0067948269252722</v>
      </c>
      <c r="P488" s="342">
        <f t="shared" si="199"/>
        <v>0.14141776927488539</v>
      </c>
      <c r="Q488" s="343">
        <f t="shared" si="200"/>
        <v>-1.6349334316529573</v>
      </c>
      <c r="R488" s="344">
        <f t="shared" si="201"/>
        <v>-73.495008454403347</v>
      </c>
      <c r="S488" s="346">
        <f t="shared" si="202"/>
        <v>106.50499154559665</v>
      </c>
      <c r="U488" s="319">
        <f t="shared" si="208"/>
        <v>59913</v>
      </c>
      <c r="V488" s="319">
        <f t="shared" si="209"/>
        <v>3589567569</v>
      </c>
      <c r="X488" s="345">
        <f t="shared" si="203"/>
        <v>4.958305394189046</v>
      </c>
      <c r="Y488" s="346">
        <f t="shared" si="204"/>
        <v>-9.1013862324140451</v>
      </c>
      <c r="AA488" s="345">
        <f t="shared" si="205"/>
        <v>30.239511332253009</v>
      </c>
      <c r="AB488" s="346">
        <f t="shared" si="206"/>
        <v>-64.393622221989318</v>
      </c>
      <c r="AD488">
        <f t="shared" si="210"/>
        <v>0</v>
      </c>
      <c r="AE488">
        <f t="shared" si="213"/>
        <v>0</v>
      </c>
    </row>
    <row r="489" spans="1:31" x14ac:dyDescent="0.2">
      <c r="A489" s="347">
        <v>60256</v>
      </c>
      <c r="B489" s="364">
        <f t="shared" si="207"/>
        <v>60.256</v>
      </c>
      <c r="C489" s="337">
        <f t="shared" si="188"/>
        <v>1.8187180365265343</v>
      </c>
      <c r="D489" s="338">
        <f t="shared" si="189"/>
        <v>0.98862623969597385</v>
      </c>
      <c r="E489" s="338">
        <f t="shared" si="190"/>
        <v>1.0000063326380899</v>
      </c>
      <c r="F489" s="339">
        <f t="shared" si="191"/>
        <v>3.5588213418240354E-3</v>
      </c>
      <c r="G489" s="338">
        <f t="shared" si="192"/>
        <v>1</v>
      </c>
      <c r="H489" s="339">
        <f t="shared" si="193"/>
        <v>0</v>
      </c>
      <c r="I489" s="337">
        <f t="shared" si="194"/>
        <v>436156.77242611151</v>
      </c>
      <c r="J489" s="340">
        <f t="shared" si="195"/>
        <v>1.5707940340413198</v>
      </c>
      <c r="K489" s="348">
        <f t="shared" si="211"/>
        <v>10.067533478621367</v>
      </c>
      <c r="L489" s="349">
        <f t="shared" si="212"/>
        <v>1.4713030668442912</v>
      </c>
      <c r="M489" s="337">
        <f t="shared" si="196"/>
        <v>1.0017506216675522</v>
      </c>
      <c r="N489" s="340">
        <f t="shared" si="197"/>
        <v>5.9128192599954908E-2</v>
      </c>
      <c r="O489" s="341">
        <f t="shared" si="198"/>
        <v>1.0068726448089671</v>
      </c>
      <c r="P489" s="342">
        <f t="shared" si="199"/>
        <v>0.14222180207627796</v>
      </c>
      <c r="Q489" s="343">
        <f t="shared" si="200"/>
        <v>-1.6708026359211268</v>
      </c>
      <c r="R489" s="344">
        <f t="shared" si="201"/>
        <v>-73.677123111722963</v>
      </c>
      <c r="S489" s="346">
        <f t="shared" si="202"/>
        <v>106.32287688827704</v>
      </c>
      <c r="U489" s="319">
        <f t="shared" si="208"/>
        <v>60256</v>
      </c>
      <c r="V489" s="319">
        <f t="shared" si="209"/>
        <v>3630785536</v>
      </c>
      <c r="X489" s="345">
        <f t="shared" si="203"/>
        <v>4.9576412304967281</v>
      </c>
      <c r="Y489" s="346">
        <f t="shared" si="204"/>
        <v>-9.0882084166631287</v>
      </c>
      <c r="AA489" s="345">
        <f t="shared" si="205"/>
        <v>30.204306291677156</v>
      </c>
      <c r="AB489" s="346">
        <f t="shared" si="206"/>
        <v>-64.588914695059827</v>
      </c>
      <c r="AD489">
        <f t="shared" si="210"/>
        <v>0</v>
      </c>
      <c r="AE489">
        <f t="shared" si="213"/>
        <v>0</v>
      </c>
    </row>
    <row r="490" spans="1:31" x14ac:dyDescent="0.2">
      <c r="A490" s="347">
        <v>60607</v>
      </c>
      <c r="B490" s="364">
        <f t="shared" si="207"/>
        <v>60.606999999999999</v>
      </c>
      <c r="C490" s="337">
        <f t="shared" si="188"/>
        <v>1.826115931006826</v>
      </c>
      <c r="D490" s="338">
        <f t="shared" si="189"/>
        <v>0.99129068377164919</v>
      </c>
      <c r="E490" s="338">
        <f t="shared" si="190"/>
        <v>1.0000064066298175</v>
      </c>
      <c r="F490" s="339">
        <f t="shared" si="191"/>
        <v>3.5795518193123925E-3</v>
      </c>
      <c r="G490" s="338">
        <f t="shared" si="192"/>
        <v>1</v>
      </c>
      <c r="H490" s="339">
        <f t="shared" si="193"/>
        <v>0</v>
      </c>
      <c r="I490" s="337">
        <f t="shared" si="194"/>
        <v>438697.44932336267</v>
      </c>
      <c r="J490" s="340">
        <f t="shared" si="195"/>
        <v>1.5707940473195965</v>
      </c>
      <c r="K490" s="348">
        <f t="shared" si="211"/>
        <v>10.125601383402492</v>
      </c>
      <c r="L490" s="349">
        <f t="shared" si="212"/>
        <v>1.4718755107536794</v>
      </c>
      <c r="M490" s="337">
        <f t="shared" si="196"/>
        <v>1.0017710582426236</v>
      </c>
      <c r="N490" s="340">
        <f t="shared" si="197"/>
        <v>5.9471813729654738E-2</v>
      </c>
      <c r="O490" s="341">
        <f t="shared" si="198"/>
        <v>1.0069527327522534</v>
      </c>
      <c r="P490" s="342">
        <f t="shared" si="199"/>
        <v>0.14304448990929156</v>
      </c>
      <c r="Q490" s="343">
        <f t="shared" si="200"/>
        <v>-1.7074243803486038</v>
      </c>
      <c r="R490" s="344">
        <f t="shared" si="201"/>
        <v>-73.862623465297446</v>
      </c>
      <c r="S490" s="346">
        <f t="shared" si="202"/>
        <v>106.13737653470255</v>
      </c>
      <c r="U490" s="319">
        <f t="shared" si="208"/>
        <v>60607</v>
      </c>
      <c r="V490" s="319">
        <f t="shared" si="209"/>
        <v>3673208449</v>
      </c>
      <c r="X490" s="345">
        <f t="shared" si="203"/>
        <v>4.9569691322805731</v>
      </c>
      <c r="Y490" s="346">
        <f t="shared" si="204"/>
        <v>-9.0750985979047734</v>
      </c>
      <c r="AA490" s="345">
        <f t="shared" si="205"/>
        <v>30.168356645465831</v>
      </c>
      <c r="AB490" s="346">
        <f t="shared" si="206"/>
        <v>-64.78752486739269</v>
      </c>
      <c r="AD490">
        <f t="shared" si="210"/>
        <v>0</v>
      </c>
      <c r="AE490">
        <f t="shared" si="213"/>
        <v>0</v>
      </c>
    </row>
    <row r="491" spans="1:31" x14ac:dyDescent="0.2">
      <c r="A491" s="347">
        <v>60958</v>
      </c>
      <c r="B491" s="364">
        <f t="shared" si="207"/>
        <v>60.957999999999998</v>
      </c>
      <c r="C491" s="337">
        <f t="shared" si="188"/>
        <v>1.8335266848949041</v>
      </c>
      <c r="D491" s="338">
        <f t="shared" si="189"/>
        <v>0.99393360816725529</v>
      </c>
      <c r="E491" s="338">
        <f t="shared" si="190"/>
        <v>1.0000064810513003</v>
      </c>
      <c r="F491" s="339">
        <f t="shared" si="191"/>
        <v>3.600282293724093E-3</v>
      </c>
      <c r="G491" s="338">
        <f t="shared" si="192"/>
        <v>1</v>
      </c>
      <c r="H491" s="339">
        <f t="shared" si="193"/>
        <v>0</v>
      </c>
      <c r="I491" s="337">
        <f t="shared" si="194"/>
        <v>441238.12622061383</v>
      </c>
      <c r="J491" s="340">
        <f t="shared" si="195"/>
        <v>1.5707940604449586</v>
      </c>
      <c r="K491" s="348">
        <f t="shared" si="211"/>
        <v>10.183672568422084</v>
      </c>
      <c r="L491" s="349">
        <f t="shared" si="212"/>
        <v>1.4724414262597545</v>
      </c>
      <c r="M491" s="337">
        <f t="shared" si="196"/>
        <v>1.00179161309746</v>
      </c>
      <c r="N491" s="340">
        <f t="shared" si="197"/>
        <v>5.9815420799023224E-2</v>
      </c>
      <c r="O491" s="341">
        <f t="shared" si="198"/>
        <v>1.0070332809229001</v>
      </c>
      <c r="P491" s="342">
        <f t="shared" si="199"/>
        <v>0.14386707815002395</v>
      </c>
      <c r="Q491" s="343">
        <f t="shared" si="200"/>
        <v>-1.7439609533594813</v>
      </c>
      <c r="R491" s="344">
        <f t="shared" si="201"/>
        <v>-74.047258361583204</v>
      </c>
      <c r="S491" s="346">
        <f t="shared" si="202"/>
        <v>105.9527416384168</v>
      </c>
      <c r="U491" s="319">
        <f t="shared" si="208"/>
        <v>60958</v>
      </c>
      <c r="V491" s="319">
        <f t="shared" si="209"/>
        <v>3715877764</v>
      </c>
      <c r="X491" s="345">
        <f t="shared" si="203"/>
        <v>4.956304481563965</v>
      </c>
      <c r="Y491" s="346">
        <f t="shared" si="204"/>
        <v>-9.0623620147446236</v>
      </c>
      <c r="AA491" s="345">
        <f t="shared" si="205"/>
        <v>30.132484723171565</v>
      </c>
      <c r="AB491" s="346">
        <f t="shared" si="206"/>
        <v>-64.984896346838568</v>
      </c>
      <c r="AD491">
        <f t="shared" si="210"/>
        <v>0</v>
      </c>
      <c r="AE491">
        <f t="shared" si="213"/>
        <v>0</v>
      </c>
    </row>
    <row r="492" spans="1:31" x14ac:dyDescent="0.2">
      <c r="A492" s="347">
        <v>61309</v>
      </c>
      <c r="B492" s="364">
        <f t="shared" si="207"/>
        <v>61.308999999999997</v>
      </c>
      <c r="C492" s="337">
        <f t="shared" si="188"/>
        <v>1.840950142893947</v>
      </c>
      <c r="D492" s="338">
        <f t="shared" si="189"/>
        <v>0.99655523606506002</v>
      </c>
      <c r="E492" s="338">
        <f t="shared" si="190"/>
        <v>1.0000065559025386</v>
      </c>
      <c r="F492" s="339">
        <f t="shared" si="191"/>
        <v>3.6210127650413196E-3</v>
      </c>
      <c r="G492" s="338">
        <f t="shared" si="192"/>
        <v>1</v>
      </c>
      <c r="H492" s="339">
        <f t="shared" si="193"/>
        <v>0</v>
      </c>
      <c r="I492" s="337">
        <f t="shared" si="194"/>
        <v>443778.80311786517</v>
      </c>
      <c r="J492" s="340">
        <f t="shared" si="195"/>
        <v>1.570794073420033</v>
      </c>
      <c r="K492" s="348">
        <f t="shared" si="211"/>
        <v>10.241746977882833</v>
      </c>
      <c r="L492" s="349">
        <f t="shared" si="212"/>
        <v>1.4730009240521407</v>
      </c>
      <c r="M492" s="337">
        <f t="shared" si="196"/>
        <v>1.0018122862247811</v>
      </c>
      <c r="N492" s="340">
        <f t="shared" si="197"/>
        <v>6.0159013727791845E-2</v>
      </c>
      <c r="O492" s="341">
        <f t="shared" si="198"/>
        <v>1.0071142892362472</v>
      </c>
      <c r="P492" s="342">
        <f t="shared" si="199"/>
        <v>0.14468956625130303</v>
      </c>
      <c r="Q492" s="343">
        <f t="shared" si="200"/>
        <v>-1.78041222464342</v>
      </c>
      <c r="R492" s="344">
        <f t="shared" si="201"/>
        <v>-74.231034210135746</v>
      </c>
      <c r="S492" s="346">
        <f t="shared" si="202"/>
        <v>105.76896578986425</v>
      </c>
      <c r="U492" s="319">
        <f t="shared" si="208"/>
        <v>61309</v>
      </c>
      <c r="V492" s="319">
        <f t="shared" si="209"/>
        <v>3758793481</v>
      </c>
      <c r="X492" s="345">
        <f t="shared" si="203"/>
        <v>4.9556470866196713</v>
      </c>
      <c r="Y492" s="346">
        <f t="shared" si="204"/>
        <v>-9.0499923206858615</v>
      </c>
      <c r="AA492" s="345">
        <f t="shared" si="205"/>
        <v>30.096690846831912</v>
      </c>
      <c r="AB492" s="346">
        <f t="shared" si="206"/>
        <v>-65.181041889449887</v>
      </c>
      <c r="AD492">
        <f t="shared" si="210"/>
        <v>0</v>
      </c>
      <c r="AE492">
        <f t="shared" si="213"/>
        <v>0</v>
      </c>
    </row>
    <row r="493" spans="1:31" x14ac:dyDescent="0.2">
      <c r="A493" s="347">
        <v>61660</v>
      </c>
      <c r="B493" s="364">
        <f t="shared" si="207"/>
        <v>61.66</v>
      </c>
      <c r="C493" s="337">
        <f t="shared" si="188"/>
        <v>1.8483861519378375</v>
      </c>
      <c r="D493" s="338">
        <f t="shared" si="189"/>
        <v>0.99915578823608586</v>
      </c>
      <c r="E493" s="338">
        <f t="shared" si="190"/>
        <v>1.0000066311835321</v>
      </c>
      <c r="F493" s="339">
        <f t="shared" si="191"/>
        <v>3.6417432332462546E-3</v>
      </c>
      <c r="G493" s="338">
        <f t="shared" si="192"/>
        <v>1</v>
      </c>
      <c r="H493" s="339">
        <f t="shared" si="193"/>
        <v>0</v>
      </c>
      <c r="I493" s="337">
        <f t="shared" si="194"/>
        <v>446319.48001511645</v>
      </c>
      <c r="J493" s="340">
        <f t="shared" si="195"/>
        <v>1.5707940862473857</v>
      </c>
      <c r="K493" s="348">
        <f t="shared" si="211"/>
        <v>10.299824557242783</v>
      </c>
      <c r="L493" s="349">
        <f t="shared" si="212"/>
        <v>1.473554112340163</v>
      </c>
      <c r="M493" s="337">
        <f t="shared" si="196"/>
        <v>1.0018330776172653</v>
      </c>
      <c r="N493" s="340">
        <f t="shared" si="197"/>
        <v>6.050259243571203E-2</v>
      </c>
      <c r="O493" s="341">
        <f t="shared" si="198"/>
        <v>1.0071957576071806</v>
      </c>
      <c r="P493" s="342">
        <f t="shared" si="199"/>
        <v>0.14551195366645617</v>
      </c>
      <c r="Q493" s="343">
        <f t="shared" si="200"/>
        <v>-1.8167780774853486</v>
      </c>
      <c r="R493" s="344">
        <f t="shared" si="201"/>
        <v>-74.413957424493418</v>
      </c>
      <c r="S493" s="346">
        <f t="shared" si="202"/>
        <v>105.58604257550658</v>
      </c>
      <c r="U493" s="319">
        <f t="shared" si="208"/>
        <v>61660</v>
      </c>
      <c r="V493" s="319">
        <f t="shared" si="209"/>
        <v>3801955600</v>
      </c>
      <c r="X493" s="345">
        <f t="shared" si="203"/>
        <v>4.9549967611145727</v>
      </c>
      <c r="Y493" s="346">
        <f t="shared" si="204"/>
        <v>-9.0379833113399553</v>
      </c>
      <c r="AA493" s="345">
        <f t="shared" si="205"/>
        <v>30.060975319495086</v>
      </c>
      <c r="AB493" s="346">
        <f t="shared" si="206"/>
        <v>-65.375974113153461</v>
      </c>
      <c r="AD493">
        <f t="shared" si="210"/>
        <v>0</v>
      </c>
      <c r="AE493">
        <f t="shared" si="213"/>
        <v>0</v>
      </c>
    </row>
    <row r="494" spans="1:31" x14ac:dyDescent="0.2">
      <c r="A494" s="347">
        <v>62019</v>
      </c>
      <c r="B494" s="364">
        <f t="shared" si="207"/>
        <v>62.018999999999998</v>
      </c>
      <c r="C494" s="337">
        <f t="shared" si="188"/>
        <v>1.85600446883018</v>
      </c>
      <c r="D494" s="338">
        <f t="shared" si="189"/>
        <v>1.0017940381134929</v>
      </c>
      <c r="E494" s="338">
        <f t="shared" si="190"/>
        <v>1.0000067086248907</v>
      </c>
      <c r="F494" s="339">
        <f t="shared" si="191"/>
        <v>3.6629461875169324E-3</v>
      </c>
      <c r="G494" s="338">
        <f t="shared" si="192"/>
        <v>1</v>
      </c>
      <c r="H494" s="339">
        <f t="shared" si="193"/>
        <v>0</v>
      </c>
      <c r="I494" s="337">
        <f t="shared" si="194"/>
        <v>448918.0640781172</v>
      </c>
      <c r="J494" s="340">
        <f t="shared" si="195"/>
        <v>1.570794099216904</v>
      </c>
      <c r="K494" s="348">
        <f t="shared" si="211"/>
        <v>10.35922906563998</v>
      </c>
      <c r="L494" s="349">
        <f t="shared" si="212"/>
        <v>1.4741134923153791</v>
      </c>
      <c r="M494" s="337">
        <f t="shared" si="196"/>
        <v>1.0018544652191002</v>
      </c>
      <c r="N494" s="340">
        <f t="shared" si="197"/>
        <v>6.0853987203026393E-2</v>
      </c>
      <c r="O494" s="341">
        <f t="shared" si="198"/>
        <v>1.007279558623434</v>
      </c>
      <c r="P494" s="342">
        <f t="shared" si="199"/>
        <v>0.14635298023050614</v>
      </c>
      <c r="Q494" s="343">
        <f t="shared" si="200"/>
        <v>-1.8538843129961793</v>
      </c>
      <c r="R494" s="344">
        <f t="shared" si="201"/>
        <v>-74.600174509252824</v>
      </c>
      <c r="S494" s="346">
        <f t="shared" si="202"/>
        <v>105.39982549074718</v>
      </c>
      <c r="U494" s="319">
        <f t="shared" si="208"/>
        <v>62019</v>
      </c>
      <c r="V494" s="319">
        <f t="shared" si="209"/>
        <v>3846356361</v>
      </c>
      <c r="X494" s="345">
        <f t="shared" si="203"/>
        <v>4.954338737589226</v>
      </c>
      <c r="Y494" s="346">
        <f t="shared" si="204"/>
        <v>-9.0260673798110798</v>
      </c>
      <c r="AA494" s="345">
        <f t="shared" si="205"/>
        <v>30.024527107509606</v>
      </c>
      <c r="AB494" s="346">
        <f t="shared" si="206"/>
        <v>-65.574107129441742</v>
      </c>
      <c r="AD494">
        <f t="shared" si="210"/>
        <v>0</v>
      </c>
      <c r="AE494">
        <f t="shared" si="213"/>
        <v>0</v>
      </c>
    </row>
    <row r="495" spans="1:31" x14ac:dyDescent="0.2">
      <c r="A495" s="347">
        <v>62378</v>
      </c>
      <c r="B495" s="364">
        <f t="shared" si="207"/>
        <v>62.378</v>
      </c>
      <c r="C495" s="337">
        <f t="shared" si="188"/>
        <v>1.863635598515833</v>
      </c>
      <c r="D495" s="338">
        <f t="shared" si="189"/>
        <v>1.0044107001103091</v>
      </c>
      <c r="E495" s="338">
        <f t="shared" si="190"/>
        <v>1.0000067865158178</v>
      </c>
      <c r="F495" s="339">
        <f t="shared" si="191"/>
        <v>3.6841491384941288E-3</v>
      </c>
      <c r="G495" s="338">
        <f t="shared" si="192"/>
        <v>1</v>
      </c>
      <c r="H495" s="339">
        <f t="shared" si="193"/>
        <v>0</v>
      </c>
      <c r="I495" s="337">
        <f t="shared" si="194"/>
        <v>451516.648141118</v>
      </c>
      <c r="J495" s="340">
        <f t="shared" si="195"/>
        <v>1.5707941120371371</v>
      </c>
      <c r="K495" s="348">
        <f t="shared" si="211"/>
        <v>10.418636778537001</v>
      </c>
      <c r="L495" s="349">
        <f t="shared" si="212"/>
        <v>1.4746664932233879</v>
      </c>
      <c r="M495" s="337">
        <f t="shared" si="196"/>
        <v>1.0018759765229133</v>
      </c>
      <c r="N495" s="340">
        <f t="shared" si="197"/>
        <v>6.1205366924115538E-2</v>
      </c>
      <c r="O495" s="341">
        <f t="shared" si="198"/>
        <v>1.0073638407259879</v>
      </c>
      <c r="P495" s="342">
        <f t="shared" si="199"/>
        <v>0.1471939003112685</v>
      </c>
      <c r="Q495" s="343">
        <f t="shared" si="200"/>
        <v>-1.8909009870729434</v>
      </c>
      <c r="R495" s="344">
        <f t="shared" si="201"/>
        <v>-74.785513221700057</v>
      </c>
      <c r="S495" s="346">
        <f t="shared" si="202"/>
        <v>105.21448677829994</v>
      </c>
      <c r="U495" s="319">
        <f t="shared" si="208"/>
        <v>62378</v>
      </c>
      <c r="V495" s="319">
        <f t="shared" si="209"/>
        <v>3891014884</v>
      </c>
      <c r="X495" s="345">
        <f t="shared" si="203"/>
        <v>4.9536877316428445</v>
      </c>
      <c r="Y495" s="346">
        <f t="shared" si="204"/>
        <v>-9.0145160712722063</v>
      </c>
      <c r="AA495" s="345">
        <f t="shared" si="205"/>
        <v>29.988161439379223</v>
      </c>
      <c r="AB495" s="346">
        <f t="shared" si="206"/>
        <v>-65.770997150427831</v>
      </c>
      <c r="AD495">
        <f t="shared" si="210"/>
        <v>0</v>
      </c>
      <c r="AE495">
        <f t="shared" si="213"/>
        <v>0</v>
      </c>
    </row>
    <row r="496" spans="1:31" x14ac:dyDescent="0.2">
      <c r="A496" s="347">
        <v>62737</v>
      </c>
      <c r="B496" s="364">
        <f t="shared" si="207"/>
        <v>62.737000000000002</v>
      </c>
      <c r="C496" s="337">
        <f t="shared" si="188"/>
        <v>1.8712793842420143</v>
      </c>
      <c r="D496" s="338">
        <f t="shared" si="189"/>
        <v>1.007006002720009</v>
      </c>
      <c r="E496" s="338">
        <f t="shared" si="190"/>
        <v>1.000006864856313</v>
      </c>
      <c r="F496" s="339">
        <f t="shared" si="191"/>
        <v>3.7053520861587805E-3</v>
      </c>
      <c r="G496" s="338">
        <f t="shared" si="192"/>
        <v>1</v>
      </c>
      <c r="H496" s="339">
        <f t="shared" si="193"/>
        <v>0</v>
      </c>
      <c r="I496" s="337">
        <f t="shared" si="194"/>
        <v>454115.23220411886</v>
      </c>
      <c r="J496" s="340">
        <f t="shared" si="195"/>
        <v>1.5707941247106478</v>
      </c>
      <c r="K496" s="348">
        <f t="shared" si="211"/>
        <v>10.478047641427892</v>
      </c>
      <c r="L496" s="349">
        <f t="shared" si="212"/>
        <v>1.4752132232315947</v>
      </c>
      <c r="M496" s="337">
        <f t="shared" si="196"/>
        <v>1.0018976115207365</v>
      </c>
      <c r="N496" s="340">
        <f t="shared" si="197"/>
        <v>6.1556731513183319E-2</v>
      </c>
      <c r="O496" s="341">
        <f t="shared" si="198"/>
        <v>1.0074486038223018</v>
      </c>
      <c r="P496" s="342">
        <f t="shared" si="199"/>
        <v>0.14803471332547052</v>
      </c>
      <c r="Q496" s="343">
        <f t="shared" si="200"/>
        <v>-1.9278280167607029</v>
      </c>
      <c r="R496" s="344">
        <f t="shared" si="201"/>
        <v>-74.969980417824175</v>
      </c>
      <c r="S496" s="346">
        <f t="shared" si="202"/>
        <v>105.03001958217583</v>
      </c>
      <c r="U496" s="319">
        <f t="shared" si="208"/>
        <v>62737</v>
      </c>
      <c r="V496" s="319">
        <f t="shared" si="209"/>
        <v>3935931169</v>
      </c>
      <c r="X496" s="345">
        <f t="shared" si="203"/>
        <v>4.953043560267357</v>
      </c>
      <c r="Y496" s="346">
        <f t="shared" si="204"/>
        <v>-9.0033231834186278</v>
      </c>
      <c r="AA496" s="345">
        <f t="shared" si="205"/>
        <v>29.951878581066946</v>
      </c>
      <c r="AB496" s="346">
        <f t="shared" si="206"/>
        <v>-65.966657234405517</v>
      </c>
      <c r="AD496">
        <f t="shared" si="210"/>
        <v>0</v>
      </c>
      <c r="AE496">
        <f t="shared" si="213"/>
        <v>0</v>
      </c>
    </row>
    <row r="497" spans="1:31" x14ac:dyDescent="0.2">
      <c r="A497" s="347">
        <v>63096</v>
      </c>
      <c r="B497" s="364">
        <f t="shared" si="207"/>
        <v>63.095999999999997</v>
      </c>
      <c r="C497" s="337">
        <f t="shared" si="188"/>
        <v>1.8789356715488463</v>
      </c>
      <c r="D497" s="338">
        <f t="shared" si="189"/>
        <v>1.0095801718720072</v>
      </c>
      <c r="E497" s="338">
        <f t="shared" si="190"/>
        <v>1.0000069436463759</v>
      </c>
      <c r="F497" s="339">
        <f t="shared" si="191"/>
        <v>3.7265550304918251E-3</v>
      </c>
      <c r="G497" s="338">
        <f t="shared" si="192"/>
        <v>1</v>
      </c>
      <c r="H497" s="339">
        <f t="shared" si="193"/>
        <v>0</v>
      </c>
      <c r="I497" s="337">
        <f t="shared" si="194"/>
        <v>456713.81626711978</v>
      </c>
      <c r="J497" s="340">
        <f t="shared" si="195"/>
        <v>1.5707941372399403</v>
      </c>
      <c r="K497" s="348">
        <f t="shared" si="211"/>
        <v>10.537461601033067</v>
      </c>
      <c r="L497" s="349">
        <f t="shared" si="212"/>
        <v>1.4757537880830491</v>
      </c>
      <c r="M497" s="337">
        <f t="shared" si="196"/>
        <v>1.001919370204557</v>
      </c>
      <c r="N497" s="340">
        <f t="shared" si="197"/>
        <v>6.1908080884455936E-2</v>
      </c>
      <c r="O497" s="341">
        <f t="shared" si="198"/>
        <v>1.0075338478193399</v>
      </c>
      <c r="P497" s="342">
        <f t="shared" si="199"/>
        <v>0.14887541869039692</v>
      </c>
      <c r="Q497" s="343">
        <f t="shared" si="200"/>
        <v>-1.9646653325080932</v>
      </c>
      <c r="R497" s="344">
        <f t="shared" si="201"/>
        <v>-75.15358294563957</v>
      </c>
      <c r="S497" s="346">
        <f t="shared" si="202"/>
        <v>104.84641705436043</v>
      </c>
      <c r="U497" s="319">
        <f t="shared" si="208"/>
        <v>63096</v>
      </c>
      <c r="V497" s="319">
        <f t="shared" si="209"/>
        <v>3981105216</v>
      </c>
      <c r="X497" s="345">
        <f t="shared" si="203"/>
        <v>4.9524060456037855</v>
      </c>
      <c r="Y497" s="346">
        <f t="shared" si="204"/>
        <v>-8.9924826528488566</v>
      </c>
      <c r="AA497" s="345">
        <f t="shared" si="205"/>
        <v>29.915678779983132</v>
      </c>
      <c r="AB497" s="346">
        <f t="shared" si="206"/>
        <v>-66.161100292790721</v>
      </c>
      <c r="AD497">
        <f t="shared" si="210"/>
        <v>0</v>
      </c>
      <c r="AE497">
        <f t="shared" si="213"/>
        <v>0</v>
      </c>
    </row>
    <row r="498" spans="1:31" x14ac:dyDescent="0.2">
      <c r="A498" s="347">
        <v>63463.25</v>
      </c>
      <c r="B498" s="364">
        <f t="shared" si="207"/>
        <v>63.463250000000002</v>
      </c>
      <c r="C498" s="337">
        <f t="shared" si="188"/>
        <v>1.886780681314477</v>
      </c>
      <c r="D498" s="338">
        <f t="shared" si="189"/>
        <v>1.0121918620975923</v>
      </c>
      <c r="E498" s="338">
        <f t="shared" si="190"/>
        <v>1.0000070247122577</v>
      </c>
      <c r="F498" s="339">
        <f t="shared" si="191"/>
        <v>3.7482452256494378E-3</v>
      </c>
      <c r="G498" s="338">
        <f t="shared" si="192"/>
        <v>1</v>
      </c>
      <c r="H498" s="339">
        <f t="shared" si="193"/>
        <v>0</v>
      </c>
      <c r="I498" s="337">
        <f t="shared" si="194"/>
        <v>459372.11709479976</v>
      </c>
      <c r="J498" s="340">
        <f t="shared" si="195"/>
        <v>1.5707941499104867</v>
      </c>
      <c r="K498" s="348">
        <f t="shared" si="211"/>
        <v>10.598244073195191</v>
      </c>
      <c r="L498" s="349">
        <f t="shared" si="212"/>
        <v>1.4763005038663461</v>
      </c>
      <c r="M498" s="337">
        <f t="shared" si="196"/>
        <v>1.0019417568876454</v>
      </c>
      <c r="N498" s="340">
        <f t="shared" si="197"/>
        <v>6.2267488604652685E-2</v>
      </c>
      <c r="O498" s="341">
        <f t="shared" si="198"/>
        <v>1.0076215482733644</v>
      </c>
      <c r="P498" s="342">
        <f t="shared" si="199"/>
        <v>0.14973533189069393</v>
      </c>
      <c r="Q498" s="343">
        <f t="shared" si="200"/>
        <v>-2.0022562992655133</v>
      </c>
      <c r="R498" s="344">
        <f t="shared" si="201"/>
        <v>-75.340517178144438</v>
      </c>
      <c r="S498" s="346">
        <f t="shared" si="202"/>
        <v>104.65948282185556</v>
      </c>
      <c r="U498" s="319">
        <f t="shared" si="208"/>
        <v>63463.25</v>
      </c>
      <c r="V498" s="319">
        <f t="shared" si="209"/>
        <v>4027584100.5625</v>
      </c>
      <c r="X498" s="345">
        <f t="shared" si="203"/>
        <v>4.9517605882364313</v>
      </c>
      <c r="Y498" s="346">
        <f t="shared" si="204"/>
        <v>-8.9817514173210089</v>
      </c>
      <c r="AA498" s="345">
        <f t="shared" si="205"/>
        <v>29.878733270593063</v>
      </c>
      <c r="AB498" s="346">
        <f t="shared" si="206"/>
        <v>-66.358765760823445</v>
      </c>
      <c r="AD498">
        <f t="shared" si="210"/>
        <v>0</v>
      </c>
      <c r="AE498">
        <f t="shared" si="213"/>
        <v>0</v>
      </c>
    </row>
    <row r="499" spans="1:31" x14ac:dyDescent="0.2">
      <c r="A499" s="347">
        <v>63830.5</v>
      </c>
      <c r="B499" s="364">
        <f t="shared" si="207"/>
        <v>63.830500000000001</v>
      </c>
      <c r="C499" s="337">
        <f t="shared" si="188"/>
        <v>1.8946384540436343</v>
      </c>
      <c r="D499" s="338">
        <f t="shared" si="189"/>
        <v>1.0147819065598092</v>
      </c>
      <c r="E499" s="338">
        <f t="shared" si="190"/>
        <v>1.0000071062486073</v>
      </c>
      <c r="F499" s="339">
        <f t="shared" si="191"/>
        <v>3.769935417280202E-3</v>
      </c>
      <c r="G499" s="338">
        <f t="shared" si="192"/>
        <v>1</v>
      </c>
      <c r="H499" s="339">
        <f t="shared" si="193"/>
        <v>0</v>
      </c>
      <c r="I499" s="337">
        <f t="shared" si="194"/>
        <v>462030.41792247992</v>
      </c>
      <c r="J499" s="340">
        <f t="shared" si="195"/>
        <v>1.5707941624352328</v>
      </c>
      <c r="K499" s="348">
        <f t="shared" si="211"/>
        <v>10.659029677023964</v>
      </c>
      <c r="L499" s="349">
        <f t="shared" si="212"/>
        <v>1.4768409842610186</v>
      </c>
      <c r="M499" s="337">
        <f t="shared" si="196"/>
        <v>1.0019642729896743</v>
      </c>
      <c r="N499" s="340">
        <f t="shared" si="197"/>
        <v>6.2626880218079203E-2</v>
      </c>
      <c r="O499" s="341">
        <f t="shared" si="198"/>
        <v>1.0077097517862155</v>
      </c>
      <c r="P499" s="342">
        <f t="shared" si="199"/>
        <v>0.15059513120537096</v>
      </c>
      <c r="Q499" s="343">
        <f t="shared" si="200"/>
        <v>-2.039753275532405</v>
      </c>
      <c r="R499" s="344">
        <f t="shared" si="201"/>
        <v>-75.52656100504781</v>
      </c>
      <c r="S499" s="346">
        <f t="shared" si="202"/>
        <v>104.47343899495219</v>
      </c>
      <c r="U499" s="319">
        <f t="shared" si="208"/>
        <v>63830.5</v>
      </c>
      <c r="V499" s="319">
        <f t="shared" si="209"/>
        <v>4074332730.25</v>
      </c>
      <c r="X499" s="345">
        <f t="shared" si="203"/>
        <v>4.9511217362759483</v>
      </c>
      <c r="Y499" s="346">
        <f t="shared" si="204"/>
        <v>-8.9713765120416884</v>
      </c>
      <c r="AA499" s="345">
        <f t="shared" si="205"/>
        <v>29.841875146286654</v>
      </c>
      <c r="AB499" s="346">
        <f t="shared" si="206"/>
        <v>-66.555184493006109</v>
      </c>
      <c r="AD499">
        <f t="shared" si="210"/>
        <v>0</v>
      </c>
      <c r="AE499">
        <f t="shared" si="213"/>
        <v>0</v>
      </c>
    </row>
    <row r="500" spans="1:31" x14ac:dyDescent="0.2">
      <c r="A500" s="347">
        <v>64197.75</v>
      </c>
      <c r="B500" s="364">
        <f t="shared" si="207"/>
        <v>64.197749999999999</v>
      </c>
      <c r="C500" s="337">
        <f t="shared" si="188"/>
        <v>1.9025088315949295</v>
      </c>
      <c r="D500" s="338">
        <f t="shared" si="189"/>
        <v>1.0173505389277304</v>
      </c>
      <c r="E500" s="338">
        <f t="shared" si="190"/>
        <v>1.0000071882554245</v>
      </c>
      <c r="F500" s="339">
        <f t="shared" si="191"/>
        <v>3.7916256053637082E-3</v>
      </c>
      <c r="G500" s="338">
        <f t="shared" si="192"/>
        <v>1</v>
      </c>
      <c r="H500" s="339">
        <f t="shared" si="193"/>
        <v>0</v>
      </c>
      <c r="I500" s="337">
        <f t="shared" si="194"/>
        <v>464688.71875016007</v>
      </c>
      <c r="J500" s="340">
        <f t="shared" si="195"/>
        <v>1.5707941748166805</v>
      </c>
      <c r="K500" s="348">
        <f t="shared" si="211"/>
        <v>10.719818359246029</v>
      </c>
      <c r="L500" s="349">
        <f t="shared" si="212"/>
        <v>1.4773753350253003</v>
      </c>
      <c r="M500" s="337">
        <f t="shared" si="196"/>
        <v>1.0019869185019188</v>
      </c>
      <c r="N500" s="340">
        <f t="shared" si="197"/>
        <v>6.2986255632984753E-2</v>
      </c>
      <c r="O500" s="341">
        <f t="shared" si="198"/>
        <v>1.0077984582566915</v>
      </c>
      <c r="P500" s="342">
        <f t="shared" si="199"/>
        <v>0.15145481601243849</v>
      </c>
      <c r="Q500" s="343">
        <f t="shared" si="200"/>
        <v>-2.0771562280766984</v>
      </c>
      <c r="R500" s="344">
        <f t="shared" si="201"/>
        <v>-75.711721714351015</v>
      </c>
      <c r="S500" s="346">
        <f t="shared" si="202"/>
        <v>104.28827828564899</v>
      </c>
      <c r="U500" s="319">
        <f t="shared" si="208"/>
        <v>64197.75</v>
      </c>
      <c r="V500" s="319">
        <f t="shared" si="209"/>
        <v>4121351105.0625</v>
      </c>
      <c r="X500" s="345">
        <f t="shared" si="203"/>
        <v>4.9504893149429101</v>
      </c>
      <c r="Y500" s="346">
        <f t="shared" si="204"/>
        <v>-8.9613518723968539</v>
      </c>
      <c r="AA500" s="345">
        <f t="shared" si="205"/>
        <v>29.8051046150754</v>
      </c>
      <c r="AB500" s="346">
        <f t="shared" si="206"/>
        <v>-66.750369841954182</v>
      </c>
      <c r="AD500">
        <f t="shared" si="210"/>
        <v>0</v>
      </c>
      <c r="AE500">
        <f t="shared" si="213"/>
        <v>0</v>
      </c>
    </row>
    <row r="501" spans="1:31" x14ac:dyDescent="0.2">
      <c r="A501" s="347">
        <v>64565</v>
      </c>
      <c r="B501" s="364">
        <f t="shared" si="207"/>
        <v>64.564999999999998</v>
      </c>
      <c r="C501" s="337">
        <f t="shared" si="188"/>
        <v>1.9103916581813996</v>
      </c>
      <c r="D501" s="338">
        <f t="shared" si="189"/>
        <v>1.0198979901531524</v>
      </c>
      <c r="E501" s="338">
        <f t="shared" si="190"/>
        <v>1.0000072707327092</v>
      </c>
      <c r="F501" s="339">
        <f t="shared" si="191"/>
        <v>3.8133157898795501E-3</v>
      </c>
      <c r="G501" s="338">
        <f t="shared" si="192"/>
        <v>1</v>
      </c>
      <c r="H501" s="339">
        <f t="shared" si="193"/>
        <v>0</v>
      </c>
      <c r="I501" s="337">
        <f t="shared" si="194"/>
        <v>467347.01957784023</v>
      </c>
      <c r="J501" s="340">
        <f t="shared" si="195"/>
        <v>1.5707941870572752</v>
      </c>
      <c r="K501" s="348">
        <f t="shared" si="211"/>
        <v>10.780610067786922</v>
      </c>
      <c r="L501" s="349">
        <f t="shared" si="212"/>
        <v>1.4779036595461323</v>
      </c>
      <c r="M501" s="337">
        <f t="shared" si="196"/>
        <v>1.0020096934156051</v>
      </c>
      <c r="N501" s="340">
        <f t="shared" si="197"/>
        <v>6.3345614757643581E-2</v>
      </c>
      <c r="O501" s="341">
        <f t="shared" si="198"/>
        <v>1.007887667583051</v>
      </c>
      <c r="P501" s="342">
        <f t="shared" si="199"/>
        <v>0.15231438569052974</v>
      </c>
      <c r="Q501" s="343">
        <f t="shared" si="200"/>
        <v>-2.1144651368038767</v>
      </c>
      <c r="R501" s="344">
        <f t="shared" si="201"/>
        <v>-75.896006574266067</v>
      </c>
      <c r="S501" s="346">
        <f t="shared" si="202"/>
        <v>104.10399342573393</v>
      </c>
      <c r="U501" s="319">
        <f t="shared" si="208"/>
        <v>64565</v>
      </c>
      <c r="V501" s="319">
        <f t="shared" si="209"/>
        <v>4168639225</v>
      </c>
      <c r="X501" s="345">
        <f t="shared" si="203"/>
        <v>4.9498631543766534</v>
      </c>
      <c r="Y501" s="346">
        <f t="shared" si="204"/>
        <v>-8.9516715696357316</v>
      </c>
      <c r="AA501" s="345">
        <f t="shared" si="205"/>
        <v>29.76842186691448</v>
      </c>
      <c r="AB501" s="346">
        <f t="shared" si="206"/>
        <v>-66.944335004630361</v>
      </c>
      <c r="AD501">
        <f t="shared" si="210"/>
        <v>0</v>
      </c>
      <c r="AE501">
        <f t="shared" si="213"/>
        <v>0</v>
      </c>
    </row>
    <row r="502" spans="1:31" x14ac:dyDescent="0.2">
      <c r="A502" s="347">
        <v>64941</v>
      </c>
      <c r="B502" s="364">
        <f t="shared" si="207"/>
        <v>64.941000000000003</v>
      </c>
      <c r="C502" s="337">
        <f t="shared" si="188"/>
        <v>1.9184750361119605</v>
      </c>
      <c r="D502" s="338">
        <f t="shared" si="189"/>
        <v>1.0224844304717091</v>
      </c>
      <c r="E502" s="338">
        <f t="shared" si="190"/>
        <v>1.0000073556624907</v>
      </c>
      <c r="F502" s="339">
        <f t="shared" si="191"/>
        <v>3.835522755196657E-3</v>
      </c>
      <c r="G502" s="338">
        <f t="shared" si="192"/>
        <v>1</v>
      </c>
      <c r="H502" s="339">
        <f t="shared" si="193"/>
        <v>0</v>
      </c>
      <c r="I502" s="337">
        <f t="shared" si="194"/>
        <v>470068.65636805893</v>
      </c>
      <c r="J502" s="340">
        <f t="shared" si="195"/>
        <v>1.5707941994460797</v>
      </c>
      <c r="K502" s="348">
        <f t="shared" si="211"/>
        <v>10.842853265450101</v>
      </c>
      <c r="L502" s="349">
        <f t="shared" si="212"/>
        <v>1.4784384340023387</v>
      </c>
      <c r="M502" s="337">
        <f t="shared" si="196"/>
        <v>1.0020331450118587</v>
      </c>
      <c r="N502" s="340">
        <f t="shared" si="197"/>
        <v>6.3713518903603716E-2</v>
      </c>
      <c r="O502" s="341">
        <f t="shared" si="198"/>
        <v>1.0079795232500588</v>
      </c>
      <c r="P502" s="342">
        <f t="shared" si="199"/>
        <v>0.1531943153208194</v>
      </c>
      <c r="Q502" s="343">
        <f t="shared" si="200"/>
        <v>-2.1525655185042858</v>
      </c>
      <c r="R502" s="344">
        <f t="shared" si="201"/>
        <v>-76.083782322715109</v>
      </c>
      <c r="S502" s="346">
        <f t="shared" si="202"/>
        <v>103.91621767728489</v>
      </c>
      <c r="U502" s="319">
        <f t="shared" si="208"/>
        <v>64941</v>
      </c>
      <c r="V502" s="319">
        <f t="shared" si="209"/>
        <v>4217333481</v>
      </c>
      <c r="X502" s="345">
        <f t="shared" si="203"/>
        <v>4.9492283889875992</v>
      </c>
      <c r="Y502" s="346">
        <f t="shared" si="204"/>
        <v>-8.9421113149478693</v>
      </c>
      <c r="AA502" s="345">
        <f t="shared" si="205"/>
        <v>29.730956250603121</v>
      </c>
      <c r="AB502" s="346">
        <f t="shared" si="206"/>
        <v>-67.141671007767258</v>
      </c>
      <c r="AD502">
        <f t="shared" si="210"/>
        <v>0</v>
      </c>
      <c r="AE502">
        <f t="shared" si="213"/>
        <v>0</v>
      </c>
    </row>
    <row r="503" spans="1:31" x14ac:dyDescent="0.2">
      <c r="A503" s="347">
        <v>65317</v>
      </c>
      <c r="B503" s="364">
        <f t="shared" si="207"/>
        <v>65.316999999999993</v>
      </c>
      <c r="C503" s="337">
        <f t="shared" si="188"/>
        <v>1.9265711402684986</v>
      </c>
      <c r="D503" s="338">
        <f t="shared" si="189"/>
        <v>1.025049149631845</v>
      </c>
      <c r="E503" s="338">
        <f t="shared" si="190"/>
        <v>1.0000074410854247</v>
      </c>
      <c r="F503" s="339">
        <f t="shared" si="191"/>
        <v>3.8577297167307748E-3</v>
      </c>
      <c r="G503" s="338">
        <f t="shared" si="192"/>
        <v>1</v>
      </c>
      <c r="H503" s="339">
        <f t="shared" si="193"/>
        <v>0</v>
      </c>
      <c r="I503" s="337">
        <f t="shared" si="194"/>
        <v>472790.29315827764</v>
      </c>
      <c r="J503" s="340">
        <f t="shared" si="195"/>
        <v>1.5707942116922506</v>
      </c>
      <c r="K503" s="348">
        <f t="shared" si="211"/>
        <v>10.905099528594397</v>
      </c>
      <c r="L503" s="349">
        <f t="shared" si="212"/>
        <v>1.4789671036275187</v>
      </c>
      <c r="M503" s="337">
        <f t="shared" si="196"/>
        <v>1.0020567322304068</v>
      </c>
      <c r="N503" s="340">
        <f t="shared" si="197"/>
        <v>6.4081405779308376E-2</v>
      </c>
      <c r="O503" s="341">
        <f t="shared" si="198"/>
        <v>1.008071905802659</v>
      </c>
      <c r="P503" s="342">
        <f t="shared" si="199"/>
        <v>0.1540741229545517</v>
      </c>
      <c r="Q503" s="343">
        <f t="shared" si="200"/>
        <v>-2.1905673196442352</v>
      </c>
      <c r="R503" s="344">
        <f t="shared" si="201"/>
        <v>-76.270655334155762</v>
      </c>
      <c r="S503" s="346">
        <f t="shared" si="202"/>
        <v>103.72934466584424</v>
      </c>
      <c r="U503" s="319">
        <f t="shared" si="208"/>
        <v>65317</v>
      </c>
      <c r="V503" s="319">
        <f t="shared" si="209"/>
        <v>4266310489</v>
      </c>
      <c r="X503" s="345">
        <f t="shared" si="203"/>
        <v>4.948599841002892</v>
      </c>
      <c r="Y503" s="346">
        <f t="shared" si="204"/>
        <v>-8.9328998436278049</v>
      </c>
      <c r="AA503" s="345">
        <f t="shared" si="205"/>
        <v>29.693582997447876</v>
      </c>
      <c r="AB503" s="346">
        <f t="shared" si="206"/>
        <v>-67.337755490527982</v>
      </c>
      <c r="AD503">
        <f t="shared" si="210"/>
        <v>0</v>
      </c>
      <c r="AE503">
        <f t="shared" si="213"/>
        <v>0</v>
      </c>
    </row>
    <row r="504" spans="1:31" x14ac:dyDescent="0.2">
      <c r="A504" s="347">
        <v>65693</v>
      </c>
      <c r="B504" s="364">
        <f t="shared" si="207"/>
        <v>65.692999999999998</v>
      </c>
      <c r="C504" s="337">
        <f t="shared" si="188"/>
        <v>1.93467981088373</v>
      </c>
      <c r="D504" s="338">
        <f t="shared" si="189"/>
        <v>1.027592386794757</v>
      </c>
      <c r="E504" s="338">
        <f t="shared" si="190"/>
        <v>1.0000075270015119</v>
      </c>
      <c r="F504" s="339">
        <f t="shared" si="191"/>
        <v>3.8799366744600027E-3</v>
      </c>
      <c r="G504" s="338">
        <f t="shared" si="192"/>
        <v>1</v>
      </c>
      <c r="H504" s="339">
        <f t="shared" si="193"/>
        <v>0</v>
      </c>
      <c r="I504" s="337">
        <f t="shared" si="194"/>
        <v>475511.9299484964</v>
      </c>
      <c r="J504" s="340">
        <f t="shared" si="195"/>
        <v>1.5707942237982375</v>
      </c>
      <c r="K504" s="348">
        <f t="shared" si="211"/>
        <v>10.967348805024494</v>
      </c>
      <c r="L504" s="349">
        <f t="shared" si="212"/>
        <v>1.4794897720743427</v>
      </c>
      <c r="M504" s="337">
        <f t="shared" si="196"/>
        <v>1.0020804550616729</v>
      </c>
      <c r="N504" s="340">
        <f t="shared" si="197"/>
        <v>6.4449275286400459E-2</v>
      </c>
      <c r="O504" s="341">
        <f t="shared" si="198"/>
        <v>1.0081648151299112</v>
      </c>
      <c r="P504" s="342">
        <f t="shared" si="199"/>
        <v>0.15495380792692875</v>
      </c>
      <c r="Q504" s="343">
        <f t="shared" si="200"/>
        <v>-2.2284705590454061</v>
      </c>
      <c r="R504" s="344">
        <f t="shared" si="201"/>
        <v>-76.456633329070769</v>
      </c>
      <c r="S504" s="346">
        <f t="shared" si="202"/>
        <v>103.54336667092923</v>
      </c>
      <c r="U504" s="319">
        <f t="shared" si="208"/>
        <v>65693</v>
      </c>
      <c r="V504" s="319">
        <f t="shared" si="209"/>
        <v>4315570249</v>
      </c>
      <c r="X504" s="345">
        <f t="shared" si="203"/>
        <v>4.9479773430983576</v>
      </c>
      <c r="Y504" s="346">
        <f t="shared" si="204"/>
        <v>-8.9240312113198872</v>
      </c>
      <c r="AA504" s="345">
        <f t="shared" si="205"/>
        <v>29.656302255951246</v>
      </c>
      <c r="AB504" s="346">
        <f t="shared" si="206"/>
        <v>-67.532602117750884</v>
      </c>
      <c r="AD504">
        <f t="shared" si="210"/>
        <v>0</v>
      </c>
      <c r="AE504">
        <f t="shared" si="213"/>
        <v>0</v>
      </c>
    </row>
    <row r="505" spans="1:31" x14ac:dyDescent="0.2">
      <c r="A505" s="347">
        <v>66069</v>
      </c>
      <c r="B505" s="364">
        <f t="shared" si="207"/>
        <v>66.069000000000003</v>
      </c>
      <c r="C505" s="337">
        <f t="shared" si="188"/>
        <v>1.9428008906117249</v>
      </c>
      <c r="D505" s="338">
        <f t="shared" si="189"/>
        <v>1.0301143782436599</v>
      </c>
      <c r="E505" s="338">
        <f t="shared" si="190"/>
        <v>1.0000076134107512</v>
      </c>
      <c r="F505" s="339">
        <f t="shared" si="191"/>
        <v>3.9021436283624379E-3</v>
      </c>
      <c r="G505" s="338">
        <f t="shared" si="192"/>
        <v>1</v>
      </c>
      <c r="H505" s="339">
        <f t="shared" si="193"/>
        <v>0</v>
      </c>
      <c r="I505" s="337">
        <f t="shared" si="194"/>
        <v>478233.56673871522</v>
      </c>
      <c r="J505" s="340">
        <f t="shared" si="195"/>
        <v>1.5707942357664337</v>
      </c>
      <c r="K505" s="348">
        <f t="shared" si="211"/>
        <v>11.029601043720906</v>
      </c>
      <c r="L505" s="349">
        <f t="shared" si="212"/>
        <v>1.4800065406686602</v>
      </c>
      <c r="M505" s="337">
        <f t="shared" si="196"/>
        <v>1.0021043134960257</v>
      </c>
      <c r="N505" s="340">
        <f t="shared" si="197"/>
        <v>6.4817127326550927E-2</v>
      </c>
      <c r="O505" s="341">
        <f t="shared" si="198"/>
        <v>1.0082582511202862</v>
      </c>
      <c r="P505" s="342">
        <f t="shared" si="199"/>
        <v>0.15583336957385061</v>
      </c>
      <c r="Q505" s="343">
        <f t="shared" si="200"/>
        <v>-2.266275268359967</v>
      </c>
      <c r="R505" s="344">
        <f t="shared" si="201"/>
        <v>-76.641723996401964</v>
      </c>
      <c r="S505" s="346">
        <f t="shared" si="202"/>
        <v>103.35827600359804</v>
      </c>
      <c r="U505" s="319">
        <f t="shared" si="208"/>
        <v>66069</v>
      </c>
      <c r="V505" s="319">
        <f t="shared" si="209"/>
        <v>4365112761</v>
      </c>
      <c r="X505" s="345">
        <f t="shared" si="203"/>
        <v>4.947360732663773</v>
      </c>
      <c r="Y505" s="346">
        <f t="shared" si="204"/>
        <v>-8.9154996069838663</v>
      </c>
      <c r="AA505" s="345">
        <f t="shared" si="205"/>
        <v>29.619114157071266</v>
      </c>
      <c r="AB505" s="346">
        <f t="shared" si="206"/>
        <v>-67.726224389418093</v>
      </c>
      <c r="AD505">
        <f t="shared" si="210"/>
        <v>0</v>
      </c>
      <c r="AE505">
        <f t="shared" si="213"/>
        <v>0</v>
      </c>
    </row>
    <row r="506" spans="1:31" x14ac:dyDescent="0.2">
      <c r="A506" s="347">
        <v>66453.75</v>
      </c>
      <c r="B506" s="364">
        <f t="shared" si="207"/>
        <v>66.453749999999999</v>
      </c>
      <c r="C506" s="337">
        <f t="shared" si="188"/>
        <v>1.9511236422227962</v>
      </c>
      <c r="D506" s="338">
        <f t="shared" si="189"/>
        <v>1.0326733100660148</v>
      </c>
      <c r="E506" s="338">
        <f t="shared" si="190"/>
        <v>1.0000077023413445</v>
      </c>
      <c r="F506" s="339">
        <f t="shared" si="191"/>
        <v>3.9248673624472279E-3</v>
      </c>
      <c r="G506" s="338">
        <f t="shared" si="192"/>
        <v>1</v>
      </c>
      <c r="H506" s="339">
        <f t="shared" si="193"/>
        <v>0</v>
      </c>
      <c r="I506" s="337">
        <f t="shared" si="194"/>
        <v>481018.53949147247</v>
      </c>
      <c r="J506" s="340">
        <f t="shared" si="195"/>
        <v>1.5707942478729469</v>
      </c>
      <c r="K506" s="348">
        <f t="shared" si="211"/>
        <v>11.093304985929947</v>
      </c>
      <c r="L506" s="349">
        <f t="shared" si="212"/>
        <v>1.4805293310628438</v>
      </c>
      <c r="M506" s="337">
        <f t="shared" si="196"/>
        <v>1.0021288675097895</v>
      </c>
      <c r="N506" s="340">
        <f t="shared" si="197"/>
        <v>6.5193521569337845E-2</v>
      </c>
      <c r="O506" s="341">
        <f t="shared" si="198"/>
        <v>1.0083544065583874</v>
      </c>
      <c r="P506" s="342">
        <f t="shared" si="199"/>
        <v>0.1567332713873226</v>
      </c>
      <c r="Q506" s="343">
        <f t="shared" si="200"/>
        <v>-2.3048577914503516</v>
      </c>
      <c r="R506" s="344">
        <f t="shared" si="201"/>
        <v>-76.830211403970395</v>
      </c>
      <c r="S506" s="346">
        <f t="shared" si="202"/>
        <v>103.1697885960296</v>
      </c>
      <c r="U506" s="319">
        <f t="shared" si="208"/>
        <v>66453.75</v>
      </c>
      <c r="V506" s="319">
        <f t="shared" si="209"/>
        <v>4416100889.0625</v>
      </c>
      <c r="X506" s="345">
        <f t="shared" si="203"/>
        <v>4.9467357026382093</v>
      </c>
      <c r="Y506" s="346">
        <f t="shared" si="204"/>
        <v>-8.9071124190143962</v>
      </c>
      <c r="AA506" s="345">
        <f t="shared" si="205"/>
        <v>29.58115666400645</v>
      </c>
      <c r="AB506" s="346">
        <f t="shared" si="206"/>
        <v>-67.923098984955999</v>
      </c>
      <c r="AD506">
        <f t="shared" si="210"/>
        <v>0</v>
      </c>
      <c r="AE506">
        <f t="shared" si="213"/>
        <v>0</v>
      </c>
    </row>
    <row r="507" spans="1:31" x14ac:dyDescent="0.2">
      <c r="A507" s="347">
        <v>66838.5</v>
      </c>
      <c r="B507" s="364">
        <f t="shared" si="207"/>
        <v>66.838499999999996</v>
      </c>
      <c r="C507" s="337">
        <f t="shared" si="188"/>
        <v>1.9594590614673155</v>
      </c>
      <c r="D507" s="338">
        <f t="shared" si="189"/>
        <v>1.0352104873050754</v>
      </c>
      <c r="E507" s="338">
        <f t="shared" si="190"/>
        <v>1.0000077917883097</v>
      </c>
      <c r="F507" s="339">
        <f t="shared" si="191"/>
        <v>3.9475910924786457E-3</v>
      </c>
      <c r="G507" s="338">
        <f t="shared" si="192"/>
        <v>1</v>
      </c>
      <c r="H507" s="339">
        <f t="shared" si="193"/>
        <v>0</v>
      </c>
      <c r="I507" s="337">
        <f t="shared" si="194"/>
        <v>483803.51224422979</v>
      </c>
      <c r="J507" s="340">
        <f t="shared" si="195"/>
        <v>1.5707942598400799</v>
      </c>
      <c r="K507" s="348">
        <f t="shared" si="211"/>
        <v>11.157011925424444</v>
      </c>
      <c r="L507" s="349">
        <f t="shared" si="212"/>
        <v>1.4810461512930193</v>
      </c>
      <c r="M507" s="337">
        <f t="shared" si="196"/>
        <v>1.002153563490813</v>
      </c>
      <c r="N507" s="340">
        <f t="shared" si="197"/>
        <v>6.5569897314545086E-2</v>
      </c>
      <c r="O507" s="341">
        <f t="shared" si="198"/>
        <v>1.0084511132189089</v>
      </c>
      <c r="P507" s="342">
        <f t="shared" si="199"/>
        <v>0.15763304266400374</v>
      </c>
      <c r="Q507" s="343">
        <f t="shared" si="200"/>
        <v>-2.3433372518002815</v>
      </c>
      <c r="R507" s="344">
        <f t="shared" si="201"/>
        <v>-77.017785884136501</v>
      </c>
      <c r="S507" s="346">
        <f t="shared" si="202"/>
        <v>102.9822141158635</v>
      </c>
      <c r="U507" s="319">
        <f t="shared" si="208"/>
        <v>66838.5</v>
      </c>
      <c r="V507" s="319">
        <f t="shared" si="209"/>
        <v>4467385082.25</v>
      </c>
      <c r="X507" s="345">
        <f t="shared" si="203"/>
        <v>4.9461165072350575</v>
      </c>
      <c r="Y507" s="346">
        <f t="shared" si="204"/>
        <v>-8.8990662284268538</v>
      </c>
      <c r="AA507" s="345">
        <f t="shared" si="205"/>
        <v>29.543296399059674</v>
      </c>
      <c r="AB507" s="346">
        <f t="shared" si="206"/>
        <v>-68.118719655709683</v>
      </c>
      <c r="AD507">
        <f t="shared" si="210"/>
        <v>0</v>
      </c>
      <c r="AE507">
        <f t="shared" si="213"/>
        <v>0</v>
      </c>
    </row>
    <row r="508" spans="1:31" x14ac:dyDescent="0.2">
      <c r="A508" s="347">
        <v>67223.25</v>
      </c>
      <c r="B508" s="364">
        <f t="shared" si="207"/>
        <v>67.223249999999993</v>
      </c>
      <c r="C508" s="337">
        <f t="shared" si="188"/>
        <v>1.9678069873690818</v>
      </c>
      <c r="D508" s="338">
        <f t="shared" si="189"/>
        <v>1.0377261539521299</v>
      </c>
      <c r="E508" s="338">
        <f t="shared" si="190"/>
        <v>1.0000078817516467</v>
      </c>
      <c r="F508" s="339">
        <f t="shared" si="191"/>
        <v>3.9703148184332239E-3</v>
      </c>
      <c r="G508" s="338">
        <f t="shared" si="192"/>
        <v>1</v>
      </c>
      <c r="H508" s="339">
        <f t="shared" si="193"/>
        <v>0</v>
      </c>
      <c r="I508" s="337">
        <f t="shared" si="194"/>
        <v>486588.4849969871</v>
      </c>
      <c r="J508" s="340">
        <f t="shared" si="195"/>
        <v>1.5707942716702259</v>
      </c>
      <c r="K508" s="348">
        <f t="shared" si="211"/>
        <v>11.220721811152098</v>
      </c>
      <c r="L508" s="349">
        <f t="shared" si="212"/>
        <v>1.4815571027743022</v>
      </c>
      <c r="M508" s="337">
        <f t="shared" si="196"/>
        <v>1.0021784014286006</v>
      </c>
      <c r="N508" s="340">
        <f t="shared" si="197"/>
        <v>6.5946254456910311E-2</v>
      </c>
      <c r="O508" s="341">
        <f t="shared" si="198"/>
        <v>1.0085483709804428</v>
      </c>
      <c r="P508" s="342">
        <f t="shared" si="199"/>
        <v>0.158532682694635</v>
      </c>
      <c r="Q508" s="343">
        <f t="shared" si="200"/>
        <v>-2.3817137225509319</v>
      </c>
      <c r="R508" s="344">
        <f t="shared" si="201"/>
        <v>-77.204455559383177</v>
      </c>
      <c r="S508" s="346">
        <f t="shared" si="202"/>
        <v>102.79554444061682</v>
      </c>
      <c r="U508" s="319">
        <f t="shared" si="208"/>
        <v>67223.25</v>
      </c>
      <c r="V508" s="319">
        <f t="shared" si="209"/>
        <v>4518965340.5625</v>
      </c>
      <c r="X508" s="345">
        <f t="shared" si="203"/>
        <v>4.9455029865433842</v>
      </c>
      <c r="Y508" s="346">
        <f t="shared" si="204"/>
        <v>-8.8913552186691387</v>
      </c>
      <c r="AA508" s="345">
        <f t="shared" si="205"/>
        <v>29.505533449000691</v>
      </c>
      <c r="AB508" s="346">
        <f t="shared" si="206"/>
        <v>-68.31310034071403</v>
      </c>
      <c r="AD508">
        <f t="shared" si="210"/>
        <v>0</v>
      </c>
      <c r="AE508">
        <f t="shared" si="213"/>
        <v>0</v>
      </c>
    </row>
    <row r="509" spans="1:31" x14ac:dyDescent="0.2">
      <c r="A509" s="347">
        <v>67608</v>
      </c>
      <c r="B509" s="364">
        <f t="shared" si="207"/>
        <v>67.608000000000004</v>
      </c>
      <c r="C509" s="337">
        <f t="shared" si="188"/>
        <v>1.9761672614324366</v>
      </c>
      <c r="D509" s="338">
        <f t="shared" si="189"/>
        <v>1.0402205509679383</v>
      </c>
      <c r="E509" s="338">
        <f t="shared" si="190"/>
        <v>1.0000079722313555</v>
      </c>
      <c r="F509" s="339">
        <f t="shared" si="191"/>
        <v>3.993038540287497E-3</v>
      </c>
      <c r="G509" s="338">
        <f t="shared" si="192"/>
        <v>1</v>
      </c>
      <c r="H509" s="339">
        <f t="shared" si="193"/>
        <v>0</v>
      </c>
      <c r="I509" s="337">
        <f t="shared" si="194"/>
        <v>489373.45774974459</v>
      </c>
      <c r="J509" s="340">
        <f t="shared" si="195"/>
        <v>1.5707942833657238</v>
      </c>
      <c r="K509" s="348">
        <f t="shared" si="211"/>
        <v>11.284434593211204</v>
      </c>
      <c r="L509" s="349">
        <f t="shared" si="212"/>
        <v>1.4820622846438347</v>
      </c>
      <c r="M509" s="337">
        <f t="shared" si="196"/>
        <v>1.0022033813125979</v>
      </c>
      <c r="N509" s="340">
        <f t="shared" si="197"/>
        <v>6.6322592891202639E-2</v>
      </c>
      <c r="O509" s="341">
        <f t="shared" si="198"/>
        <v>1.0086461797209387</v>
      </c>
      <c r="P509" s="342">
        <f t="shared" si="199"/>
        <v>0.15943219077073731</v>
      </c>
      <c r="Q509" s="343">
        <f t="shared" si="200"/>
        <v>-2.4199872892559346</v>
      </c>
      <c r="R509" s="344">
        <f t="shared" si="201"/>
        <v>-77.390228509118245</v>
      </c>
      <c r="S509" s="346">
        <f t="shared" si="202"/>
        <v>102.60977149088176</v>
      </c>
      <c r="U509" s="319">
        <f t="shared" si="208"/>
        <v>67608</v>
      </c>
      <c r="V509" s="319">
        <f t="shared" si="209"/>
        <v>4570841664</v>
      </c>
      <c r="X509" s="345">
        <f t="shared" si="203"/>
        <v>4.9448949851597011</v>
      </c>
      <c r="Y509" s="346">
        <f t="shared" si="204"/>
        <v>-8.8839737037061415</v>
      </c>
      <c r="AA509" s="345">
        <f t="shared" si="205"/>
        <v>29.467867883679371</v>
      </c>
      <c r="AB509" s="346">
        <f t="shared" si="206"/>
        <v>-68.506254805412098</v>
      </c>
      <c r="AD509">
        <f t="shared" si="210"/>
        <v>0</v>
      </c>
      <c r="AE509">
        <f t="shared" si="213"/>
        <v>0</v>
      </c>
    </row>
    <row r="510" spans="1:31" x14ac:dyDescent="0.2">
      <c r="A510" s="347">
        <v>68001.75</v>
      </c>
      <c r="B510" s="364">
        <f t="shared" si="207"/>
        <v>68.001750000000001</v>
      </c>
      <c r="C510" s="337">
        <f t="shared" si="188"/>
        <v>1.9847357194499864</v>
      </c>
      <c r="D510" s="338">
        <f t="shared" si="189"/>
        <v>1.0427515229785058</v>
      </c>
      <c r="E510" s="338">
        <f t="shared" si="190"/>
        <v>1.0000080653621797</v>
      </c>
      <c r="F510" s="339">
        <f t="shared" si="191"/>
        <v>4.0162938069212093E-3</v>
      </c>
      <c r="G510" s="338">
        <f t="shared" si="192"/>
        <v>1</v>
      </c>
      <c r="H510" s="339">
        <f t="shared" si="193"/>
        <v>0</v>
      </c>
      <c r="I510" s="337">
        <f t="shared" si="194"/>
        <v>492223.5760639701</v>
      </c>
      <c r="J510" s="340">
        <f t="shared" si="195"/>
        <v>1.5707942951977756</v>
      </c>
      <c r="K510" s="348">
        <f t="shared" si="211"/>
        <v>11.349640680599418</v>
      </c>
      <c r="L510" s="349">
        <f t="shared" si="212"/>
        <v>1.4825734111195128</v>
      </c>
      <c r="M510" s="337">
        <f t="shared" si="196"/>
        <v>1.0022290924759054</v>
      </c>
      <c r="N510" s="340">
        <f t="shared" si="197"/>
        <v>6.6707715084340868E-2</v>
      </c>
      <c r="O510" s="341">
        <f t="shared" si="198"/>
        <v>1.0087468467194622</v>
      </c>
      <c r="P510" s="342">
        <f t="shared" si="199"/>
        <v>0.16035260261238471</v>
      </c>
      <c r="Q510" s="343">
        <f t="shared" si="200"/>
        <v>-2.4590497030835392</v>
      </c>
      <c r="R510" s="344">
        <f t="shared" si="201"/>
        <v>-77.579426973252907</v>
      </c>
      <c r="S510" s="346">
        <f t="shared" si="202"/>
        <v>102.42057302674709</v>
      </c>
      <c r="U510" s="319">
        <f t="shared" si="208"/>
        <v>68001.75</v>
      </c>
      <c r="V510" s="319">
        <f t="shared" si="209"/>
        <v>4624238003.0625</v>
      </c>
      <c r="X510" s="345">
        <f t="shared" si="203"/>
        <v>4.9442783184173997</v>
      </c>
      <c r="Y510" s="346">
        <f t="shared" si="204"/>
        <v>-8.876754868034423</v>
      </c>
      <c r="AA510" s="345">
        <f t="shared" si="205"/>
        <v>29.42942213659407</v>
      </c>
      <c r="AB510" s="346">
        <f t="shared" si="206"/>
        <v>-68.702672105218497</v>
      </c>
      <c r="AD510">
        <f t="shared" si="210"/>
        <v>0</v>
      </c>
      <c r="AE510">
        <f t="shared" si="213"/>
        <v>0</v>
      </c>
    </row>
    <row r="511" spans="1:31" x14ac:dyDescent="0.2">
      <c r="A511" s="347">
        <v>68395.5</v>
      </c>
      <c r="B511" s="364">
        <f t="shared" si="207"/>
        <v>68.395499999999998</v>
      </c>
      <c r="C511" s="337">
        <f t="shared" si="188"/>
        <v>1.9933167819752668</v>
      </c>
      <c r="D511" s="338">
        <f t="shared" si="189"/>
        <v>1.0452607197005843</v>
      </c>
      <c r="E511" s="338">
        <f t="shared" si="190"/>
        <v>1.0000081590338159</v>
      </c>
      <c r="F511" s="339">
        <f t="shared" si="191"/>
        <v>4.0395490692108158E-3</v>
      </c>
      <c r="G511" s="338">
        <f t="shared" si="192"/>
        <v>1</v>
      </c>
      <c r="H511" s="339">
        <f t="shared" si="193"/>
        <v>0</v>
      </c>
      <c r="I511" s="337">
        <f t="shared" si="194"/>
        <v>495073.69437819574</v>
      </c>
      <c r="J511" s="340">
        <f t="shared" si="195"/>
        <v>1.5707943068935943</v>
      </c>
      <c r="K511" s="348">
        <f t="shared" si="211"/>
        <v>11.414849699208338</v>
      </c>
      <c r="L511" s="349">
        <f t="shared" si="212"/>
        <v>1.4830786979546378</v>
      </c>
      <c r="M511" s="337">
        <f t="shared" si="196"/>
        <v>1.0022549522812938</v>
      </c>
      <c r="N511" s="340">
        <f t="shared" si="197"/>
        <v>6.7092817461038706E-2</v>
      </c>
      <c r="O511" s="341">
        <f t="shared" si="198"/>
        <v>1.0088480905145241</v>
      </c>
      <c r="P511" s="342">
        <f t="shared" si="199"/>
        <v>0.16127287475512753</v>
      </c>
      <c r="Q511" s="343">
        <f t="shared" si="200"/>
        <v>-2.4980045617567437</v>
      </c>
      <c r="R511" s="344">
        <f t="shared" si="201"/>
        <v>-77.767703244903259</v>
      </c>
      <c r="S511" s="346">
        <f t="shared" si="202"/>
        <v>102.23229675509674</v>
      </c>
      <c r="U511" s="319">
        <f t="shared" si="208"/>
        <v>68395.5</v>
      </c>
      <c r="V511" s="319">
        <f t="shared" si="209"/>
        <v>4677944420.25</v>
      </c>
      <c r="X511" s="345">
        <f t="shared" si="203"/>
        <v>4.9436671167049582</v>
      </c>
      <c r="Y511" s="346">
        <f t="shared" si="204"/>
        <v>-8.869869475916671</v>
      </c>
      <c r="AA511" s="345">
        <f t="shared" si="205"/>
        <v>29.391078479633311</v>
      </c>
      <c r="AB511" s="346">
        <f t="shared" si="206"/>
        <v>-68.897833768986615</v>
      </c>
      <c r="AD511">
        <f t="shared" si="210"/>
        <v>0</v>
      </c>
      <c r="AE511">
        <f t="shared" si="213"/>
        <v>0</v>
      </c>
    </row>
    <row r="512" spans="1:31" x14ac:dyDescent="0.2">
      <c r="A512" s="347">
        <v>68789.25</v>
      </c>
      <c r="B512" s="364">
        <f t="shared" si="207"/>
        <v>68.789249999999996</v>
      </c>
      <c r="C512" s="337">
        <f t="shared" si="188"/>
        <v>2.0019102869229952</v>
      </c>
      <c r="D512" s="338">
        <f t="shared" si="189"/>
        <v>1.0477483897548749</v>
      </c>
      <c r="E512" s="338">
        <f t="shared" si="190"/>
        <v>1.0000082532462633</v>
      </c>
      <c r="F512" s="339">
        <f t="shared" si="191"/>
        <v>4.0628043271311639E-3</v>
      </c>
      <c r="G512" s="338">
        <f t="shared" si="192"/>
        <v>1</v>
      </c>
      <c r="H512" s="339">
        <f t="shared" si="193"/>
        <v>0</v>
      </c>
      <c r="I512" s="337">
        <f t="shared" si="194"/>
        <v>497923.81269242143</v>
      </c>
      <c r="J512" s="340">
        <f t="shared" si="195"/>
        <v>1.5707943184555191</v>
      </c>
      <c r="K512" s="348">
        <f t="shared" si="211"/>
        <v>11.480061599088224</v>
      </c>
      <c r="L512" s="349">
        <f t="shared" si="212"/>
        <v>1.4835782444043055</v>
      </c>
      <c r="M512" s="337">
        <f t="shared" si="196"/>
        <v>1.002280960717258</v>
      </c>
      <c r="N512" s="340">
        <f t="shared" si="197"/>
        <v>6.7477899908610084E-2</v>
      </c>
      <c r="O512" s="341">
        <f t="shared" si="198"/>
        <v>1.0089499109732238</v>
      </c>
      <c r="P512" s="342">
        <f t="shared" si="199"/>
        <v>0.1621930064421595</v>
      </c>
      <c r="Q512" s="343">
        <f t="shared" si="200"/>
        <v>-2.5368519947949633</v>
      </c>
      <c r="R512" s="344">
        <f t="shared" si="201"/>
        <v>-77.955065832405367</v>
      </c>
      <c r="S512" s="346">
        <f t="shared" si="202"/>
        <v>102.04493416759463</v>
      </c>
      <c r="U512" s="319">
        <f t="shared" si="208"/>
        <v>68789.25</v>
      </c>
      <c r="V512" s="319">
        <f t="shared" si="209"/>
        <v>4731960915.5625</v>
      </c>
      <c r="X512" s="345">
        <f t="shared" si="203"/>
        <v>4.9430612271523042</v>
      </c>
      <c r="Y512" s="346">
        <f t="shared" si="204"/>
        <v>-8.8633118341323645</v>
      </c>
      <c r="AA512" s="345">
        <f t="shared" si="205"/>
        <v>29.352836936147742</v>
      </c>
      <c r="AB512" s="346">
        <f t="shared" si="206"/>
        <v>-69.091753998273006</v>
      </c>
      <c r="AD512">
        <f t="shared" si="210"/>
        <v>0</v>
      </c>
      <c r="AE512">
        <f t="shared" si="213"/>
        <v>0</v>
      </c>
    </row>
    <row r="513" spans="1:31" x14ac:dyDescent="0.2">
      <c r="A513" s="347">
        <v>69183</v>
      </c>
      <c r="B513" s="364">
        <f t="shared" si="207"/>
        <v>69.183000000000007</v>
      </c>
      <c r="C513" s="337">
        <f t="shared" si="188"/>
        <v>2.0105160747460551</v>
      </c>
      <c r="D513" s="338">
        <f t="shared" si="189"/>
        <v>1.050214778580306</v>
      </c>
      <c r="E513" s="338">
        <f t="shared" si="190"/>
        <v>1.0000083479995221</v>
      </c>
      <c r="F513" s="339">
        <f t="shared" si="191"/>
        <v>4.0860595806571035E-3</v>
      </c>
      <c r="G513" s="338">
        <f t="shared" si="192"/>
        <v>1</v>
      </c>
      <c r="H513" s="339">
        <f t="shared" si="193"/>
        <v>0</v>
      </c>
      <c r="I513" s="337">
        <f t="shared" si="194"/>
        <v>500773.93100664712</v>
      </c>
      <c r="J513" s="340">
        <f t="shared" si="195"/>
        <v>1.5707943298858362</v>
      </c>
      <c r="K513" s="348">
        <f t="shared" si="211"/>
        <v>11.545276331415691</v>
      </c>
      <c r="L513" s="349">
        <f t="shared" si="212"/>
        <v>1.4840721474926091</v>
      </c>
      <c r="M513" s="337">
        <f t="shared" si="196"/>
        <v>1.002307117772228</v>
      </c>
      <c r="N513" s="340">
        <f t="shared" si="197"/>
        <v>6.7862962314404279E-2</v>
      </c>
      <c r="O513" s="341">
        <f t="shared" si="198"/>
        <v>1.0090523079619618</v>
      </c>
      <c r="P513" s="342">
        <f t="shared" si="199"/>
        <v>0.16311299691754702</v>
      </c>
      <c r="Q513" s="343">
        <f t="shared" si="200"/>
        <v>-2.5755921436377331</v>
      </c>
      <c r="R513" s="344">
        <f t="shared" si="201"/>
        <v>-78.141523189669087</v>
      </c>
      <c r="S513" s="346">
        <f t="shared" si="202"/>
        <v>101.85847681033091</v>
      </c>
      <c r="U513" s="319">
        <f t="shared" si="208"/>
        <v>69183</v>
      </c>
      <c r="V513" s="319">
        <f t="shared" si="209"/>
        <v>4786287489</v>
      </c>
      <c r="X513" s="345">
        <f t="shared" si="203"/>
        <v>4.9424605012011664</v>
      </c>
      <c r="Y513" s="346">
        <f t="shared" si="204"/>
        <v>-8.8570763772870578</v>
      </c>
      <c r="AA513" s="345">
        <f t="shared" si="205"/>
        <v>29.31469751325611</v>
      </c>
      <c r="AB513" s="346">
        <f t="shared" si="206"/>
        <v>-69.284446812382015</v>
      </c>
      <c r="AD513">
        <f t="shared" si="210"/>
        <v>0</v>
      </c>
      <c r="AE513">
        <f t="shared" si="213"/>
        <v>0</v>
      </c>
    </row>
    <row r="514" spans="1:31" x14ac:dyDescent="0.2">
      <c r="A514" s="347">
        <v>69586</v>
      </c>
      <c r="B514" s="364">
        <f t="shared" si="207"/>
        <v>69.585999999999999</v>
      </c>
      <c r="C514" s="337">
        <f t="shared" si="188"/>
        <v>2.0193365854836061</v>
      </c>
      <c r="D514" s="338">
        <f t="shared" si="189"/>
        <v>1.0527173238011935</v>
      </c>
      <c r="E514" s="338">
        <f t="shared" si="190"/>
        <v>1.0000084455387483</v>
      </c>
      <c r="F514" s="339">
        <f t="shared" si="191"/>
        <v>4.1098611434986759E-3</v>
      </c>
      <c r="G514" s="338">
        <f t="shared" si="192"/>
        <v>1</v>
      </c>
      <c r="H514" s="339">
        <f t="shared" si="193"/>
        <v>0</v>
      </c>
      <c r="I514" s="337">
        <f t="shared" si="194"/>
        <v>503691.00448127062</v>
      </c>
      <c r="J514" s="340">
        <f t="shared" si="195"/>
        <v>1.5707943414507251</v>
      </c>
      <c r="K514" s="348">
        <f t="shared" si="211"/>
        <v>11.6120259756108</v>
      </c>
      <c r="L514" s="349">
        <f t="shared" si="212"/>
        <v>1.484571908583856</v>
      </c>
      <c r="M514" s="337">
        <f t="shared" si="196"/>
        <v>1.0023340431953165</v>
      </c>
      <c r="N514" s="340">
        <f t="shared" si="197"/>
        <v>6.8257049759614663E-2</v>
      </c>
      <c r="O514" s="341">
        <f t="shared" si="198"/>
        <v>1.0091577073320444</v>
      </c>
      <c r="P514" s="342">
        <f t="shared" si="199"/>
        <v>0.16405445285296544</v>
      </c>
      <c r="Q514" s="343">
        <f t="shared" si="200"/>
        <v>-2.6151314439239188</v>
      </c>
      <c r="R514" s="344">
        <f t="shared" si="201"/>
        <v>-78.331432200379609</v>
      </c>
      <c r="S514" s="346">
        <f t="shared" si="202"/>
        <v>101.66856779962039</v>
      </c>
      <c r="U514" s="319">
        <f t="shared" si="208"/>
        <v>69586</v>
      </c>
      <c r="V514" s="319">
        <f t="shared" si="209"/>
        <v>4842211396</v>
      </c>
      <c r="X514" s="345">
        <f t="shared" si="203"/>
        <v>4.9418508592746111</v>
      </c>
      <c r="Y514" s="346">
        <f t="shared" si="204"/>
        <v>-8.8510223859758081</v>
      </c>
      <c r="AA514" s="345">
        <f t="shared" si="205"/>
        <v>29.275767854896479</v>
      </c>
      <c r="AB514" s="346">
        <f t="shared" si="206"/>
        <v>-69.480409814403799</v>
      </c>
      <c r="AD514">
        <f t="shared" si="210"/>
        <v>0</v>
      </c>
      <c r="AE514">
        <f t="shared" si="213"/>
        <v>0</v>
      </c>
    </row>
    <row r="515" spans="1:31" x14ac:dyDescent="0.2">
      <c r="A515" s="347">
        <v>69989</v>
      </c>
      <c r="B515" s="364">
        <f t="shared" si="207"/>
        <v>69.989000000000004</v>
      </c>
      <c r="C515" s="337">
        <f t="shared" si="188"/>
        <v>2.028169632740382</v>
      </c>
      <c r="D515" s="338">
        <f t="shared" si="189"/>
        <v>1.0551980863676602</v>
      </c>
      <c r="E515" s="338">
        <f t="shared" si="190"/>
        <v>1.0000085436444934</v>
      </c>
      <c r="F515" s="339">
        <f t="shared" si="191"/>
        <v>4.1336627016836328E-3</v>
      </c>
      <c r="G515" s="338">
        <f t="shared" si="192"/>
        <v>1</v>
      </c>
      <c r="H515" s="339">
        <f t="shared" si="193"/>
        <v>0</v>
      </c>
      <c r="I515" s="337">
        <f t="shared" si="194"/>
        <v>506608.07795589417</v>
      </c>
      <c r="J515" s="340">
        <f t="shared" si="195"/>
        <v>1.5707943528824315</v>
      </c>
      <c r="K515" s="348">
        <f t="shared" si="211"/>
        <v>11.678778486886076</v>
      </c>
      <c r="L515" s="349">
        <f t="shared" si="212"/>
        <v>1.485065956818366</v>
      </c>
      <c r="M515" s="337">
        <f t="shared" si="196"/>
        <v>1.0023611242774308</v>
      </c>
      <c r="N515" s="340">
        <f t="shared" si="197"/>
        <v>6.8651115971672394E-2</v>
      </c>
      <c r="O515" s="341">
        <f t="shared" si="198"/>
        <v>1.0092637103526689</v>
      </c>
      <c r="P515" s="342">
        <f t="shared" si="199"/>
        <v>0.16499575926458121</v>
      </c>
      <c r="Q515" s="343">
        <f t="shared" si="200"/>
        <v>-2.6545586964774435</v>
      </c>
      <c r="R515" s="344">
        <f t="shared" si="201"/>
        <v>-78.520410688487303</v>
      </c>
      <c r="S515" s="346">
        <f t="shared" si="202"/>
        <v>101.4795893115127</v>
      </c>
      <c r="U515" s="319">
        <f t="shared" si="208"/>
        <v>69989</v>
      </c>
      <c r="V515" s="319">
        <f t="shared" si="209"/>
        <v>4898460121</v>
      </c>
      <c r="X515" s="345">
        <f t="shared" si="203"/>
        <v>4.9412463247277447</v>
      </c>
      <c r="Y515" s="346">
        <f t="shared" si="204"/>
        <v>-8.8452944930440971</v>
      </c>
      <c r="AA515" s="345">
        <f t="shared" si="205"/>
        <v>29.236945136889823</v>
      </c>
      <c r="AB515" s="346">
        <f t="shared" si="206"/>
        <v>-69.675116195443209</v>
      </c>
      <c r="AD515">
        <f t="shared" si="210"/>
        <v>0</v>
      </c>
      <c r="AE515">
        <f t="shared" si="213"/>
        <v>0</v>
      </c>
    </row>
    <row r="516" spans="1:31" x14ac:dyDescent="0.2">
      <c r="A516" s="347">
        <v>70392</v>
      </c>
      <c r="B516" s="364">
        <f t="shared" si="207"/>
        <v>70.391999999999996</v>
      </c>
      <c r="C516" s="337">
        <f t="shared" si="188"/>
        <v>2.0370150534311944</v>
      </c>
      <c r="D516" s="338">
        <f t="shared" si="189"/>
        <v>1.0576573193090799</v>
      </c>
      <c r="E516" s="338">
        <f t="shared" si="190"/>
        <v>1.0000086423167573</v>
      </c>
      <c r="F516" s="339">
        <f t="shared" si="191"/>
        <v>4.1574642551850064E-3</v>
      </c>
      <c r="G516" s="338">
        <f t="shared" si="192"/>
        <v>1</v>
      </c>
      <c r="H516" s="339">
        <f t="shared" si="193"/>
        <v>0</v>
      </c>
      <c r="I516" s="337">
        <f t="shared" si="194"/>
        <v>509525.15143051778</v>
      </c>
      <c r="J516" s="340">
        <f t="shared" si="195"/>
        <v>1.5707943641832429</v>
      </c>
      <c r="K516" s="348">
        <f t="shared" si="211"/>
        <v>11.74553381635873</v>
      </c>
      <c r="L516" s="349">
        <f t="shared" si="212"/>
        <v>1.485554389359343</v>
      </c>
      <c r="M516" s="337">
        <f t="shared" si="196"/>
        <v>1.0023883610059547</v>
      </c>
      <c r="N516" s="340">
        <f t="shared" si="197"/>
        <v>6.9045160829915742E-2</v>
      </c>
      <c r="O516" s="341">
        <f t="shared" si="198"/>
        <v>1.0093703168783263</v>
      </c>
      <c r="P516" s="342">
        <f t="shared" si="199"/>
        <v>0.16593691534479055</v>
      </c>
      <c r="Q516" s="343">
        <f t="shared" si="200"/>
        <v>-2.6938740891243187</v>
      </c>
      <c r="R516" s="344">
        <f t="shared" si="201"/>
        <v>-78.708467531412822</v>
      </c>
      <c r="S516" s="346">
        <f t="shared" si="202"/>
        <v>101.29153246858718</v>
      </c>
      <c r="U516" s="319">
        <f t="shared" si="208"/>
        <v>70392</v>
      </c>
      <c r="V516" s="319">
        <f t="shared" si="209"/>
        <v>4955033664</v>
      </c>
      <c r="X516" s="345">
        <f t="shared" si="203"/>
        <v>4.9406467513900871</v>
      </c>
      <c r="Y516" s="346">
        <f t="shared" si="204"/>
        <v>-8.8398871246680528</v>
      </c>
      <c r="AA516" s="345">
        <f t="shared" si="205"/>
        <v>29.198229317580605</v>
      </c>
      <c r="AB516" s="346">
        <f t="shared" si="206"/>
        <v>-69.868580406744769</v>
      </c>
      <c r="AD516">
        <f t="shared" si="210"/>
        <v>0</v>
      </c>
      <c r="AE516">
        <f t="shared" si="213"/>
        <v>0</v>
      </c>
    </row>
    <row r="517" spans="1:31" x14ac:dyDescent="0.2">
      <c r="A517" s="347">
        <v>70795</v>
      </c>
      <c r="B517" s="364">
        <f t="shared" si="207"/>
        <v>70.795000000000002</v>
      </c>
      <c r="C517" s="337">
        <f t="shared" si="188"/>
        <v>2.0458726870647865</v>
      </c>
      <c r="D517" s="338">
        <f t="shared" si="189"/>
        <v>1.0600952723237165</v>
      </c>
      <c r="E517" s="338">
        <f t="shared" si="190"/>
        <v>1.0000087415555403</v>
      </c>
      <c r="F517" s="339">
        <f t="shared" si="191"/>
        <v>4.1812658039758312E-3</v>
      </c>
      <c r="G517" s="338">
        <f t="shared" si="192"/>
        <v>1</v>
      </c>
      <c r="H517" s="339">
        <f t="shared" si="193"/>
        <v>0</v>
      </c>
      <c r="I517" s="337">
        <f t="shared" si="194"/>
        <v>512442.22490514145</v>
      </c>
      <c r="J517" s="340">
        <f t="shared" si="195"/>
        <v>1.570794375355395</v>
      </c>
      <c r="K517" s="348">
        <f t="shared" si="211"/>
        <v>11.812291916248956</v>
      </c>
      <c r="L517" s="349">
        <f t="shared" si="212"/>
        <v>1.4860373011843473</v>
      </c>
      <c r="M517" s="337">
        <f t="shared" si="196"/>
        <v>1.002415753368201</v>
      </c>
      <c r="N517" s="340">
        <f t="shared" si="197"/>
        <v>6.9439184213722596E-2</v>
      </c>
      <c r="O517" s="341">
        <f t="shared" si="198"/>
        <v>1.0094775267627447</v>
      </c>
      <c r="P517" s="342">
        <f t="shared" si="199"/>
        <v>0.16687792028696544</v>
      </c>
      <c r="Q517" s="343">
        <f t="shared" si="200"/>
        <v>-2.7330778210448754</v>
      </c>
      <c r="R517" s="344">
        <f t="shared" si="201"/>
        <v>-78.895611541001557</v>
      </c>
      <c r="S517" s="346">
        <f t="shared" si="202"/>
        <v>101.10438845899844</v>
      </c>
      <c r="U517" s="319">
        <f t="shared" si="208"/>
        <v>70795</v>
      </c>
      <c r="V517" s="319">
        <f t="shared" si="209"/>
        <v>5011932025</v>
      </c>
      <c r="X517" s="345">
        <f t="shared" si="203"/>
        <v>4.9400519972170978</v>
      </c>
      <c r="Y517" s="346">
        <f t="shared" si="204"/>
        <v>-8.8347948322512924</v>
      </c>
      <c r="AA517" s="345">
        <f t="shared" si="205"/>
        <v>29.159620339833037</v>
      </c>
      <c r="AB517" s="346">
        <f t="shared" si="206"/>
        <v>-70.060816708750281</v>
      </c>
      <c r="AD517">
        <f t="shared" si="210"/>
        <v>0</v>
      </c>
      <c r="AE517">
        <f t="shared" si="213"/>
        <v>0</v>
      </c>
    </row>
    <row r="518" spans="1:31" x14ac:dyDescent="0.2">
      <c r="A518" s="347">
        <v>71207.25</v>
      </c>
      <c r="B518" s="364">
        <f t="shared" si="207"/>
        <v>71.207250000000002</v>
      </c>
      <c r="C518" s="337">
        <f t="shared" si="188"/>
        <v>2.0549461006507452</v>
      </c>
      <c r="D518" s="338">
        <f t="shared" si="189"/>
        <v>1.0625674220193932</v>
      </c>
      <c r="E518" s="338">
        <f t="shared" si="190"/>
        <v>1.000008843658309</v>
      </c>
      <c r="F518" s="339">
        <f t="shared" si="191"/>
        <v>4.205613661329371E-3</v>
      </c>
      <c r="G518" s="338">
        <f t="shared" si="192"/>
        <v>1</v>
      </c>
      <c r="H518" s="339">
        <f t="shared" si="193"/>
        <v>0</v>
      </c>
      <c r="I518" s="337">
        <f t="shared" si="194"/>
        <v>515426.25354016287</v>
      </c>
      <c r="J518" s="340">
        <f t="shared" si="195"/>
        <v>1.570794386653134</v>
      </c>
      <c r="K518" s="348">
        <f t="shared" si="211"/>
        <v>11.880585122871647</v>
      </c>
      <c r="L518" s="349">
        <f t="shared" si="212"/>
        <v>1.4865256817661014</v>
      </c>
      <c r="M518" s="337">
        <f t="shared" si="196"/>
        <v>1.002443935483101</v>
      </c>
      <c r="N518" s="340">
        <f t="shared" si="197"/>
        <v>6.9842229213409573E-2</v>
      </c>
      <c r="O518" s="341">
        <f t="shared" si="198"/>
        <v>1.009587821557544</v>
      </c>
      <c r="P518" s="342">
        <f t="shared" si="199"/>
        <v>0.16784036675642322</v>
      </c>
      <c r="Q518" s="343">
        <f t="shared" si="200"/>
        <v>-2.773066075088801</v>
      </c>
      <c r="R518" s="344">
        <f t="shared" si="201"/>
        <v>-79.086115654964757</v>
      </c>
      <c r="S518" s="346">
        <f t="shared" si="202"/>
        <v>100.91388434503524</v>
      </c>
      <c r="U518" s="319">
        <f t="shared" si="208"/>
        <v>71207.25</v>
      </c>
      <c r="V518" s="319">
        <f t="shared" si="209"/>
        <v>5070472452.5625</v>
      </c>
      <c r="X518" s="345">
        <f t="shared" si="203"/>
        <v>4.93944843417672</v>
      </c>
      <c r="Y518" s="346">
        <f t="shared" si="204"/>
        <v>-8.8299061108637265</v>
      </c>
      <c r="AA518" s="345">
        <f t="shared" si="205"/>
        <v>29.120235648829489</v>
      </c>
      <c r="AB518" s="346">
        <f t="shared" si="206"/>
        <v>-70.25620954410104</v>
      </c>
      <c r="AD518">
        <f t="shared" si="210"/>
        <v>0</v>
      </c>
      <c r="AE518">
        <f t="shared" si="213"/>
        <v>0</v>
      </c>
    </row>
    <row r="519" spans="1:31" x14ac:dyDescent="0.2">
      <c r="A519" s="347">
        <v>71619.5</v>
      </c>
      <c r="B519" s="364">
        <f t="shared" si="207"/>
        <v>71.619500000000002</v>
      </c>
      <c r="C519" s="337">
        <f t="shared" si="188"/>
        <v>2.0640319626282437</v>
      </c>
      <c r="D519" s="338">
        <f t="shared" si="189"/>
        <v>1.065017821791318</v>
      </c>
      <c r="E519" s="338">
        <f t="shared" si="190"/>
        <v>1.0000089463539008</v>
      </c>
      <c r="F519" s="339">
        <f t="shared" si="191"/>
        <v>4.2299615136965549E-3</v>
      </c>
      <c r="G519" s="338">
        <f t="shared" si="192"/>
        <v>1</v>
      </c>
      <c r="H519" s="339">
        <f t="shared" si="193"/>
        <v>0</v>
      </c>
      <c r="I519" s="337">
        <f t="shared" si="194"/>
        <v>518410.2821751844</v>
      </c>
      <c r="J519" s="340">
        <f t="shared" si="195"/>
        <v>1.570794397820811</v>
      </c>
      <c r="K519" s="348">
        <f t="shared" si="211"/>
        <v>11.948881130806965</v>
      </c>
      <c r="L519" s="349">
        <f t="shared" si="212"/>
        <v>1.4870084796054592</v>
      </c>
      <c r="M519" s="337">
        <f t="shared" si="196"/>
        <v>1.0024722804311073</v>
      </c>
      <c r="N519" s="340">
        <f t="shared" si="197"/>
        <v>7.0245251486332219E-2</v>
      </c>
      <c r="O519" s="341">
        <f t="shared" si="198"/>
        <v>1.0096987474145034</v>
      </c>
      <c r="P519" s="342">
        <f t="shared" si="199"/>
        <v>0.16880265336573239</v>
      </c>
      <c r="Q519" s="343">
        <f t="shared" si="200"/>
        <v>-2.8129379399829242</v>
      </c>
      <c r="R519" s="344">
        <f t="shared" si="201"/>
        <v>-79.275682989042764</v>
      </c>
      <c r="S519" s="346">
        <f t="shared" si="202"/>
        <v>100.72431701095724</v>
      </c>
      <c r="U519" s="319">
        <f t="shared" si="208"/>
        <v>71619.5</v>
      </c>
      <c r="V519" s="319">
        <f t="shared" si="209"/>
        <v>5129352780.25</v>
      </c>
      <c r="X519" s="345">
        <f t="shared" si="203"/>
        <v>4.9388496260033419</v>
      </c>
      <c r="Y519" s="346">
        <f t="shared" si="204"/>
        <v>-8.8253359474542723</v>
      </c>
      <c r="AA519" s="345">
        <f t="shared" si="205"/>
        <v>29.08096259210874</v>
      </c>
      <c r="AB519" s="346">
        <f t="shared" si="206"/>
        <v>-70.4503470415885</v>
      </c>
      <c r="AD519">
        <f t="shared" si="210"/>
        <v>0</v>
      </c>
      <c r="AE519">
        <f t="shared" si="213"/>
        <v>0</v>
      </c>
    </row>
    <row r="520" spans="1:31" x14ac:dyDescent="0.2">
      <c r="A520" s="347">
        <v>72031.75</v>
      </c>
      <c r="B520" s="364">
        <f t="shared" si="207"/>
        <v>72.031750000000002</v>
      </c>
      <c r="C520" s="337">
        <f t="shared" si="188"/>
        <v>2.0731301093254104</v>
      </c>
      <c r="D520" s="338">
        <f t="shared" si="189"/>
        <v>1.0674467283735385</v>
      </c>
      <c r="E520" s="338">
        <f t="shared" si="190"/>
        <v>1.000009049642316</v>
      </c>
      <c r="F520" s="339">
        <f t="shared" si="191"/>
        <v>4.2543093610485153E-3</v>
      </c>
      <c r="G520" s="338">
        <f t="shared" si="192"/>
        <v>1</v>
      </c>
      <c r="H520" s="339">
        <f t="shared" si="193"/>
        <v>0</v>
      </c>
      <c r="I520" s="337">
        <f t="shared" si="194"/>
        <v>521394.31081020593</v>
      </c>
      <c r="J520" s="340">
        <f t="shared" si="195"/>
        <v>1.5707944088606589</v>
      </c>
      <c r="K520" s="348">
        <f t="shared" si="211"/>
        <v>12.017179892293669</v>
      </c>
      <c r="L520" s="349">
        <f t="shared" si="212"/>
        <v>1.4874857896627272</v>
      </c>
      <c r="M520" s="337">
        <f t="shared" si="196"/>
        <v>1.0025007881984078</v>
      </c>
      <c r="N520" s="340">
        <f t="shared" si="197"/>
        <v>7.0648250903500465E-2</v>
      </c>
      <c r="O520" s="341">
        <f t="shared" si="198"/>
        <v>1.0098103041745754</v>
      </c>
      <c r="P520" s="342">
        <f t="shared" si="199"/>
        <v>0.16976477925463732</v>
      </c>
      <c r="Q520" s="343">
        <f t="shared" si="200"/>
        <v>-2.8526936631840742</v>
      </c>
      <c r="R520" s="344">
        <f t="shared" si="201"/>
        <v>-79.464322755638193</v>
      </c>
      <c r="S520" s="346">
        <f t="shared" si="202"/>
        <v>100.53567724436181</v>
      </c>
      <c r="U520" s="319">
        <f t="shared" si="208"/>
        <v>72031.75</v>
      </c>
      <c r="V520" s="319">
        <f t="shared" si="209"/>
        <v>5188573008.0625</v>
      </c>
      <c r="X520" s="345">
        <f t="shared" si="203"/>
        <v>4.9382554331623947</v>
      </c>
      <c r="Y520" s="346">
        <f t="shared" si="204"/>
        <v>-8.8210788939354678</v>
      </c>
      <c r="AA520" s="345">
        <f t="shared" si="205"/>
        <v>29.04180106174854</v>
      </c>
      <c r="AB520" s="346">
        <f t="shared" si="206"/>
        <v>-70.643243861702715</v>
      </c>
      <c r="AD520">
        <f t="shared" si="210"/>
        <v>0</v>
      </c>
      <c r="AE520">
        <f t="shared" si="213"/>
        <v>0</v>
      </c>
    </row>
    <row r="521" spans="1:31" x14ac:dyDescent="0.2">
      <c r="A521" s="347">
        <v>72444</v>
      </c>
      <c r="B521" s="364">
        <f t="shared" si="207"/>
        <v>72.444000000000003</v>
      </c>
      <c r="C521" s="337">
        <f t="shared" si="188"/>
        <v>2.0822403797115885</v>
      </c>
      <c r="D521" s="338">
        <f t="shared" si="189"/>
        <v>1.0698543950305457</v>
      </c>
      <c r="E521" s="338">
        <f t="shared" si="190"/>
        <v>1.0000091535235538</v>
      </c>
      <c r="F521" s="339">
        <f t="shared" si="191"/>
        <v>4.2786572033563872E-3</v>
      </c>
      <c r="G521" s="338">
        <f t="shared" si="192"/>
        <v>1</v>
      </c>
      <c r="H521" s="339">
        <f t="shared" si="193"/>
        <v>0</v>
      </c>
      <c r="I521" s="337">
        <f t="shared" si="194"/>
        <v>524378.33944522764</v>
      </c>
      <c r="J521" s="340">
        <f t="shared" si="195"/>
        <v>1.5707944197748602</v>
      </c>
      <c r="K521" s="348">
        <f t="shared" si="211"/>
        <v>12.08548136064827</v>
      </c>
      <c r="L521" s="349">
        <f t="shared" si="212"/>
        <v>1.4879577047616603</v>
      </c>
      <c r="M521" s="337">
        <f t="shared" si="196"/>
        <v>1.0025294587711131</v>
      </c>
      <c r="N521" s="340">
        <f t="shared" si="197"/>
        <v>7.1051227335968609E-2</v>
      </c>
      <c r="O521" s="341">
        <f t="shared" si="198"/>
        <v>1.0099224916778822</v>
      </c>
      <c r="P521" s="342">
        <f t="shared" si="199"/>
        <v>0.17072674356397144</v>
      </c>
      <c r="Q521" s="343">
        <f t="shared" si="200"/>
        <v>-2.8923335028398665</v>
      </c>
      <c r="R521" s="344">
        <f t="shared" si="201"/>
        <v>-79.652044090840107</v>
      </c>
      <c r="S521" s="346">
        <f t="shared" si="202"/>
        <v>100.34795590915989</v>
      </c>
      <c r="U521" s="319">
        <f t="shared" si="208"/>
        <v>72444</v>
      </c>
      <c r="V521" s="319">
        <f t="shared" si="209"/>
        <v>5248133136</v>
      </c>
      <c r="X521" s="345">
        <f t="shared" si="203"/>
        <v>4.9376657200589262</v>
      </c>
      <c r="Y521" s="346">
        <f t="shared" si="204"/>
        <v>-8.8171296246349264</v>
      </c>
      <c r="AA521" s="345">
        <f t="shared" si="205"/>
        <v>29.002750935196214</v>
      </c>
      <c r="AB521" s="346">
        <f t="shared" si="206"/>
        <v>-70.834914466205191</v>
      </c>
      <c r="AD521">
        <f t="shared" si="210"/>
        <v>0</v>
      </c>
      <c r="AE521">
        <f t="shared" si="213"/>
        <v>0</v>
      </c>
    </row>
    <row r="522" spans="1:31" x14ac:dyDescent="0.2">
      <c r="A522" s="347">
        <v>72865.75</v>
      </c>
      <c r="B522" s="364">
        <f t="shared" si="207"/>
        <v>72.865750000000006</v>
      </c>
      <c r="C522" s="337">
        <f t="shared" si="188"/>
        <v>2.0915729704017005</v>
      </c>
      <c r="D522" s="338">
        <f t="shared" si="189"/>
        <v>1.0722958253611201</v>
      </c>
      <c r="E522" s="338">
        <f t="shared" si="190"/>
        <v>1.0000092604121309</v>
      </c>
      <c r="F522" s="339">
        <f t="shared" si="191"/>
        <v>4.3035661186482718E-3</v>
      </c>
      <c r="G522" s="338">
        <f t="shared" si="192"/>
        <v>1</v>
      </c>
      <c r="H522" s="339">
        <f t="shared" si="193"/>
        <v>0</v>
      </c>
      <c r="I522" s="337">
        <f t="shared" si="194"/>
        <v>527431.13283957657</v>
      </c>
      <c r="J522" s="340">
        <f t="shared" si="195"/>
        <v>1.5707944308127717</v>
      </c>
      <c r="K522" s="348">
        <f t="shared" si="211"/>
        <v>12.155359540001283</v>
      </c>
      <c r="L522" s="349">
        <f t="shared" si="212"/>
        <v>1.4884350065409417</v>
      </c>
      <c r="M522" s="337">
        <f t="shared" si="196"/>
        <v>1.0025589584978798</v>
      </c>
      <c r="N522" s="340">
        <f t="shared" si="197"/>
        <v>7.1463466146132831E-2</v>
      </c>
      <c r="O522" s="341">
        <f t="shared" si="198"/>
        <v>1.0100379170058702</v>
      </c>
      <c r="P522" s="342">
        <f t="shared" si="199"/>
        <v>0.17171070753538972</v>
      </c>
      <c r="Q522" s="343">
        <f t="shared" si="200"/>
        <v>-2.9327671736120484</v>
      </c>
      <c r="R522" s="344">
        <f t="shared" si="201"/>
        <v>-79.843150350905091</v>
      </c>
      <c r="S522" s="346">
        <f t="shared" si="202"/>
        <v>100.15684964909491</v>
      </c>
      <c r="U522" s="319">
        <f t="shared" si="208"/>
        <v>72865.75</v>
      </c>
      <c r="V522" s="319">
        <f t="shared" si="209"/>
        <v>5309417523.0625</v>
      </c>
      <c r="X522" s="345">
        <f t="shared" si="203"/>
        <v>4.9370669158199512</v>
      </c>
      <c r="Y522" s="346">
        <f t="shared" si="204"/>
        <v>-8.8134024235234012</v>
      </c>
      <c r="AA522" s="345">
        <f t="shared" si="205"/>
        <v>28.962916068663009</v>
      </c>
      <c r="AB522" s="346">
        <f t="shared" si="206"/>
        <v>-71.029747927381678</v>
      </c>
      <c r="AD522">
        <f t="shared" si="210"/>
        <v>0</v>
      </c>
      <c r="AE522">
        <f t="shared" si="213"/>
        <v>0</v>
      </c>
    </row>
    <row r="523" spans="1:31" x14ac:dyDescent="0.2">
      <c r="A523" s="347">
        <v>73287.5</v>
      </c>
      <c r="B523" s="364">
        <f t="shared" si="207"/>
        <v>73.287499999999994</v>
      </c>
      <c r="C523" s="337">
        <f t="shared" si="188"/>
        <v>2.1009179172805319</v>
      </c>
      <c r="D523" s="338">
        <f t="shared" si="189"/>
        <v>1.074715550895071</v>
      </c>
      <c r="E523" s="338">
        <f t="shared" si="190"/>
        <v>1.0000093679211677</v>
      </c>
      <c r="F523" s="339">
        <f t="shared" si="191"/>
        <v>4.3284750285997953E-3</v>
      </c>
      <c r="G523" s="338">
        <f t="shared" si="192"/>
        <v>1</v>
      </c>
      <c r="H523" s="339">
        <f t="shared" si="193"/>
        <v>0</v>
      </c>
      <c r="I523" s="337">
        <f t="shared" si="194"/>
        <v>530483.92623392574</v>
      </c>
      <c r="J523" s="340">
        <f t="shared" si="195"/>
        <v>1.5707944417236428</v>
      </c>
      <c r="K523" s="348">
        <f t="shared" si="211"/>
        <v>12.225240456894456</v>
      </c>
      <c r="L523" s="349">
        <f t="shared" si="212"/>
        <v>1.4889068518001225</v>
      </c>
      <c r="M523" s="337">
        <f t="shared" si="196"/>
        <v>1.0025886285903118</v>
      </c>
      <c r="N523" s="340">
        <f t="shared" si="197"/>
        <v>7.1875680627178876E-2</v>
      </c>
      <c r="O523" s="341">
        <f t="shared" si="198"/>
        <v>1.0101540021409043</v>
      </c>
      <c r="P523" s="342">
        <f t="shared" si="199"/>
        <v>0.1726945005788148</v>
      </c>
      <c r="Q523" s="343">
        <f t="shared" si="200"/>
        <v>-2.9730801374878801</v>
      </c>
      <c r="R523" s="344">
        <f t="shared" si="201"/>
        <v>-80.033314458918582</v>
      </c>
      <c r="S523" s="346">
        <f t="shared" si="202"/>
        <v>99.966685541081418</v>
      </c>
      <c r="U523" s="319">
        <f t="shared" si="208"/>
        <v>73287.5</v>
      </c>
      <c r="V523" s="319">
        <f t="shared" si="209"/>
        <v>5371057656.25</v>
      </c>
      <c r="X523" s="345">
        <f t="shared" si="203"/>
        <v>4.93647252511985</v>
      </c>
      <c r="Y523" s="346">
        <f t="shared" si="204"/>
        <v>-8.8099864567501669</v>
      </c>
      <c r="AA523" s="345">
        <f t="shared" si="205"/>
        <v>28.923197495487276</v>
      </c>
      <c r="AB523" s="346">
        <f t="shared" si="206"/>
        <v>-71.223328002168401</v>
      </c>
      <c r="AD523">
        <f t="shared" si="210"/>
        <v>0</v>
      </c>
      <c r="AE523">
        <f t="shared" si="213"/>
        <v>0</v>
      </c>
    </row>
    <row r="524" spans="1:31" x14ac:dyDescent="0.2">
      <c r="A524" s="347">
        <v>73709.25</v>
      </c>
      <c r="B524" s="364">
        <f t="shared" si="207"/>
        <v>73.709249999999997</v>
      </c>
      <c r="C524" s="337">
        <f t="shared" si="188"/>
        <v>2.11027505619708</v>
      </c>
      <c r="D524" s="338">
        <f t="shared" si="189"/>
        <v>1.0771138318303402</v>
      </c>
      <c r="E524" s="338">
        <f t="shared" si="190"/>
        <v>1.0000094760506637</v>
      </c>
      <c r="F524" s="339">
        <f t="shared" si="191"/>
        <v>4.3533839331800486E-3</v>
      </c>
      <c r="G524" s="338">
        <f t="shared" si="192"/>
        <v>1</v>
      </c>
      <c r="H524" s="339">
        <f t="shared" si="193"/>
        <v>0</v>
      </c>
      <c r="I524" s="337">
        <f t="shared" si="194"/>
        <v>533536.71962827491</v>
      </c>
      <c r="J524" s="340">
        <f t="shared" si="195"/>
        <v>1.570794452509654</v>
      </c>
      <c r="K524" s="348">
        <f t="shared" si="211"/>
        <v>12.295124064650308</v>
      </c>
      <c r="L524" s="349">
        <f t="shared" si="212"/>
        <v>1.4893733333693704</v>
      </c>
      <c r="M524" s="337">
        <f t="shared" si="196"/>
        <v>1.0026184690332842</v>
      </c>
      <c r="N524" s="340">
        <f t="shared" si="197"/>
        <v>7.2287870641185234E-2</v>
      </c>
      <c r="O524" s="341">
        <f t="shared" si="198"/>
        <v>1.0102707469091101</v>
      </c>
      <c r="P524" s="342">
        <f t="shared" si="199"/>
        <v>0.17367812177787631</v>
      </c>
      <c r="Q524" s="343">
        <f t="shared" si="200"/>
        <v>-3.013272702962944</v>
      </c>
      <c r="R524" s="344">
        <f t="shared" si="201"/>
        <v>-80.222545944067889</v>
      </c>
      <c r="S524" s="346">
        <f t="shared" si="202"/>
        <v>99.777454055932111</v>
      </c>
      <c r="U524" s="319">
        <f t="shared" si="208"/>
        <v>73709.25</v>
      </c>
      <c r="V524" s="319">
        <f t="shared" si="209"/>
        <v>5433053535.5625</v>
      </c>
      <c r="X524" s="345">
        <f t="shared" si="203"/>
        <v>4.935882414727625</v>
      </c>
      <c r="Y524" s="346">
        <f t="shared" si="204"/>
        <v>-8.8068763977609787</v>
      </c>
      <c r="AA524" s="345">
        <f t="shared" si="205"/>
        <v>28.88359504040444</v>
      </c>
      <c r="AB524" s="346">
        <f t="shared" si="206"/>
        <v>-71.415669546306873</v>
      </c>
      <c r="AD524">
        <f t="shared" si="210"/>
        <v>0</v>
      </c>
      <c r="AE524">
        <f t="shared" si="213"/>
        <v>0</v>
      </c>
    </row>
    <row r="525" spans="1:31" x14ac:dyDescent="0.2">
      <c r="A525" s="347">
        <v>74131</v>
      </c>
      <c r="B525" s="364">
        <f t="shared" si="207"/>
        <v>74.131</v>
      </c>
      <c r="C525" s="337">
        <f t="shared" ref="C525:C588" si="214">SQRT(1+(A525/pole1)^2)</f>
        <v>2.1196442256866255</v>
      </c>
      <c r="D525" s="338">
        <f t="shared" ref="D525:D588" si="215">ATAN(A525/pole1)</f>
        <v>1.0794909247601592</v>
      </c>
      <c r="E525" s="338">
        <f t="shared" ref="E525:E588" si="216">SQRT(1+(A525/Zero1)^2)</f>
        <v>1.0000095848006194</v>
      </c>
      <c r="F525" s="339">
        <f t="shared" ref="F525:F588" si="217">ATAN(A525/Zero1)</f>
        <v>4.3782928323581249E-3</v>
      </c>
      <c r="G525" s="338">
        <f t="shared" ref="G525:G588" si="218">IF(VIN_nom&gt;Vout, 1, SQRT(1+(A525/z_RHP)^2))</f>
        <v>1</v>
      </c>
      <c r="H525" s="339">
        <f t="shared" ref="H525:H588" si="219">IF(VIN_nom&gt;Vout, 0, -ATAN(A525/z_RHP))</f>
        <v>0</v>
      </c>
      <c r="I525" s="337">
        <f t="shared" ref="I525:I588" si="220">SQRT(1+(A525/Pole2)^2)</f>
        <v>536589.51302262419</v>
      </c>
      <c r="J525" s="340">
        <f t="shared" ref="J525:J588" si="221">ATAN(A525/Pole2)</f>
        <v>1.5707944631729365</v>
      </c>
      <c r="K525" s="348">
        <f t="shared" si="211"/>
        <v>12.36501031764481</v>
      </c>
      <c r="L525" s="349">
        <f t="shared" si="212"/>
        <v>1.4898345419896315</v>
      </c>
      <c r="M525" s="337">
        <f t="shared" ref="M525:M588" si="222">SQRT(1+(A525/pole4)^2)</f>
        <v>1.0026484798115873</v>
      </c>
      <c r="N525" s="340">
        <f t="shared" ref="N525:N588" si="223">ATAN(A525/pole4)</f>
        <v>7.2700036050280081E-2</v>
      </c>
      <c r="O525" s="341">
        <f t="shared" ref="O525:O588" si="224">SQRT((1-(V525/pterm2))^2+(A525/pterm1)^2)</f>
        <v>1.0103881511357105</v>
      </c>
      <c r="P525" s="342">
        <f t="shared" ref="P525:P588" si="225">IF((ATAN((A525/pterm1)/(1-A525^2/pterm2))&gt;0),ATAN((A525/pterm1)/(1-A525^2/pterm2)),PI()+ATAN((A525/pterm1)/(1-A525^2/pterm2)))</f>
        <v>0.1746615702174194</v>
      </c>
      <c r="Q525" s="343">
        <f t="shared" ref="Q525:Q588" si="226">20*LOG10(((E525*K525*G525)/(C525*I525*O525*M525))*Adc)</f>
        <v>-3.053345188494986</v>
      </c>
      <c r="R525" s="344">
        <f t="shared" ref="R525:R588" si="227">((F525+L525+H525)-(D525+J525+P525+N525))*radconv</f>
        <v>-80.41085424877889</v>
      </c>
      <c r="S525" s="346">
        <f t="shared" ref="S525:S588" si="228">IF(R525&gt;0,R525,R525+180)</f>
        <v>99.58914575122111</v>
      </c>
      <c r="U525" s="319">
        <f t="shared" si="208"/>
        <v>74131</v>
      </c>
      <c r="V525" s="319">
        <f t="shared" si="209"/>
        <v>5495405161</v>
      </c>
      <c r="X525" s="345">
        <f t="shared" ref="X525:X588" si="229">20*LOG10((K525/(I525*M525))*AEA)</f>
        <v>4.9352964551753074</v>
      </c>
      <c r="Y525" s="346">
        <f t="shared" ref="Y525:Y588" si="230">(L525-(J525+N525))*radconv</f>
        <v>-8.8040670397052612</v>
      </c>
      <c r="AA525" s="345">
        <f t="shared" ref="AA525:AA588" si="231">20*LOG10((E525*G525/(C525*O525))*Acs*Am)</f>
        <v>28.844108514424715</v>
      </c>
      <c r="AB525" s="346">
        <f t="shared" ref="AB525:AB588" si="232">(F525+H525-(D525+P525))*radconv</f>
        <v>-71.606787209073602</v>
      </c>
      <c r="AD525">
        <f t="shared" si="210"/>
        <v>0</v>
      </c>
      <c r="AE525">
        <f t="shared" si="213"/>
        <v>0</v>
      </c>
    </row>
    <row r="526" spans="1:31" x14ac:dyDescent="0.2">
      <c r="A526" s="347">
        <v>74562.75</v>
      </c>
      <c r="B526" s="364">
        <f t="shared" ref="B526:B589" si="233">A526/1000</f>
        <v>74.562749999999994</v>
      </c>
      <c r="C526" s="337">
        <f t="shared" si="214"/>
        <v>2.1292478410450792</v>
      </c>
      <c r="D526" s="338">
        <f t="shared" si="215"/>
        <v>1.0819026969183081</v>
      </c>
      <c r="E526" s="338">
        <f t="shared" si="216"/>
        <v>1.0000096967718164</v>
      </c>
      <c r="F526" s="339">
        <f t="shared" si="217"/>
        <v>4.4037923340688135E-3</v>
      </c>
      <c r="G526" s="338">
        <f t="shared" si="218"/>
        <v>1</v>
      </c>
      <c r="H526" s="339">
        <f t="shared" si="219"/>
        <v>0</v>
      </c>
      <c r="I526" s="337">
        <f t="shared" si="220"/>
        <v>539714.69037416019</v>
      </c>
      <c r="J526" s="340">
        <f t="shared" si="221"/>
        <v>1.5707944739640995</v>
      </c>
      <c r="K526" s="348">
        <f t="shared" si="211"/>
        <v>12.436556318157445</v>
      </c>
      <c r="L526" s="349">
        <f t="shared" si="212"/>
        <v>1.4903013168371624</v>
      </c>
      <c r="M526" s="337">
        <f t="shared" si="222"/>
        <v>1.0026793785927306</v>
      </c>
      <c r="N526" s="340">
        <f t="shared" si="223"/>
        <v>7.3121948570917333E-2</v>
      </c>
      <c r="O526" s="341">
        <f t="shared" si="224"/>
        <v>1.0105090220168311</v>
      </c>
      <c r="P526" s="342">
        <f t="shared" si="225"/>
        <v>0.17566815702986879</v>
      </c>
      <c r="Q526" s="343">
        <f t="shared" si="226"/>
        <v>-3.0942437799132727</v>
      </c>
      <c r="R526" s="344">
        <f t="shared" si="227"/>
        <v>-80.602680973344278</v>
      </c>
      <c r="S526" s="346">
        <f t="shared" si="228"/>
        <v>99.397319026655722</v>
      </c>
      <c r="U526" s="319">
        <f t="shared" ref="U526:U589" si="234">IF(Q526&lt;0,A526,1000000000)</f>
        <v>74562.75</v>
      </c>
      <c r="V526" s="319">
        <f t="shared" ref="V526:V589" si="235">A526^2</f>
        <v>5559603687.5625</v>
      </c>
      <c r="X526" s="345">
        <f t="shared" si="229"/>
        <v>4.9347007703804211</v>
      </c>
      <c r="Y526" s="346">
        <f t="shared" si="230"/>
        <v>-8.8014972360002854</v>
      </c>
      <c r="AA526" s="345">
        <f t="shared" si="231"/>
        <v>28.803805607801319</v>
      </c>
      <c r="AB526" s="346">
        <f t="shared" si="232"/>
        <v>-71.801183737344004</v>
      </c>
      <c r="AD526">
        <f t="shared" ref="AD526:AD589" si="236">SUM((Q527&lt;0)*(Q526&gt;0))*A526</f>
        <v>0</v>
      </c>
      <c r="AE526">
        <f t="shared" si="213"/>
        <v>0</v>
      </c>
    </row>
    <row r="527" spans="1:31" x14ac:dyDescent="0.2">
      <c r="A527" s="347">
        <v>74994.5</v>
      </c>
      <c r="B527" s="364">
        <f t="shared" si="233"/>
        <v>74.994500000000002</v>
      </c>
      <c r="C527" s="337">
        <f t="shared" si="214"/>
        <v>2.1388637302210514</v>
      </c>
      <c r="D527" s="338">
        <f t="shared" si="215"/>
        <v>1.0842927972167964</v>
      </c>
      <c r="E527" s="338">
        <f t="shared" si="216"/>
        <v>1.0000098093932439</v>
      </c>
      <c r="F527" s="339">
        <f t="shared" si="217"/>
        <v>4.4292918300525589E-3</v>
      </c>
      <c r="G527" s="338">
        <f t="shared" si="218"/>
        <v>1</v>
      </c>
      <c r="H527" s="339">
        <f t="shared" si="219"/>
        <v>0</v>
      </c>
      <c r="I527" s="337">
        <f t="shared" si="220"/>
        <v>542839.86772569618</v>
      </c>
      <c r="J527" s="340">
        <f t="shared" si="221"/>
        <v>1.5707944846310109</v>
      </c>
      <c r="K527" s="348">
        <f t="shared" si="211"/>
        <v>12.508104997332817</v>
      </c>
      <c r="L527" s="349">
        <f t="shared" si="212"/>
        <v>1.4907627517069688</v>
      </c>
      <c r="M527" s="337">
        <f t="shared" si="222"/>
        <v>1.0027104558499866</v>
      </c>
      <c r="N527" s="340">
        <f t="shared" si="223"/>
        <v>7.3543835013769154E-2</v>
      </c>
      <c r="O527" s="341">
        <f t="shared" si="224"/>
        <v>1.0106305836260112</v>
      </c>
      <c r="P527" s="342">
        <f t="shared" si="225"/>
        <v>0.17667456085621863</v>
      </c>
      <c r="Q527" s="343">
        <f t="shared" si="226"/>
        <v>-3.1350172351266319</v>
      </c>
      <c r="R527" s="344">
        <f t="shared" si="227"/>
        <v>-80.793559964732921</v>
      </c>
      <c r="S527" s="346">
        <f t="shared" si="228"/>
        <v>99.206440035267079</v>
      </c>
      <c r="U527" s="319">
        <f t="shared" si="234"/>
        <v>74994.5</v>
      </c>
      <c r="V527" s="319">
        <f t="shared" si="235"/>
        <v>5624175030.25</v>
      </c>
      <c r="X527" s="345">
        <f t="shared" si="229"/>
        <v>4.9341091725622457</v>
      </c>
      <c r="Y527" s="346">
        <f t="shared" si="230"/>
        <v>-8.7992318892158146</v>
      </c>
      <c r="AA527" s="345">
        <f t="shared" si="231"/>
        <v>28.763623750406133</v>
      </c>
      <c r="AB527" s="346">
        <f t="shared" si="232"/>
        <v>-71.994328075517117</v>
      </c>
      <c r="AD527">
        <f t="shared" si="236"/>
        <v>0</v>
      </c>
      <c r="AE527">
        <f t="shared" si="213"/>
        <v>0</v>
      </c>
    </row>
    <row r="528" spans="1:31" x14ac:dyDescent="0.2">
      <c r="A528" s="347">
        <v>75426.25</v>
      </c>
      <c r="B528" s="364">
        <f t="shared" si="233"/>
        <v>75.426249999999996</v>
      </c>
      <c r="C528" s="337">
        <f t="shared" si="214"/>
        <v>2.148491728414748</v>
      </c>
      <c r="D528" s="338">
        <f t="shared" si="215"/>
        <v>1.0866614895169442</v>
      </c>
      <c r="E528" s="338">
        <f t="shared" si="216"/>
        <v>1.0000099226649022</v>
      </c>
      <c r="F528" s="339">
        <f t="shared" si="217"/>
        <v>4.454791320276201E-3</v>
      </c>
      <c r="G528" s="338">
        <f t="shared" si="218"/>
        <v>1</v>
      </c>
      <c r="H528" s="339">
        <f t="shared" si="219"/>
        <v>0</v>
      </c>
      <c r="I528" s="337">
        <f t="shared" si="220"/>
        <v>545965.04507723241</v>
      </c>
      <c r="J528" s="340">
        <f t="shared" si="221"/>
        <v>1.5707944951758048</v>
      </c>
      <c r="K528" s="348">
        <f t="shared" si="211"/>
        <v>12.579656309465038</v>
      </c>
      <c r="L528" s="349">
        <f t="shared" si="212"/>
        <v>1.4912189375199776</v>
      </c>
      <c r="M528" s="337">
        <f t="shared" si="222"/>
        <v>1.0027417115667614</v>
      </c>
      <c r="N528" s="340">
        <f t="shared" si="223"/>
        <v>7.3965695231085579E-2</v>
      </c>
      <c r="O528" s="341">
        <f t="shared" si="224"/>
        <v>1.0107528357728155</v>
      </c>
      <c r="P528" s="342">
        <f t="shared" si="225"/>
        <v>0.1776807807186572</v>
      </c>
      <c r="Q528" s="343">
        <f t="shared" si="226"/>
        <v>-3.1756659255765389</v>
      </c>
      <c r="R528" s="344">
        <f t="shared" si="227"/>
        <v>-80.983501067333748</v>
      </c>
      <c r="S528" s="346">
        <f t="shared" si="228"/>
        <v>99.016498932666252</v>
      </c>
      <c r="U528" s="319">
        <f t="shared" si="234"/>
        <v>75426.25</v>
      </c>
      <c r="V528" s="319">
        <f t="shared" si="235"/>
        <v>5689119189.0625</v>
      </c>
      <c r="X528" s="345">
        <f t="shared" si="229"/>
        <v>4.9335215342690386</v>
      </c>
      <c r="Y528" s="346">
        <f t="shared" si="230"/>
        <v>-8.7972657816233166</v>
      </c>
      <c r="AA528" s="345">
        <f t="shared" si="231"/>
        <v>28.723562698249427</v>
      </c>
      <c r="AB528" s="346">
        <f t="shared" si="232"/>
        <v>-72.186235285710424</v>
      </c>
      <c r="AD528">
        <f t="shared" si="236"/>
        <v>0</v>
      </c>
      <c r="AE528">
        <f t="shared" si="213"/>
        <v>0</v>
      </c>
    </row>
    <row r="529" spans="1:31" x14ac:dyDescent="0.2">
      <c r="A529" s="347">
        <v>75858</v>
      </c>
      <c r="B529" s="364">
        <f t="shared" si="233"/>
        <v>75.858000000000004</v>
      </c>
      <c r="C529" s="337">
        <f t="shared" si="214"/>
        <v>2.1581316735615497</v>
      </c>
      <c r="D529" s="338">
        <f t="shared" si="215"/>
        <v>1.0890090339354279</v>
      </c>
      <c r="E529" s="338">
        <f t="shared" si="216"/>
        <v>1.0000100365867908</v>
      </c>
      <c r="F529" s="339">
        <f t="shared" si="217"/>
        <v>4.4802908047065831E-3</v>
      </c>
      <c r="G529" s="338">
        <f t="shared" si="218"/>
        <v>1</v>
      </c>
      <c r="H529" s="339">
        <f t="shared" si="219"/>
        <v>0</v>
      </c>
      <c r="I529" s="337">
        <f t="shared" si="220"/>
        <v>549090.22242876852</v>
      </c>
      <c r="J529" s="340">
        <f t="shared" si="221"/>
        <v>1.5707945056005661</v>
      </c>
      <c r="K529" s="348">
        <f t="shared" si="211"/>
        <v>12.651210209880551</v>
      </c>
      <c r="L529" s="349">
        <f t="shared" si="212"/>
        <v>1.4916699631490116</v>
      </c>
      <c r="M529" s="337">
        <f t="shared" si="222"/>
        <v>1.0027731457263678</v>
      </c>
      <c r="N529" s="340">
        <f t="shared" si="223"/>
        <v>7.4387529075172376E-2</v>
      </c>
      <c r="O529" s="341">
        <f t="shared" si="224"/>
        <v>1.0108757782658255</v>
      </c>
      <c r="P529" s="342">
        <f t="shared" si="225"/>
        <v>0.17868681564073283</v>
      </c>
      <c r="Q529" s="343">
        <f t="shared" si="226"/>
        <v>-3.2161902318958742</v>
      </c>
      <c r="R529" s="344">
        <f t="shared" si="227"/>
        <v>-81.172514028409282</v>
      </c>
      <c r="S529" s="346">
        <f t="shared" si="228"/>
        <v>98.827485971590718</v>
      </c>
      <c r="U529" s="319">
        <f t="shared" si="234"/>
        <v>75858</v>
      </c>
      <c r="V529" s="319">
        <f t="shared" si="235"/>
        <v>5754436164</v>
      </c>
      <c r="X529" s="345">
        <f t="shared" si="229"/>
        <v>4.9329377316526575</v>
      </c>
      <c r="Y529" s="346">
        <f t="shared" si="230"/>
        <v>-8.795593812842295</v>
      </c>
      <c r="AA529" s="345">
        <f t="shared" si="231"/>
        <v>28.683622194546476</v>
      </c>
      <c r="AB529" s="346">
        <f t="shared" si="232"/>
        <v>-72.376920215567011</v>
      </c>
      <c r="AD529">
        <f t="shared" si="236"/>
        <v>0</v>
      </c>
      <c r="AE529">
        <f t="shared" si="213"/>
        <v>0</v>
      </c>
    </row>
    <row r="530" spans="1:31" x14ac:dyDescent="0.2">
      <c r="A530" s="347">
        <v>76299.75</v>
      </c>
      <c r="B530" s="364">
        <f t="shared" si="233"/>
        <v>76.299750000000003</v>
      </c>
      <c r="C530" s="337">
        <f t="shared" si="214"/>
        <v>2.1680070938011866</v>
      </c>
      <c r="D530" s="338">
        <f t="shared" si="215"/>
        <v>1.0913893302745861</v>
      </c>
      <c r="E530" s="338">
        <f t="shared" si="216"/>
        <v>1.0000101538202821</v>
      </c>
      <c r="F530" s="339">
        <f t="shared" si="217"/>
        <v>4.5063808907364116E-3</v>
      </c>
      <c r="G530" s="338">
        <f t="shared" si="218"/>
        <v>1</v>
      </c>
      <c r="H530" s="339">
        <f t="shared" si="219"/>
        <v>0</v>
      </c>
      <c r="I530" s="337">
        <f t="shared" si="220"/>
        <v>552287.78373749158</v>
      </c>
      <c r="J530" s="340">
        <f t="shared" si="221"/>
        <v>1.5707945161446715</v>
      </c>
      <c r="K530" s="348">
        <f t="shared" si="211"/>
        <v>12.724424043027158</v>
      </c>
      <c r="L530" s="349">
        <f t="shared" si="212"/>
        <v>1.4921261849928753</v>
      </c>
      <c r="M530" s="337">
        <f t="shared" si="222"/>
        <v>1.0028054926226024</v>
      </c>
      <c r="N530" s="340">
        <f t="shared" si="223"/>
        <v>7.4819105795142477E-2</v>
      </c>
      <c r="O530" s="341">
        <f t="shared" si="224"/>
        <v>1.0110022826126888</v>
      </c>
      <c r="P530" s="342">
        <f t="shared" si="225"/>
        <v>0.17971595946055777</v>
      </c>
      <c r="Q530" s="343">
        <f t="shared" si="226"/>
        <v>-3.2575248113583681</v>
      </c>
      <c r="R530" s="344">
        <f t="shared" si="227"/>
        <v>-81.364954250972772</v>
      </c>
      <c r="S530" s="346">
        <f t="shared" si="228"/>
        <v>98.635045749027228</v>
      </c>
      <c r="U530" s="319">
        <f t="shared" si="234"/>
        <v>76299.75</v>
      </c>
      <c r="V530" s="319">
        <f t="shared" si="235"/>
        <v>5821651850.0625</v>
      </c>
      <c r="X530" s="345">
        <f t="shared" si="229"/>
        <v>4.9323442517066383</v>
      </c>
      <c r="Y530" s="346">
        <f t="shared" si="230"/>
        <v>-8.7941823553887346</v>
      </c>
      <c r="AA530" s="345">
        <f t="shared" si="231"/>
        <v>28.642881095030003</v>
      </c>
      <c r="AB530" s="346">
        <f t="shared" si="232"/>
        <v>-72.570771895584016</v>
      </c>
      <c r="AD530">
        <f t="shared" si="236"/>
        <v>0</v>
      </c>
      <c r="AE530">
        <f t="shared" si="213"/>
        <v>0</v>
      </c>
    </row>
    <row r="531" spans="1:31" x14ac:dyDescent="0.2">
      <c r="A531" s="347">
        <v>76741.5</v>
      </c>
      <c r="B531" s="364">
        <f t="shared" si="233"/>
        <v>76.741500000000002</v>
      </c>
      <c r="C531" s="337">
        <f t="shared" si="214"/>
        <v>2.1778946861216681</v>
      </c>
      <c r="D531" s="338">
        <f t="shared" si="215"/>
        <v>1.0937480268943522</v>
      </c>
      <c r="E531" s="338">
        <f t="shared" si="216"/>
        <v>1.0000102717344728</v>
      </c>
      <c r="F531" s="339">
        <f t="shared" si="217"/>
        <v>4.5324709706312805E-3</v>
      </c>
      <c r="G531" s="338">
        <f t="shared" si="218"/>
        <v>1</v>
      </c>
      <c r="H531" s="339">
        <f t="shared" si="219"/>
        <v>0</v>
      </c>
      <c r="I531" s="337">
        <f t="shared" si="220"/>
        <v>555485.34504621453</v>
      </c>
      <c r="J531" s="340">
        <f t="shared" si="221"/>
        <v>1.5707945265673857</v>
      </c>
      <c r="K531" s="348">
        <f t="shared" si="211"/>
        <v>12.797640494311484</v>
      </c>
      <c r="L531" s="349">
        <f t="shared" si="212"/>
        <v>1.4925771867573854</v>
      </c>
      <c r="M531" s="337">
        <f t="shared" si="222"/>
        <v>1.0028380262877794</v>
      </c>
      <c r="N531" s="340">
        <f t="shared" si="223"/>
        <v>7.5250654593413457E-2</v>
      </c>
      <c r="O531" s="341">
        <f t="shared" si="224"/>
        <v>1.0111295092465133</v>
      </c>
      <c r="P531" s="342">
        <f t="shared" si="225"/>
        <v>0.18074490761009074</v>
      </c>
      <c r="Q531" s="343">
        <f t="shared" si="226"/>
        <v>-3.2987300119828249</v>
      </c>
      <c r="R531" s="344">
        <f t="shared" si="227"/>
        <v>-81.556443171809846</v>
      </c>
      <c r="S531" s="346">
        <f t="shared" si="228"/>
        <v>98.443556828190154</v>
      </c>
      <c r="U531" s="319">
        <f t="shared" si="234"/>
        <v>76741.5</v>
      </c>
      <c r="V531" s="319">
        <f t="shared" si="235"/>
        <v>5889257822.25</v>
      </c>
      <c r="X531" s="345">
        <f t="shared" si="229"/>
        <v>4.9317545359048012</v>
      </c>
      <c r="Y531" s="346">
        <f t="shared" si="230"/>
        <v>-8.7930683797004967</v>
      </c>
      <c r="AA531" s="345">
        <f t="shared" si="231"/>
        <v>28.602265610207382</v>
      </c>
      <c r="AB531" s="346">
        <f t="shared" si="232"/>
        <v>-72.76337479210936</v>
      </c>
      <c r="AD531">
        <f t="shared" si="236"/>
        <v>0</v>
      </c>
      <c r="AE531">
        <f t="shared" si="213"/>
        <v>0</v>
      </c>
    </row>
    <row r="532" spans="1:31" x14ac:dyDescent="0.2">
      <c r="A532" s="347">
        <v>77183.25</v>
      </c>
      <c r="B532" s="364">
        <f t="shared" si="233"/>
        <v>77.183250000000001</v>
      </c>
      <c r="C532" s="337">
        <f t="shared" si="214"/>
        <v>2.1877942854902459</v>
      </c>
      <c r="D532" s="338">
        <f t="shared" si="215"/>
        <v>1.0960853905817478</v>
      </c>
      <c r="E532" s="338">
        <f t="shared" si="216"/>
        <v>1.0000103903293627</v>
      </c>
      <c r="F532" s="339">
        <f t="shared" si="217"/>
        <v>4.5585610443556719E-3</v>
      </c>
      <c r="G532" s="338">
        <f t="shared" si="218"/>
        <v>1</v>
      </c>
      <c r="H532" s="339">
        <f t="shared" si="219"/>
        <v>0</v>
      </c>
      <c r="I532" s="337">
        <f t="shared" si="220"/>
        <v>558682.9063549377</v>
      </c>
      <c r="J532" s="340">
        <f t="shared" si="221"/>
        <v>1.5707945368707936</v>
      </c>
      <c r="K532" s="348">
        <f t="shared" si="211"/>
        <v>12.870859519053351</v>
      </c>
      <c r="L532" s="349">
        <f t="shared" si="212"/>
        <v>1.4930230573445737</v>
      </c>
      <c r="M532" s="337">
        <f t="shared" si="222"/>
        <v>1.0028707467037219</v>
      </c>
      <c r="N532" s="340">
        <f t="shared" si="223"/>
        <v>7.5682175311972161E-2</v>
      </c>
      <c r="O532" s="341">
        <f t="shared" si="224"/>
        <v>1.0112574579590832</v>
      </c>
      <c r="P532" s="342">
        <f t="shared" si="225"/>
        <v>0.18177365904790985</v>
      </c>
      <c r="Q532" s="343">
        <f t="shared" si="226"/>
        <v>-3.339806268706532</v>
      </c>
      <c r="R532" s="344">
        <f t="shared" si="227"/>
        <v>-81.746990914378671</v>
      </c>
      <c r="S532" s="346">
        <f t="shared" si="228"/>
        <v>98.253009085621329</v>
      </c>
      <c r="U532" s="319">
        <f t="shared" si="234"/>
        <v>77183.25</v>
      </c>
      <c r="V532" s="319">
        <f t="shared" si="235"/>
        <v>5957254080.5625</v>
      </c>
      <c r="X532" s="345">
        <f t="shared" si="229"/>
        <v>4.9311684625322281</v>
      </c>
      <c r="Y532" s="346">
        <f t="shared" si="230"/>
        <v>-8.7922467831322901</v>
      </c>
      <c r="AA532" s="345">
        <f t="shared" si="231"/>
        <v>28.561775426856247</v>
      </c>
      <c r="AB532" s="346">
        <f t="shared" si="232"/>
        <v>-72.9547441312464</v>
      </c>
      <c r="AD532">
        <f t="shared" si="236"/>
        <v>0</v>
      </c>
      <c r="AE532">
        <f t="shared" si="213"/>
        <v>0</v>
      </c>
    </row>
    <row r="533" spans="1:31" x14ac:dyDescent="0.2">
      <c r="A533" s="347">
        <v>77625</v>
      </c>
      <c r="B533" s="364">
        <f t="shared" si="233"/>
        <v>77.625</v>
      </c>
      <c r="C533" s="337">
        <f t="shared" si="214"/>
        <v>2.1977057296491247</v>
      </c>
      <c r="D533" s="338">
        <f t="shared" si="215"/>
        <v>1.0984016842522089</v>
      </c>
      <c r="E533" s="338">
        <f t="shared" si="216"/>
        <v>1.0000105096049512</v>
      </c>
      <c r="F533" s="339">
        <f t="shared" si="217"/>
        <v>4.5846511118740694E-3</v>
      </c>
      <c r="G533" s="338">
        <f t="shared" si="218"/>
        <v>1</v>
      </c>
      <c r="H533" s="339">
        <f t="shared" si="219"/>
        <v>0</v>
      </c>
      <c r="I533" s="337">
        <f t="shared" si="220"/>
        <v>561880.46766366076</v>
      </c>
      <c r="J533" s="340">
        <f t="shared" si="221"/>
        <v>1.5707945470569318</v>
      </c>
      <c r="K533" s="348">
        <f t="shared" si="211"/>
        <v>12.944081073581978</v>
      </c>
      <c r="L533" s="349">
        <f t="shared" si="212"/>
        <v>1.4934638836531495</v>
      </c>
      <c r="M533" s="337">
        <f t="shared" si="222"/>
        <v>1.0029036538521516</v>
      </c>
      <c r="N533" s="340">
        <f t="shared" si="223"/>
        <v>7.6113667792867781E-2</v>
      </c>
      <c r="O533" s="341">
        <f t="shared" si="224"/>
        <v>1.0113861285411125</v>
      </c>
      <c r="P533" s="342">
        <f t="shared" si="225"/>
        <v>0.18280221273411137</v>
      </c>
      <c r="Q533" s="343">
        <f t="shared" si="226"/>
        <v>-3.3807540248029273</v>
      </c>
      <c r="R533" s="344">
        <f t="shared" si="227"/>
        <v>-81.936607495181562</v>
      </c>
      <c r="S533" s="346">
        <f t="shared" si="228"/>
        <v>98.063392504818438</v>
      </c>
      <c r="U533" s="319">
        <f t="shared" si="234"/>
        <v>77625</v>
      </c>
      <c r="V533" s="319">
        <f t="shared" si="235"/>
        <v>6025640625</v>
      </c>
      <c r="X533" s="345">
        <f t="shared" si="229"/>
        <v>4.9305859133172598</v>
      </c>
      <c r="Y533" s="346">
        <f t="shared" si="230"/>
        <v>-8.7917125778216345</v>
      </c>
      <c r="AA533" s="345">
        <f t="shared" si="231"/>
        <v>28.521410219974822</v>
      </c>
      <c r="AB533" s="346">
        <f t="shared" si="232"/>
        <v>-73.14489491735992</v>
      </c>
      <c r="AD533">
        <f t="shared" si="236"/>
        <v>0</v>
      </c>
      <c r="AE533">
        <f t="shared" si="213"/>
        <v>0</v>
      </c>
    </row>
    <row r="534" spans="1:31" x14ac:dyDescent="0.2">
      <c r="A534" s="347">
        <v>78077</v>
      </c>
      <c r="B534" s="364">
        <f t="shared" si="233"/>
        <v>78.076999999999998</v>
      </c>
      <c r="C534" s="337">
        <f t="shared" si="214"/>
        <v>2.2078592445649821</v>
      </c>
      <c r="D534" s="338">
        <f t="shared" si="215"/>
        <v>1.1007501844913734</v>
      </c>
      <c r="E534" s="338">
        <f t="shared" si="216"/>
        <v>1.0000106323526847</v>
      </c>
      <c r="F534" s="339">
        <f t="shared" si="217"/>
        <v>4.6113465451831778E-3</v>
      </c>
      <c r="G534" s="338">
        <f t="shared" si="218"/>
        <v>1</v>
      </c>
      <c r="H534" s="339">
        <f t="shared" si="219"/>
        <v>0</v>
      </c>
      <c r="I534" s="337">
        <f t="shared" si="220"/>
        <v>565152.22252850037</v>
      </c>
      <c r="J534" s="340">
        <f t="shared" si="221"/>
        <v>1.5707945573601141</v>
      </c>
      <c r="K534" s="348">
        <f t="shared" si="211"/>
        <v>13.019004174223818</v>
      </c>
      <c r="L534" s="349">
        <f t="shared" si="212"/>
        <v>1.493909805927323</v>
      </c>
      <c r="M534" s="337">
        <f t="shared" si="222"/>
        <v>1.0029375178134741</v>
      </c>
      <c r="N534" s="340">
        <f t="shared" si="223"/>
        <v>7.6555142874053031E-2</v>
      </c>
      <c r="O534" s="341">
        <f t="shared" si="224"/>
        <v>1.0115185316572795</v>
      </c>
      <c r="P534" s="342">
        <f t="shared" si="225"/>
        <v>0.18385442635488899</v>
      </c>
      <c r="Q534" s="343">
        <f t="shared" si="226"/>
        <v>-3.4225193616490683</v>
      </c>
      <c r="R534" s="344">
        <f t="shared" si="227"/>
        <v>-82.12967029618757</v>
      </c>
      <c r="S534" s="346">
        <f t="shared" si="228"/>
        <v>97.87032970381243</v>
      </c>
      <c r="U534" s="319">
        <f t="shared" si="234"/>
        <v>78077</v>
      </c>
      <c r="V534" s="319">
        <f t="shared" si="235"/>
        <v>6096017929</v>
      </c>
      <c r="X534" s="345">
        <f t="shared" si="229"/>
        <v>4.929993375001736</v>
      </c>
      <c r="Y534" s="346">
        <f t="shared" si="230"/>
        <v>-8.7914583627612952</v>
      </c>
      <c r="AA534" s="345">
        <f t="shared" si="231"/>
        <v>28.480237421444205</v>
      </c>
      <c r="AB534" s="346">
        <f t="shared" si="232"/>
        <v>-73.338211933426265</v>
      </c>
      <c r="AD534">
        <f t="shared" si="236"/>
        <v>0</v>
      </c>
      <c r="AE534">
        <f t="shared" si="213"/>
        <v>0</v>
      </c>
    </row>
    <row r="535" spans="1:31" x14ac:dyDescent="0.2">
      <c r="A535" s="347">
        <v>78529</v>
      </c>
      <c r="B535" s="364">
        <f t="shared" si="233"/>
        <v>78.528999999999996</v>
      </c>
      <c r="C535" s="337">
        <f t="shared" si="214"/>
        <v>2.2180248252974373</v>
      </c>
      <c r="D535" s="338">
        <f t="shared" si="215"/>
        <v>1.1030771703241278</v>
      </c>
      <c r="E535" s="338">
        <f t="shared" si="216"/>
        <v>1.000010755813072</v>
      </c>
      <c r="F535" s="339">
        <f t="shared" si="217"/>
        <v>4.6380419719197243E-3</v>
      </c>
      <c r="G535" s="338">
        <f t="shared" si="218"/>
        <v>1</v>
      </c>
      <c r="H535" s="339">
        <f t="shared" si="219"/>
        <v>0</v>
      </c>
      <c r="I535" s="337">
        <f t="shared" si="220"/>
        <v>568423.97739333997</v>
      </c>
      <c r="J535" s="340">
        <f t="shared" si="221"/>
        <v>1.5707945675446895</v>
      </c>
      <c r="K535" s="348">
        <f t="shared" ref="K535:K598" si="237">SQRT(1+(A535/Zero2)^2)</f>
        <v>13.093929834025129</v>
      </c>
      <c r="L535" s="349">
        <f t="shared" ref="L535:L598" si="238">ATAN(A535/Zero2)</f>
        <v>1.4943506250044245</v>
      </c>
      <c r="M535" s="337">
        <f t="shared" si="222"/>
        <v>1.0029715772343448</v>
      </c>
      <c r="N535" s="340">
        <f t="shared" si="223"/>
        <v>7.6996588057598833E-2</v>
      </c>
      <c r="O535" s="341">
        <f t="shared" si="224"/>
        <v>1.0116516900841448</v>
      </c>
      <c r="P535" s="342">
        <f t="shared" si="225"/>
        <v>0.18490643074284496</v>
      </c>
      <c r="Q535" s="343">
        <f t="shared" si="226"/>
        <v>-3.4641511293676066</v>
      </c>
      <c r="R535" s="344">
        <f t="shared" si="227"/>
        <v>-82.321779096575455</v>
      </c>
      <c r="S535" s="346">
        <f t="shared" si="228"/>
        <v>97.678220903424545</v>
      </c>
      <c r="U535" s="319">
        <f t="shared" si="234"/>
        <v>78529</v>
      </c>
      <c r="V535" s="319">
        <f t="shared" si="235"/>
        <v>6166803841</v>
      </c>
      <c r="X535" s="345">
        <f t="shared" si="229"/>
        <v>4.9294042863091745</v>
      </c>
      <c r="Y535" s="346">
        <f t="shared" si="230"/>
        <v>-8.7914948195513176</v>
      </c>
      <c r="AA535" s="345">
        <f t="shared" si="231"/>
        <v>28.439194742418231</v>
      </c>
      <c r="AB535" s="346">
        <f t="shared" si="232"/>
        <v>-73.530284277024123</v>
      </c>
      <c r="AD535">
        <f t="shared" si="236"/>
        <v>0</v>
      </c>
      <c r="AE535">
        <f t="shared" si="213"/>
        <v>0</v>
      </c>
    </row>
    <row r="536" spans="1:31" x14ac:dyDescent="0.2">
      <c r="A536" s="347">
        <v>78981</v>
      </c>
      <c r="B536" s="364">
        <f t="shared" si="233"/>
        <v>78.980999999999995</v>
      </c>
      <c r="C536" s="337">
        <f t="shared" si="214"/>
        <v>2.2282023067052537</v>
      </c>
      <c r="D536" s="338">
        <f t="shared" si="215"/>
        <v>1.1053829111821645</v>
      </c>
      <c r="E536" s="338">
        <f t="shared" si="216"/>
        <v>1.0000108799861125</v>
      </c>
      <c r="F536" s="339">
        <f t="shared" si="217"/>
        <v>4.6647373920456611E-3</v>
      </c>
      <c r="G536" s="338">
        <f t="shared" si="218"/>
        <v>1</v>
      </c>
      <c r="H536" s="339">
        <f t="shared" si="219"/>
        <v>0</v>
      </c>
      <c r="I536" s="337">
        <f t="shared" si="220"/>
        <v>571695.73225817969</v>
      </c>
      <c r="J536" s="340">
        <f t="shared" si="221"/>
        <v>1.5707945776126944</v>
      </c>
      <c r="K536" s="348">
        <f t="shared" si="237"/>
        <v>13.168858009304056</v>
      </c>
      <c r="L536" s="349">
        <f t="shared" si="238"/>
        <v>1.4947864278201737</v>
      </c>
      <c r="M536" s="337">
        <f t="shared" si="222"/>
        <v>1.0030058320948521</v>
      </c>
      <c r="N536" s="340">
        <f t="shared" si="223"/>
        <v>7.7438003174507455E-2</v>
      </c>
      <c r="O536" s="341">
        <f t="shared" si="224"/>
        <v>1.0117856035940502</v>
      </c>
      <c r="P536" s="342">
        <f t="shared" si="225"/>
        <v>0.18595822478897633</v>
      </c>
      <c r="Q536" s="343">
        <f t="shared" si="226"/>
        <v>-3.505649827304274</v>
      </c>
      <c r="R536" s="344">
        <f t="shared" si="227"/>
        <v>-82.512944279488991</v>
      </c>
      <c r="S536" s="346">
        <f t="shared" si="228"/>
        <v>97.487055720511009</v>
      </c>
      <c r="U536" s="319">
        <f t="shared" si="234"/>
        <v>78981</v>
      </c>
      <c r="V536" s="319">
        <f t="shared" si="235"/>
        <v>6237998361</v>
      </c>
      <c r="X536" s="345">
        <f t="shared" si="229"/>
        <v>4.9288185309969066</v>
      </c>
      <c r="Y536" s="346">
        <f t="shared" si="230"/>
        <v>-8.7918169575756622</v>
      </c>
      <c r="AA536" s="345">
        <f t="shared" si="231"/>
        <v>28.398281799793828</v>
      </c>
      <c r="AB536" s="346">
        <f t="shared" si="232"/>
        <v>-73.721127321913329</v>
      </c>
      <c r="AD536">
        <f t="shared" si="236"/>
        <v>0</v>
      </c>
      <c r="AE536">
        <f t="shared" si="213"/>
        <v>0</v>
      </c>
    </row>
    <row r="537" spans="1:31" x14ac:dyDescent="0.2">
      <c r="A537" s="347">
        <v>79433</v>
      </c>
      <c r="B537" s="364">
        <f t="shared" si="233"/>
        <v>79.433000000000007</v>
      </c>
      <c r="C537" s="337">
        <f t="shared" si="214"/>
        <v>2.2383915264590573</v>
      </c>
      <c r="D537" s="338">
        <f t="shared" si="215"/>
        <v>1.1076676725035359</v>
      </c>
      <c r="E537" s="338">
        <f t="shared" si="216"/>
        <v>1.0000110048718061</v>
      </c>
      <c r="F537" s="339">
        <f t="shared" si="217"/>
        <v>4.6914328055229449E-3</v>
      </c>
      <c r="G537" s="338">
        <f t="shared" si="218"/>
        <v>1</v>
      </c>
      <c r="H537" s="339">
        <f t="shared" si="219"/>
        <v>0</v>
      </c>
      <c r="I537" s="337">
        <f t="shared" si="220"/>
        <v>574967.48712301941</v>
      </c>
      <c r="J537" s="340">
        <f t="shared" si="221"/>
        <v>1.5707945875661187</v>
      </c>
      <c r="K537" s="348">
        <f t="shared" si="237"/>
        <v>13.243788657365831</v>
      </c>
      <c r="L537" s="349">
        <f t="shared" si="238"/>
        <v>1.4952172993505533</v>
      </c>
      <c r="M537" s="337">
        <f t="shared" si="222"/>
        <v>1.0030402823749722</v>
      </c>
      <c r="N537" s="340">
        <f t="shared" si="223"/>
        <v>7.7879388055851095E-2</v>
      </c>
      <c r="O537" s="341">
        <f t="shared" si="224"/>
        <v>1.0119202719581748</v>
      </c>
      <c r="P537" s="342">
        <f t="shared" si="225"/>
        <v>0.18700980738597464</v>
      </c>
      <c r="Q537" s="343">
        <f t="shared" si="226"/>
        <v>-3.5470159622282393</v>
      </c>
      <c r="R537" s="344">
        <f t="shared" si="227"/>
        <v>-82.703176111636466</v>
      </c>
      <c r="S537" s="346">
        <f t="shared" si="228"/>
        <v>97.296823888363534</v>
      </c>
      <c r="U537" s="319">
        <f t="shared" si="234"/>
        <v>79433</v>
      </c>
      <c r="V537" s="319">
        <f t="shared" si="235"/>
        <v>6309601489</v>
      </c>
      <c r="X537" s="345">
        <f t="shared" si="229"/>
        <v>4.928235996112817</v>
      </c>
      <c r="Y537" s="346">
        <f t="shared" si="230"/>
        <v>-8.7924198985043329</v>
      </c>
      <c r="AA537" s="345">
        <f t="shared" si="231"/>
        <v>28.357498199753955</v>
      </c>
      <c r="AB537" s="346">
        <f t="shared" si="232"/>
        <v>-73.910756213132132</v>
      </c>
      <c r="AD537">
        <f t="shared" si="236"/>
        <v>0</v>
      </c>
      <c r="AE537">
        <f t="shared" si="213"/>
        <v>0</v>
      </c>
    </row>
    <row r="538" spans="1:31" x14ac:dyDescent="0.2">
      <c r="A538" s="347">
        <v>79895.5</v>
      </c>
      <c r="B538" s="364">
        <f t="shared" si="233"/>
        <v>79.895499999999998</v>
      </c>
      <c r="C538" s="337">
        <f t="shared" si="214"/>
        <v>2.2488294267883013</v>
      </c>
      <c r="D538" s="338">
        <f t="shared" si="215"/>
        <v>1.1099840655616553</v>
      </c>
      <c r="E538" s="338">
        <f t="shared" si="216"/>
        <v>1.0000111333962829</v>
      </c>
      <c r="F538" s="339">
        <f t="shared" si="217"/>
        <v>4.7187483488959235E-3</v>
      </c>
      <c r="G538" s="338">
        <f t="shared" si="218"/>
        <v>1</v>
      </c>
      <c r="H538" s="339">
        <f t="shared" si="219"/>
        <v>0</v>
      </c>
      <c r="I538" s="337">
        <f t="shared" si="220"/>
        <v>578315.24514290539</v>
      </c>
      <c r="J538" s="340">
        <f t="shared" si="221"/>
        <v>1.5707945976341864</v>
      </c>
      <c r="K538" s="348">
        <f t="shared" si="237"/>
        <v>13.320462467097878</v>
      </c>
      <c r="L538" s="349">
        <f t="shared" si="238"/>
        <v>1.4956531622601443</v>
      </c>
      <c r="M538" s="337">
        <f t="shared" si="222"/>
        <v>1.0030757351989075</v>
      </c>
      <c r="N538" s="340">
        <f t="shared" si="223"/>
        <v>7.833099487362355E-2</v>
      </c>
      <c r="O538" s="341">
        <f t="shared" si="224"/>
        <v>1.0120588498012961</v>
      </c>
      <c r="P538" s="342">
        <f t="shared" si="225"/>
        <v>0.18808559831232136</v>
      </c>
      <c r="Q538" s="343">
        <f t="shared" si="226"/>
        <v>-3.5892063541653192</v>
      </c>
      <c r="R538" s="344">
        <f t="shared" si="227"/>
        <v>-82.896871508498819</v>
      </c>
      <c r="S538" s="346">
        <f t="shared" si="228"/>
        <v>97.103128491501181</v>
      </c>
      <c r="U538" s="319">
        <f t="shared" si="234"/>
        <v>79895.5</v>
      </c>
      <c r="V538" s="319">
        <f t="shared" si="235"/>
        <v>6383290920.25</v>
      </c>
      <c r="X538" s="345">
        <f t="shared" si="229"/>
        <v>4.9276431479172356</v>
      </c>
      <c r="Y538" s="346">
        <f t="shared" si="230"/>
        <v>-8.7933225348549868</v>
      </c>
      <c r="AA538" s="345">
        <f t="shared" si="231"/>
        <v>28.315900656012452</v>
      </c>
      <c r="AB538" s="346">
        <f t="shared" si="232"/>
        <v>-74.103548973643825</v>
      </c>
      <c r="AD538">
        <f t="shared" si="236"/>
        <v>0</v>
      </c>
      <c r="AE538">
        <f t="shared" ref="AE538:AE601" si="239">IF(AD538&gt;0,S538,0)</f>
        <v>0</v>
      </c>
    </row>
    <row r="539" spans="1:31" x14ac:dyDescent="0.2">
      <c r="A539" s="347">
        <v>80358</v>
      </c>
      <c r="B539" s="364">
        <f t="shared" si="233"/>
        <v>80.358000000000004</v>
      </c>
      <c r="C539" s="337">
        <f t="shared" si="214"/>
        <v>2.2592792820771557</v>
      </c>
      <c r="D539" s="338">
        <f t="shared" si="215"/>
        <v>1.1122790427913558</v>
      </c>
      <c r="E539" s="338">
        <f t="shared" si="216"/>
        <v>1.0000112626669067</v>
      </c>
      <c r="F539" s="339">
        <f t="shared" si="217"/>
        <v>4.7460638852271676E-3</v>
      </c>
      <c r="G539" s="338">
        <f t="shared" si="218"/>
        <v>1</v>
      </c>
      <c r="H539" s="339">
        <f t="shared" si="219"/>
        <v>0</v>
      </c>
      <c r="I539" s="337">
        <f t="shared" si="220"/>
        <v>581663.00316279125</v>
      </c>
      <c r="J539" s="340">
        <f t="shared" si="221"/>
        <v>1.5707946075863608</v>
      </c>
      <c r="K539" s="348">
        <f t="shared" si="237"/>
        <v>13.39713877843846</v>
      </c>
      <c r="L539" s="349">
        <f t="shared" si="238"/>
        <v>1.4960840360720467</v>
      </c>
      <c r="M539" s="337">
        <f t="shared" si="222"/>
        <v>1.003111392584368</v>
      </c>
      <c r="N539" s="340">
        <f t="shared" si="223"/>
        <v>7.8782569677147363E-2</v>
      </c>
      <c r="O539" s="341">
        <f t="shared" si="224"/>
        <v>1.0121982174882103</v>
      </c>
      <c r="P539" s="342">
        <f t="shared" si="225"/>
        <v>0.189161165511295</v>
      </c>
      <c r="Q539" s="343">
        <f t="shared" si="226"/>
        <v>-3.6312590482510601</v>
      </c>
      <c r="R539" s="344">
        <f t="shared" si="227"/>
        <v>-83.089611063865732</v>
      </c>
      <c r="S539" s="346">
        <f t="shared" si="228"/>
        <v>96.910388936134268</v>
      </c>
      <c r="U539" s="319">
        <f t="shared" si="234"/>
        <v>80358</v>
      </c>
      <c r="V539" s="319">
        <f t="shared" si="235"/>
        <v>6457408164</v>
      </c>
      <c r="X539" s="345">
        <f t="shared" si="229"/>
        <v>4.9270534423190373</v>
      </c>
      <c r="Y539" s="346">
        <f t="shared" si="230"/>
        <v>-8.7945091845255838</v>
      </c>
      <c r="AA539" s="345">
        <f t="shared" si="231"/>
        <v>28.274437667524911</v>
      </c>
      <c r="AB539" s="346">
        <f t="shared" si="232"/>
        <v>-74.295101879340152</v>
      </c>
      <c r="AD539">
        <f t="shared" si="236"/>
        <v>0</v>
      </c>
      <c r="AE539">
        <f t="shared" si="239"/>
        <v>0</v>
      </c>
    </row>
    <row r="540" spans="1:31" x14ac:dyDescent="0.2">
      <c r="A540" s="347">
        <v>80820.5</v>
      </c>
      <c r="B540" s="364">
        <f t="shared" si="233"/>
        <v>80.820499999999996</v>
      </c>
      <c r="C540" s="337">
        <f t="shared" si="214"/>
        <v>2.269740927204229</v>
      </c>
      <c r="D540" s="338">
        <f t="shared" si="215"/>
        <v>1.114552875977781</v>
      </c>
      <c r="E540" s="338">
        <f t="shared" si="216"/>
        <v>1.0000113926836773</v>
      </c>
      <c r="F540" s="339">
        <f t="shared" si="217"/>
        <v>4.7733794144759183E-3</v>
      </c>
      <c r="G540" s="338">
        <f t="shared" si="218"/>
        <v>1</v>
      </c>
      <c r="H540" s="339">
        <f t="shared" si="219"/>
        <v>0</v>
      </c>
      <c r="I540" s="337">
        <f t="shared" si="220"/>
        <v>585010.76118267723</v>
      </c>
      <c r="J540" s="340">
        <f t="shared" si="221"/>
        <v>1.5707946174246314</v>
      </c>
      <c r="K540" s="348">
        <f t="shared" si="237"/>
        <v>13.473817548679385</v>
      </c>
      <c r="L540" s="349">
        <f t="shared" si="238"/>
        <v>1.4965100058029519</v>
      </c>
      <c r="M540" s="337">
        <f t="shared" si="222"/>
        <v>1.0031472545095401</v>
      </c>
      <c r="N540" s="340">
        <f t="shared" si="223"/>
        <v>7.9234112285676173E-2</v>
      </c>
      <c r="O540" s="341">
        <f t="shared" si="224"/>
        <v>1.0123383747700117</v>
      </c>
      <c r="P540" s="342">
        <f t="shared" si="225"/>
        <v>0.190236507802171</v>
      </c>
      <c r="Q540" s="343">
        <f t="shared" si="226"/>
        <v>-3.6731746089745982</v>
      </c>
      <c r="R540" s="344">
        <f t="shared" si="227"/>
        <v>-83.281405400891074</v>
      </c>
      <c r="S540" s="346">
        <f t="shared" si="228"/>
        <v>96.718594599108926</v>
      </c>
      <c r="U540" s="319">
        <f t="shared" si="234"/>
        <v>80820.5</v>
      </c>
      <c r="V540" s="319">
        <f t="shared" si="235"/>
        <v>6531953220.25</v>
      </c>
      <c r="X540" s="345">
        <f t="shared" si="229"/>
        <v>4.9264667683016174</v>
      </c>
      <c r="Y540" s="346">
        <f t="shared" si="230"/>
        <v>-8.795974966176475</v>
      </c>
      <c r="AA540" s="345">
        <f t="shared" si="231"/>
        <v>28.233108780818796</v>
      </c>
      <c r="AB540" s="346">
        <f t="shared" si="232"/>
        <v>-74.485430434714587</v>
      </c>
      <c r="AD540">
        <f t="shared" si="236"/>
        <v>0</v>
      </c>
      <c r="AE540">
        <f t="shared" si="239"/>
        <v>0</v>
      </c>
    </row>
    <row r="541" spans="1:31" x14ac:dyDescent="0.2">
      <c r="A541" s="347">
        <v>81283</v>
      </c>
      <c r="B541" s="364">
        <f t="shared" si="233"/>
        <v>81.283000000000001</v>
      </c>
      <c r="C541" s="337">
        <f t="shared" si="214"/>
        <v>2.2802141998938463</v>
      </c>
      <c r="D541" s="338">
        <f t="shared" si="215"/>
        <v>1.116805832795748</v>
      </c>
      <c r="E541" s="338">
        <f t="shared" si="216"/>
        <v>1.0000115234465943</v>
      </c>
      <c r="F541" s="339">
        <f t="shared" si="217"/>
        <v>4.8006949366014157E-3</v>
      </c>
      <c r="G541" s="338">
        <f t="shared" si="218"/>
        <v>1</v>
      </c>
      <c r="H541" s="339">
        <f t="shared" si="219"/>
        <v>0</v>
      </c>
      <c r="I541" s="337">
        <f t="shared" si="220"/>
        <v>588358.51920256321</v>
      </c>
      <c r="J541" s="340">
        <f t="shared" si="221"/>
        <v>1.5707946271509425</v>
      </c>
      <c r="K541" s="348">
        <f t="shared" si="237"/>
        <v>13.55049873607781</v>
      </c>
      <c r="L541" s="349">
        <f t="shared" si="238"/>
        <v>1.4969311545523538</v>
      </c>
      <c r="M541" s="337">
        <f t="shared" si="222"/>
        <v>1.0031833209524876</v>
      </c>
      <c r="N541" s="340">
        <f t="shared" si="223"/>
        <v>7.9685622518541929E-2</v>
      </c>
      <c r="O541" s="341">
        <f t="shared" si="224"/>
        <v>1.0124793213965309</v>
      </c>
      <c r="P541" s="342">
        <f t="shared" si="225"/>
        <v>0.19131162400611579</v>
      </c>
      <c r="Q541" s="343">
        <f t="shared" si="226"/>
        <v>-3.7149536072816032</v>
      </c>
      <c r="R541" s="344">
        <f t="shared" si="227"/>
        <v>-83.472265017181869</v>
      </c>
      <c r="S541" s="346">
        <f t="shared" si="228"/>
        <v>96.527734982818131</v>
      </c>
      <c r="U541" s="319">
        <f t="shared" si="234"/>
        <v>81283</v>
      </c>
      <c r="V541" s="319">
        <f t="shared" si="235"/>
        <v>6606926089</v>
      </c>
      <c r="X541" s="345">
        <f t="shared" si="229"/>
        <v>4.9258830179932342</v>
      </c>
      <c r="Y541" s="346">
        <f t="shared" si="230"/>
        <v>-8.7977151083172718</v>
      </c>
      <c r="AA541" s="345">
        <f t="shared" si="231"/>
        <v>28.19191353282017</v>
      </c>
      <c r="AB541" s="346">
        <f t="shared" si="232"/>
        <v>-74.674549908864591</v>
      </c>
      <c r="AD541">
        <f t="shared" si="236"/>
        <v>0</v>
      </c>
      <c r="AE541">
        <f t="shared" si="239"/>
        <v>0</v>
      </c>
    </row>
    <row r="542" spans="1:31" x14ac:dyDescent="0.2">
      <c r="A542" s="347">
        <v>81756.25</v>
      </c>
      <c r="B542" s="364">
        <f t="shared" si="233"/>
        <v>81.756249999999994</v>
      </c>
      <c r="C542" s="337">
        <f t="shared" si="214"/>
        <v>2.2909427751523204</v>
      </c>
      <c r="D542" s="338">
        <f t="shared" si="215"/>
        <v>1.1190898207603774</v>
      </c>
      <c r="E542" s="338">
        <f t="shared" si="216"/>
        <v>1.0000116580212275</v>
      </c>
      <c r="F542" s="339">
        <f t="shared" si="217"/>
        <v>4.8286453526359451E-3</v>
      </c>
      <c r="G542" s="338">
        <f t="shared" si="218"/>
        <v>1</v>
      </c>
      <c r="H542" s="339">
        <f t="shared" si="219"/>
        <v>0</v>
      </c>
      <c r="I542" s="337">
        <f t="shared" si="220"/>
        <v>591784.08997642517</v>
      </c>
      <c r="J542" s="340">
        <f t="shared" si="221"/>
        <v>1.5707946369894137</v>
      </c>
      <c r="K542" s="348">
        <f t="shared" si="237"/>
        <v>13.628964702491475</v>
      </c>
      <c r="L542" s="349">
        <f t="shared" si="238"/>
        <v>1.4973571865285709</v>
      </c>
      <c r="M542" s="337">
        <f t="shared" si="222"/>
        <v>1.0032204373770368</v>
      </c>
      <c r="N542" s="340">
        <f t="shared" si="223"/>
        <v>8.0147593612013193E-2</v>
      </c>
      <c r="O542" s="341">
        <f t="shared" si="224"/>
        <v>1.0126243608958221</v>
      </c>
      <c r="P542" s="342">
        <f t="shared" si="225"/>
        <v>0.19241149413929726</v>
      </c>
      <c r="Q542" s="343">
        <f t="shared" si="226"/>
        <v>-3.7575629264216275</v>
      </c>
      <c r="R542" s="344">
        <f t="shared" si="227"/>
        <v>-83.666604087446217</v>
      </c>
      <c r="S542" s="346">
        <f t="shared" si="228"/>
        <v>96.333395912553783</v>
      </c>
      <c r="U542" s="319">
        <f t="shared" si="234"/>
        <v>81756.25</v>
      </c>
      <c r="V542" s="319">
        <f t="shared" si="235"/>
        <v>6684084414.0625</v>
      </c>
      <c r="X542" s="345">
        <f t="shared" si="229"/>
        <v>4.9252886165292367</v>
      </c>
      <c r="Y542" s="346">
        <f t="shared" si="230"/>
        <v>-8.7997748317606028</v>
      </c>
      <c r="AA542" s="345">
        <f t="shared" si="231"/>
        <v>28.149898615144142</v>
      </c>
      <c r="AB542" s="346">
        <f t="shared" si="232"/>
        <v>-74.866829255685616</v>
      </c>
      <c r="AD542">
        <f t="shared" si="236"/>
        <v>0</v>
      </c>
      <c r="AE542">
        <f t="shared" si="239"/>
        <v>0</v>
      </c>
    </row>
    <row r="543" spans="1:31" x14ac:dyDescent="0.2">
      <c r="A543" s="347">
        <v>82229.5</v>
      </c>
      <c r="B543" s="364">
        <f t="shared" si="233"/>
        <v>82.229500000000002</v>
      </c>
      <c r="C543" s="337">
        <f t="shared" si="214"/>
        <v>2.3016831898979717</v>
      </c>
      <c r="D543" s="338">
        <f t="shared" si="215"/>
        <v>1.1213525047509965</v>
      </c>
      <c r="E543" s="338">
        <f t="shared" si="216"/>
        <v>1.0000117933770953</v>
      </c>
      <c r="F543" s="339">
        <f t="shared" si="217"/>
        <v>4.8565957611258932E-3</v>
      </c>
      <c r="G543" s="338">
        <f t="shared" si="218"/>
        <v>1</v>
      </c>
      <c r="H543" s="339">
        <f t="shared" si="219"/>
        <v>0</v>
      </c>
      <c r="I543" s="337">
        <f t="shared" si="220"/>
        <v>595209.660750287</v>
      </c>
      <c r="J543" s="340">
        <f t="shared" si="221"/>
        <v>1.5707946467146392</v>
      </c>
      <c r="K543" s="348">
        <f t="shared" si="237"/>
        <v>13.707433114285593</v>
      </c>
      <c r="L543" s="349">
        <f t="shared" si="238"/>
        <v>1.497778340927294</v>
      </c>
      <c r="M543" s="337">
        <f t="shared" si="222"/>
        <v>1.0032577678903056</v>
      </c>
      <c r="N543" s="340">
        <f t="shared" si="223"/>
        <v>8.0609530424827172E-2</v>
      </c>
      <c r="O543" s="341">
        <f t="shared" si="224"/>
        <v>1.0127702263261402</v>
      </c>
      <c r="P543" s="342">
        <f t="shared" si="225"/>
        <v>0.19351112506228771</v>
      </c>
      <c r="Q543" s="343">
        <f t="shared" si="226"/>
        <v>-3.8000304895845276</v>
      </c>
      <c r="R543" s="344">
        <f t="shared" si="227"/>
        <v>-83.859986318588909</v>
      </c>
      <c r="S543" s="346">
        <f t="shared" si="228"/>
        <v>96.140013681411091</v>
      </c>
      <c r="U543" s="319">
        <f t="shared" si="234"/>
        <v>82229.5</v>
      </c>
      <c r="V543" s="319">
        <f t="shared" si="235"/>
        <v>6761690670.25</v>
      </c>
      <c r="X543" s="345">
        <f t="shared" si="229"/>
        <v>4.9246970573850293</v>
      </c>
      <c r="Y543" s="346">
        <f t="shared" si="230"/>
        <v>-8.8021120491833997</v>
      </c>
      <c r="AA543" s="345">
        <f t="shared" si="231"/>
        <v>28.108022611125453</v>
      </c>
      <c r="AB543" s="346">
        <f t="shared" si="232"/>
        <v>-75.057874269405502</v>
      </c>
      <c r="AD543">
        <f t="shared" si="236"/>
        <v>0</v>
      </c>
      <c r="AE543">
        <f t="shared" si="239"/>
        <v>0</v>
      </c>
    </row>
    <row r="544" spans="1:31" x14ac:dyDescent="0.2">
      <c r="A544" s="347">
        <v>82702.75</v>
      </c>
      <c r="B544" s="364">
        <f t="shared" si="233"/>
        <v>82.702749999999995</v>
      </c>
      <c r="C544" s="337">
        <f t="shared" si="214"/>
        <v>2.3124352791605656</v>
      </c>
      <c r="D544" s="338">
        <f t="shared" si="215"/>
        <v>1.1235941586064089</v>
      </c>
      <c r="E544" s="338">
        <f t="shared" si="216"/>
        <v>1.0000119295141976</v>
      </c>
      <c r="F544" s="339">
        <f t="shared" si="217"/>
        <v>4.8845461620275936E-3</v>
      </c>
      <c r="G544" s="338">
        <f t="shared" si="218"/>
        <v>1</v>
      </c>
      <c r="H544" s="339">
        <f t="shared" si="219"/>
        <v>0</v>
      </c>
      <c r="I544" s="337">
        <f t="shared" si="220"/>
        <v>598635.23152414896</v>
      </c>
      <c r="J544" s="340">
        <f t="shared" si="221"/>
        <v>1.5707946563285637</v>
      </c>
      <c r="K544" s="348">
        <f t="shared" si="237"/>
        <v>13.785903929703359</v>
      </c>
      <c r="L544" s="349">
        <f t="shared" si="238"/>
        <v>1.4981947008888838</v>
      </c>
      <c r="M544" s="337">
        <f t="shared" si="222"/>
        <v>1.0032953124683968</v>
      </c>
      <c r="N544" s="340">
        <f t="shared" si="223"/>
        <v>8.1071432763680104E-2</v>
      </c>
      <c r="O544" s="341">
        <f t="shared" si="224"/>
        <v>1.0129169174153727</v>
      </c>
      <c r="P544" s="342">
        <f t="shared" si="225"/>
        <v>0.19461051551833189</v>
      </c>
      <c r="Q544" s="343">
        <f t="shared" si="226"/>
        <v>-3.8423569269549218</v>
      </c>
      <c r="R544" s="344">
        <f t="shared" si="227"/>
        <v>-84.052422553857582</v>
      </c>
      <c r="S544" s="346">
        <f t="shared" si="228"/>
        <v>95.947577446142418</v>
      </c>
      <c r="U544" s="319">
        <f t="shared" si="234"/>
        <v>82702.75</v>
      </c>
      <c r="V544" s="319">
        <f t="shared" si="235"/>
        <v>6839744857.5625</v>
      </c>
      <c r="X544" s="345">
        <f t="shared" si="229"/>
        <v>4.9241082345402383</v>
      </c>
      <c r="Y544" s="346">
        <f t="shared" si="230"/>
        <v>-8.8047219860298558</v>
      </c>
      <c r="AA544" s="345">
        <f t="shared" si="231"/>
        <v>28.066284996599848</v>
      </c>
      <c r="AB544" s="346">
        <f t="shared" si="232"/>
        <v>-75.247700567827721</v>
      </c>
      <c r="AD544">
        <f t="shared" si="236"/>
        <v>0</v>
      </c>
      <c r="AE544">
        <f t="shared" si="239"/>
        <v>0</v>
      </c>
    </row>
    <row r="545" spans="1:31" x14ac:dyDescent="0.2">
      <c r="A545" s="347">
        <v>83176</v>
      </c>
      <c r="B545" s="364">
        <f t="shared" si="233"/>
        <v>83.176000000000002</v>
      </c>
      <c r="C545" s="337">
        <f t="shared" si="214"/>
        <v>2.3231988808462165</v>
      </c>
      <c r="D545" s="338">
        <f t="shared" si="215"/>
        <v>1.12581505194423</v>
      </c>
      <c r="E545" s="338">
        <f t="shared" si="216"/>
        <v>1.000012066432534</v>
      </c>
      <c r="F545" s="339">
        <f t="shared" si="217"/>
        <v>4.9124965552973764E-3</v>
      </c>
      <c r="G545" s="338">
        <f t="shared" si="218"/>
        <v>1</v>
      </c>
      <c r="H545" s="339">
        <f t="shared" si="219"/>
        <v>0</v>
      </c>
      <c r="I545" s="337">
        <f t="shared" si="220"/>
        <v>602060.80229801091</v>
      </c>
      <c r="J545" s="340">
        <f t="shared" si="221"/>
        <v>1.5707946658330865</v>
      </c>
      <c r="K545" s="348">
        <f t="shared" si="237"/>
        <v>13.864377107932055</v>
      </c>
      <c r="L545" s="349">
        <f t="shared" si="238"/>
        <v>1.4986063476781206</v>
      </c>
      <c r="M545" s="337">
        <f t="shared" si="222"/>
        <v>1.003333071087279</v>
      </c>
      <c r="N545" s="340">
        <f t="shared" si="223"/>
        <v>8.1533300435355921E-2</v>
      </c>
      <c r="O545" s="341">
        <f t="shared" si="224"/>
        <v>1.0130644338900341</v>
      </c>
      <c r="P545" s="342">
        <f t="shared" si="225"/>
        <v>0.19570966425278469</v>
      </c>
      <c r="Q545" s="343">
        <f t="shared" si="226"/>
        <v>-3.8845428741564731</v>
      </c>
      <c r="R545" s="344">
        <f t="shared" si="227"/>
        <v>-84.243923502229663</v>
      </c>
      <c r="S545" s="346">
        <f t="shared" si="228"/>
        <v>95.756076497770337</v>
      </c>
      <c r="U545" s="319">
        <f t="shared" si="234"/>
        <v>83176</v>
      </c>
      <c r="V545" s="319">
        <f t="shared" si="235"/>
        <v>6918246976</v>
      </c>
      <c r="X545" s="345">
        <f t="shared" si="229"/>
        <v>4.9235220449802082</v>
      </c>
      <c r="Y545" s="346">
        <f t="shared" si="230"/>
        <v>-8.8075999752093672</v>
      </c>
      <c r="AA545" s="345">
        <f t="shared" si="231"/>
        <v>28.024685238958327</v>
      </c>
      <c r="AB545" s="346">
        <f t="shared" si="232"/>
        <v>-75.436323527020321</v>
      </c>
      <c r="AD545">
        <f t="shared" si="236"/>
        <v>0</v>
      </c>
      <c r="AE545">
        <f t="shared" si="239"/>
        <v>0</v>
      </c>
    </row>
    <row r="546" spans="1:31" x14ac:dyDescent="0.2">
      <c r="A546" s="347">
        <v>83660.5</v>
      </c>
      <c r="B546" s="364">
        <f t="shared" si="233"/>
        <v>83.660499999999999</v>
      </c>
      <c r="C546" s="337">
        <f t="shared" si="214"/>
        <v>2.3342301125113427</v>
      </c>
      <c r="D546" s="338">
        <f t="shared" si="215"/>
        <v>1.1280675103990061</v>
      </c>
      <c r="E546" s="338">
        <f t="shared" si="216"/>
        <v>1.0000122074149758</v>
      </c>
      <c r="F546" s="339">
        <f t="shared" si="217"/>
        <v>4.9411113715171701E-3</v>
      </c>
      <c r="G546" s="338">
        <f t="shared" si="218"/>
        <v>1</v>
      </c>
      <c r="H546" s="339">
        <f t="shared" si="219"/>
        <v>0</v>
      </c>
      <c r="I546" s="337">
        <f t="shared" si="220"/>
        <v>605567.80502370815</v>
      </c>
      <c r="J546" s="340">
        <f t="shared" si="221"/>
        <v>1.570794675452154</v>
      </c>
      <c r="K546" s="348">
        <f t="shared" si="237"/>
        <v>13.944718140217681</v>
      </c>
      <c r="L546" s="349">
        <f t="shared" si="238"/>
        <v>1.4990229804217519</v>
      </c>
      <c r="M546" s="337">
        <f t="shared" si="222"/>
        <v>1.0033719490043866</v>
      </c>
      <c r="N546" s="340">
        <f t="shared" si="223"/>
        <v>8.2006111413926538E-2</v>
      </c>
      <c r="O546" s="341">
        <f t="shared" si="224"/>
        <v>1.0132163118584496</v>
      </c>
      <c r="P546" s="342">
        <f t="shared" si="225"/>
        <v>0.19683469000408746</v>
      </c>
      <c r="Q546" s="343">
        <f t="shared" si="226"/>
        <v>-3.9275867864508984</v>
      </c>
      <c r="R546" s="344">
        <f t="shared" si="227"/>
        <v>-84.439018911526574</v>
      </c>
      <c r="S546" s="346">
        <f t="shared" si="228"/>
        <v>95.560981088473426</v>
      </c>
      <c r="U546" s="319">
        <f t="shared" si="234"/>
        <v>83660.5</v>
      </c>
      <c r="V546" s="319">
        <f t="shared" si="235"/>
        <v>6999079260.25</v>
      </c>
      <c r="X546" s="345">
        <f t="shared" si="229"/>
        <v>4.9229245440579872</v>
      </c>
      <c r="Y546" s="346">
        <f t="shared" si="230"/>
        <v>-8.8108193021075358</v>
      </c>
      <c r="AA546" s="345">
        <f t="shared" si="231"/>
        <v>27.982238827586126</v>
      </c>
      <c r="AB546" s="346">
        <f t="shared" si="232"/>
        <v>-75.628199609419028</v>
      </c>
      <c r="AD546">
        <f t="shared" si="236"/>
        <v>0</v>
      </c>
      <c r="AE546">
        <f t="shared" si="239"/>
        <v>0</v>
      </c>
    </row>
    <row r="547" spans="1:31" x14ac:dyDescent="0.2">
      <c r="A547" s="347">
        <v>84145</v>
      </c>
      <c r="B547" s="364">
        <f t="shared" si="233"/>
        <v>84.144999999999996</v>
      </c>
      <c r="C547" s="337">
        <f t="shared" si="214"/>
        <v>2.3452730756109865</v>
      </c>
      <c r="D547" s="338">
        <f t="shared" si="215"/>
        <v>1.1302987682140564</v>
      </c>
      <c r="E547" s="338">
        <f t="shared" si="216"/>
        <v>1.0000123492162349</v>
      </c>
      <c r="F547" s="339">
        <f t="shared" si="217"/>
        <v>4.969726179645262E-3</v>
      </c>
      <c r="G547" s="338">
        <f t="shared" si="218"/>
        <v>1</v>
      </c>
      <c r="H547" s="339">
        <f t="shared" si="219"/>
        <v>0</v>
      </c>
      <c r="I547" s="337">
        <f t="shared" si="220"/>
        <v>609074.80774940515</v>
      </c>
      <c r="J547" s="340">
        <f t="shared" si="221"/>
        <v>1.5707946849604499</v>
      </c>
      <c r="K547" s="348">
        <f t="shared" si="237"/>
        <v>14.025061565335013</v>
      </c>
      <c r="L547" s="349">
        <f t="shared" si="238"/>
        <v>1.4994348398237587</v>
      </c>
      <c r="M547" s="337">
        <f t="shared" si="222"/>
        <v>1.0034110512081047</v>
      </c>
      <c r="N547" s="340">
        <f t="shared" si="223"/>
        <v>8.2478885647974634E-2</v>
      </c>
      <c r="O547" s="341">
        <f t="shared" si="224"/>
        <v>1.0133690543360043</v>
      </c>
      <c r="P547" s="342">
        <f t="shared" si="225"/>
        <v>0.19795945975043874</v>
      </c>
      <c r="Q547" s="343">
        <f t="shared" si="226"/>
        <v>-3.9704848138705802</v>
      </c>
      <c r="R547" s="344">
        <f t="shared" si="227"/>
        <v>-84.633156326779897</v>
      </c>
      <c r="S547" s="346">
        <f t="shared" si="228"/>
        <v>95.366843673220103</v>
      </c>
      <c r="U547" s="319">
        <f t="shared" si="234"/>
        <v>84145</v>
      </c>
      <c r="V547" s="319">
        <f t="shared" si="235"/>
        <v>7080381025</v>
      </c>
      <c r="X547" s="345">
        <f t="shared" si="229"/>
        <v>4.9223295938167304</v>
      </c>
      <c r="Y547" s="346">
        <f t="shared" si="230"/>
        <v>-8.81431000968246</v>
      </c>
      <c r="AA547" s="345">
        <f t="shared" si="231"/>
        <v>27.939935750407699</v>
      </c>
      <c r="AB547" s="346">
        <f t="shared" si="232"/>
        <v>-75.818846317097467</v>
      </c>
      <c r="AD547">
        <f t="shared" si="236"/>
        <v>0</v>
      </c>
      <c r="AE547">
        <f t="shared" si="239"/>
        <v>0</v>
      </c>
    </row>
    <row r="548" spans="1:31" x14ac:dyDescent="0.2">
      <c r="A548" s="347">
        <v>84629.5</v>
      </c>
      <c r="B548" s="364">
        <f t="shared" si="233"/>
        <v>84.629499999999993</v>
      </c>
      <c r="C548" s="337">
        <f t="shared" si="214"/>
        <v>2.3563276052065465</v>
      </c>
      <c r="D548" s="338">
        <f t="shared" si="215"/>
        <v>1.1325091013988322</v>
      </c>
      <c r="E548" s="338">
        <f t="shared" si="216"/>
        <v>1.0000124918363114</v>
      </c>
      <c r="F548" s="339">
        <f t="shared" si="217"/>
        <v>4.9983409796347921E-3</v>
      </c>
      <c r="G548" s="338">
        <f t="shared" si="218"/>
        <v>1</v>
      </c>
      <c r="H548" s="339">
        <f t="shared" si="219"/>
        <v>0</v>
      </c>
      <c r="I548" s="337">
        <f t="shared" si="220"/>
        <v>612581.81047510239</v>
      </c>
      <c r="J548" s="340">
        <f t="shared" si="221"/>
        <v>1.5707946943598767</v>
      </c>
      <c r="K548" s="348">
        <f t="shared" si="237"/>
        <v>14.105407342395841</v>
      </c>
      <c r="L548" s="349">
        <f t="shared" si="238"/>
        <v>1.4998420073114669</v>
      </c>
      <c r="M548" s="337">
        <f t="shared" si="222"/>
        <v>1.0034503776722135</v>
      </c>
      <c r="N548" s="340">
        <f t="shared" si="223"/>
        <v>8.2951622930463431E-2</v>
      </c>
      <c r="O548" s="341">
        <f t="shared" si="224"/>
        <v>1.0135226610247916</v>
      </c>
      <c r="P548" s="342">
        <f t="shared" si="225"/>
        <v>0.19908397215250781</v>
      </c>
      <c r="Q548" s="343">
        <f t="shared" si="226"/>
        <v>-4.0132376537433903</v>
      </c>
      <c r="R548" s="344">
        <f t="shared" si="227"/>
        <v>-84.826346808235627</v>
      </c>
      <c r="S548" s="346">
        <f t="shared" si="228"/>
        <v>95.173653191764373</v>
      </c>
      <c r="U548" s="319">
        <f t="shared" si="234"/>
        <v>84629.5</v>
      </c>
      <c r="V548" s="319">
        <f t="shared" si="235"/>
        <v>7162152270.25</v>
      </c>
      <c r="X548" s="345">
        <f t="shared" si="229"/>
        <v>4.921737092862438</v>
      </c>
      <c r="Y548" s="346">
        <f t="shared" si="230"/>
        <v>-8.8180674207387089</v>
      </c>
      <c r="AA548" s="345">
        <f t="shared" si="231"/>
        <v>27.897775411489182</v>
      </c>
      <c r="AB548" s="346">
        <f t="shared" si="232"/>
        <v>-76.008279387496941</v>
      </c>
      <c r="AD548">
        <f t="shared" si="236"/>
        <v>0</v>
      </c>
      <c r="AE548">
        <f t="shared" si="239"/>
        <v>0</v>
      </c>
    </row>
    <row r="549" spans="1:31" x14ac:dyDescent="0.2">
      <c r="A549" s="347">
        <v>85114</v>
      </c>
      <c r="B549" s="364">
        <f t="shared" si="233"/>
        <v>85.114000000000004</v>
      </c>
      <c r="C549" s="337">
        <f t="shared" si="214"/>
        <v>2.3673935392689822</v>
      </c>
      <c r="D549" s="338">
        <f t="shared" si="215"/>
        <v>1.1346987816281164</v>
      </c>
      <c r="E549" s="338">
        <f t="shared" si="216"/>
        <v>1.0000126352752043</v>
      </c>
      <c r="F549" s="339">
        <f t="shared" si="217"/>
        <v>5.0269557714389072E-3</v>
      </c>
      <c r="G549" s="338">
        <f t="shared" si="218"/>
        <v>1</v>
      </c>
      <c r="H549" s="339">
        <f t="shared" si="219"/>
        <v>0</v>
      </c>
      <c r="I549" s="337">
        <f t="shared" si="220"/>
        <v>616088.81320079975</v>
      </c>
      <c r="J549" s="340">
        <f t="shared" si="221"/>
        <v>1.5707947036522936</v>
      </c>
      <c r="K549" s="348">
        <f t="shared" si="237"/>
        <v>14.185755431437105</v>
      </c>
      <c r="L549" s="349">
        <f t="shared" si="238"/>
        <v>1.50024456247369</v>
      </c>
      <c r="M549" s="337">
        <f t="shared" si="222"/>
        <v>1.0034899283703469</v>
      </c>
      <c r="N549" s="340">
        <f t="shared" si="223"/>
        <v>8.342432305445463E-2</v>
      </c>
      <c r="O549" s="341">
        <f t="shared" si="224"/>
        <v>1.0136771316254114</v>
      </c>
      <c r="P549" s="342">
        <f t="shared" si="225"/>
        <v>0.20020822587332274</v>
      </c>
      <c r="Q549" s="343">
        <f t="shared" si="226"/>
        <v>-4.055846007780759</v>
      </c>
      <c r="R549" s="344">
        <f t="shared" si="227"/>
        <v>-85.01860127325881</v>
      </c>
      <c r="S549" s="346">
        <f t="shared" si="228"/>
        <v>94.98139872674119</v>
      </c>
      <c r="U549" s="319">
        <f t="shared" si="234"/>
        <v>85114</v>
      </c>
      <c r="V549" s="319">
        <f t="shared" si="235"/>
        <v>7244392996</v>
      </c>
      <c r="X549" s="345">
        <f t="shared" si="229"/>
        <v>4.9211469426796173</v>
      </c>
      <c r="Y549" s="346">
        <f t="shared" si="230"/>
        <v>-8.8220869634229899</v>
      </c>
      <c r="AA549" s="345">
        <f t="shared" si="231"/>
        <v>27.855757207634632</v>
      </c>
      <c r="AB549" s="346">
        <f t="shared" si="232"/>
        <v>-76.19651430983582</v>
      </c>
      <c r="AD549">
        <f t="shared" si="236"/>
        <v>0</v>
      </c>
      <c r="AE549">
        <f t="shared" si="239"/>
        <v>0</v>
      </c>
    </row>
    <row r="550" spans="1:31" x14ac:dyDescent="0.2">
      <c r="A550" s="347">
        <v>85609.5</v>
      </c>
      <c r="B550" s="364">
        <f t="shared" si="233"/>
        <v>85.609499999999997</v>
      </c>
      <c r="C550" s="337">
        <f t="shared" si="214"/>
        <v>2.378722342211371</v>
      </c>
      <c r="D550" s="338">
        <f t="shared" si="215"/>
        <v>1.1369170929877923</v>
      </c>
      <c r="E550" s="338">
        <f t="shared" si="216"/>
        <v>1.0000127828176208</v>
      </c>
      <c r="F550" s="339">
        <f t="shared" si="217"/>
        <v>5.0562202197637031E-3</v>
      </c>
      <c r="G550" s="338">
        <f t="shared" si="218"/>
        <v>1</v>
      </c>
      <c r="H550" s="339">
        <f t="shared" si="219"/>
        <v>0</v>
      </c>
      <c r="I550" s="337">
        <f t="shared" si="220"/>
        <v>619675.43827940244</v>
      </c>
      <c r="J550" s="340">
        <f t="shared" si="221"/>
        <v>1.5707947130468953</v>
      </c>
      <c r="K550" s="348">
        <f t="shared" si="237"/>
        <v>14.267930079505886</v>
      </c>
      <c r="L550" s="349">
        <f t="shared" si="238"/>
        <v>1.5006515676550041</v>
      </c>
      <c r="M550" s="337">
        <f t="shared" si="222"/>
        <v>1.0035306089209863</v>
      </c>
      <c r="N550" s="340">
        <f t="shared" si="223"/>
        <v>8.3907716627114701E-2</v>
      </c>
      <c r="O550" s="341">
        <f t="shared" si="224"/>
        <v>1.0138360025405482</v>
      </c>
      <c r="P550" s="342">
        <f t="shared" si="225"/>
        <v>0.20135773549808275</v>
      </c>
      <c r="Q550" s="343">
        <f t="shared" si="226"/>
        <v>-4.0992730259963066</v>
      </c>
      <c r="R550" s="344">
        <f t="shared" si="227"/>
        <v>-85.214263743366288</v>
      </c>
      <c r="S550" s="346">
        <f t="shared" si="228"/>
        <v>94.785736256633712</v>
      </c>
      <c r="U550" s="319">
        <f t="shared" si="234"/>
        <v>85609.5</v>
      </c>
      <c r="V550" s="319">
        <f t="shared" si="235"/>
        <v>7328986490.25</v>
      </c>
      <c r="X550" s="345">
        <f t="shared" si="229"/>
        <v>4.9205457255166714</v>
      </c>
      <c r="Y550" s="346">
        <f t="shared" si="230"/>
        <v>-8.8264642341269397</v>
      </c>
      <c r="AA550" s="345">
        <f t="shared" si="231"/>
        <v>27.812931406582031</v>
      </c>
      <c r="AB550" s="346">
        <f t="shared" si="232"/>
        <v>-76.387799509239372</v>
      </c>
      <c r="AD550">
        <f t="shared" si="236"/>
        <v>0</v>
      </c>
      <c r="AE550">
        <f t="shared" si="239"/>
        <v>0</v>
      </c>
    </row>
    <row r="551" spans="1:31" x14ac:dyDescent="0.2">
      <c r="A551" s="347">
        <v>86105</v>
      </c>
      <c r="B551" s="364">
        <f t="shared" si="233"/>
        <v>86.105000000000004</v>
      </c>
      <c r="C551" s="337">
        <f t="shared" si="214"/>
        <v>2.3900627396207912</v>
      </c>
      <c r="D551" s="338">
        <f t="shared" si="215"/>
        <v>1.1391143641357873</v>
      </c>
      <c r="E551" s="338">
        <f t="shared" si="216"/>
        <v>1.0000129312164561</v>
      </c>
      <c r="F551" s="339">
        <f t="shared" si="217"/>
        <v>5.0854846594280542E-3</v>
      </c>
      <c r="G551" s="338">
        <f t="shared" si="218"/>
        <v>1</v>
      </c>
      <c r="H551" s="339">
        <f t="shared" si="219"/>
        <v>0</v>
      </c>
      <c r="I551" s="337">
        <f t="shared" si="220"/>
        <v>623262.06335800525</v>
      </c>
      <c r="J551" s="340">
        <f t="shared" si="221"/>
        <v>1.5707947223333727</v>
      </c>
      <c r="K551" s="348">
        <f t="shared" si="237"/>
        <v>14.350107064033883</v>
      </c>
      <c r="L551" s="349">
        <f t="shared" si="238"/>
        <v>1.5010539114097967</v>
      </c>
      <c r="M551" s="337">
        <f t="shared" si="222"/>
        <v>1.0035715239469241</v>
      </c>
      <c r="N551" s="340">
        <f t="shared" si="223"/>
        <v>8.4391070897363946E-2</v>
      </c>
      <c r="O551" s="341">
        <f t="shared" si="224"/>
        <v>1.0139957764028518</v>
      </c>
      <c r="P551" s="342">
        <f t="shared" si="225"/>
        <v>0.20250697174125024</v>
      </c>
      <c r="Q551" s="343">
        <f t="shared" si="226"/>
        <v>-4.1425504201501866</v>
      </c>
      <c r="R551" s="344">
        <f t="shared" si="227"/>
        <v>-85.408969857036951</v>
      </c>
      <c r="S551" s="346">
        <f t="shared" si="228"/>
        <v>94.591030142963049</v>
      </c>
      <c r="U551" s="319">
        <f t="shared" si="234"/>
        <v>86105</v>
      </c>
      <c r="V551" s="319">
        <f t="shared" si="235"/>
        <v>7414071025</v>
      </c>
      <c r="X551" s="345">
        <f t="shared" si="229"/>
        <v>4.9199467674643742</v>
      </c>
      <c r="Y551" s="346">
        <f t="shared" si="230"/>
        <v>-8.8311063268400396</v>
      </c>
      <c r="AA551" s="345">
        <f t="shared" si="231"/>
        <v>27.770252970480445</v>
      </c>
      <c r="AB551" s="346">
        <f t="shared" si="232"/>
        <v>-76.577863530196908</v>
      </c>
      <c r="AD551">
        <f t="shared" si="236"/>
        <v>0</v>
      </c>
      <c r="AE551">
        <f t="shared" si="239"/>
        <v>0</v>
      </c>
    </row>
    <row r="552" spans="1:31" x14ac:dyDescent="0.2">
      <c r="A552" s="347">
        <v>86600.5</v>
      </c>
      <c r="B552" s="364">
        <f t="shared" si="233"/>
        <v>86.600499999999997</v>
      </c>
      <c r="C552" s="337">
        <f t="shared" si="214"/>
        <v>2.4014145672367357</v>
      </c>
      <c r="D552" s="338">
        <f t="shared" si="215"/>
        <v>1.1412908720839909</v>
      </c>
      <c r="E552" s="338">
        <f t="shared" si="216"/>
        <v>1.0000130804717093</v>
      </c>
      <c r="F552" s="339">
        <f t="shared" si="217"/>
        <v>5.1147490903818392E-3</v>
      </c>
      <c r="G552" s="338">
        <f t="shared" si="218"/>
        <v>1</v>
      </c>
      <c r="H552" s="339">
        <f t="shared" si="219"/>
        <v>0</v>
      </c>
      <c r="I552" s="337">
        <f t="shared" si="220"/>
        <v>626848.68843660818</v>
      </c>
      <c r="J552" s="340">
        <f t="shared" si="221"/>
        <v>1.5707947315135815</v>
      </c>
      <c r="K552" s="348">
        <f t="shared" si="237"/>
        <v>14.432286345109921</v>
      </c>
      <c r="L552" s="349">
        <f t="shared" si="238"/>
        <v>1.5014516732349525</v>
      </c>
      <c r="M552" s="337">
        <f t="shared" si="222"/>
        <v>1.0036126734194832</v>
      </c>
      <c r="N552" s="340">
        <f t="shared" si="223"/>
        <v>8.4874385644169603E-2</v>
      </c>
      <c r="O552" s="341">
        <f t="shared" si="224"/>
        <v>1.01415645288724</v>
      </c>
      <c r="P552" s="342">
        <f t="shared" si="225"/>
        <v>0.2036559331804286</v>
      </c>
      <c r="Q552" s="343">
        <f t="shared" si="226"/>
        <v>-4.1856789527320624</v>
      </c>
      <c r="R552" s="344">
        <f t="shared" si="227"/>
        <v>-85.602730836994567</v>
      </c>
      <c r="S552" s="346">
        <f t="shared" si="228"/>
        <v>94.397269163005433</v>
      </c>
      <c r="U552" s="319">
        <f t="shared" si="234"/>
        <v>86600.5</v>
      </c>
      <c r="V552" s="319">
        <f t="shared" si="235"/>
        <v>7499646600.25</v>
      </c>
      <c r="X552" s="345">
        <f t="shared" si="229"/>
        <v>4.9193499718678728</v>
      </c>
      <c r="Y552" s="346">
        <f t="shared" si="230"/>
        <v>-8.836008674168415</v>
      </c>
      <c r="AA552" s="345">
        <f t="shared" si="231"/>
        <v>27.727721233495075</v>
      </c>
      <c r="AB552" s="346">
        <f t="shared" si="232"/>
        <v>-76.766722162826156</v>
      </c>
      <c r="AD552">
        <f t="shared" si="236"/>
        <v>0</v>
      </c>
      <c r="AE552">
        <f t="shared" si="239"/>
        <v>0</v>
      </c>
    </row>
    <row r="553" spans="1:31" x14ac:dyDescent="0.2">
      <c r="A553" s="347">
        <v>87096</v>
      </c>
      <c r="B553" s="364">
        <f t="shared" si="233"/>
        <v>87.096000000000004</v>
      </c>
      <c r="C553" s="337">
        <f t="shared" si="214"/>
        <v>2.4127776637259832</v>
      </c>
      <c r="D553" s="338">
        <f t="shared" si="215"/>
        <v>1.1434468894206602</v>
      </c>
      <c r="E553" s="338">
        <f t="shared" si="216"/>
        <v>1.0000132305833807</v>
      </c>
      <c r="F553" s="339">
        <f t="shared" si="217"/>
        <v>5.1440135125749376E-3</v>
      </c>
      <c r="G553" s="338">
        <f t="shared" si="218"/>
        <v>1</v>
      </c>
      <c r="H553" s="339">
        <f t="shared" si="219"/>
        <v>0</v>
      </c>
      <c r="I553" s="337">
        <f t="shared" si="220"/>
        <v>630435.31351521111</v>
      </c>
      <c r="J553" s="340">
        <f t="shared" si="221"/>
        <v>1.5707947405893359</v>
      </c>
      <c r="K553" s="348">
        <f t="shared" si="237"/>
        <v>14.51446788372561</v>
      </c>
      <c r="L553" s="349">
        <f t="shared" si="238"/>
        <v>1.5018449308327717</v>
      </c>
      <c r="M553" s="337">
        <f t="shared" si="222"/>
        <v>1.0036540573098269</v>
      </c>
      <c r="N553" s="340">
        <f t="shared" si="223"/>
        <v>8.5357660646608949E-2</v>
      </c>
      <c r="O553" s="341">
        <f t="shared" si="224"/>
        <v>1.0143180316670124</v>
      </c>
      <c r="P553" s="342">
        <f t="shared" si="225"/>
        <v>0.20480461839584618</v>
      </c>
      <c r="Q553" s="343">
        <f t="shared" si="226"/>
        <v>-4.2286593894991107</v>
      </c>
      <c r="R553" s="344">
        <f t="shared" si="227"/>
        <v>-85.795557755483941</v>
      </c>
      <c r="S553" s="346">
        <f t="shared" si="228"/>
        <v>94.204442244516059</v>
      </c>
      <c r="U553" s="319">
        <f t="shared" si="234"/>
        <v>87096</v>
      </c>
      <c r="V553" s="319">
        <f t="shared" si="235"/>
        <v>7585713216</v>
      </c>
      <c r="X553" s="345">
        <f t="shared" si="229"/>
        <v>4.9187552448174774</v>
      </c>
      <c r="Y553" s="346">
        <f t="shared" si="230"/>
        <v>-8.8411668115441842</v>
      </c>
      <c r="AA553" s="345">
        <f t="shared" si="231"/>
        <v>27.685335523778424</v>
      </c>
      <c r="AB553" s="346">
        <f t="shared" si="232"/>
        <v>-76.954390943939742</v>
      </c>
      <c r="AD553">
        <f t="shared" si="236"/>
        <v>0</v>
      </c>
      <c r="AE553">
        <f t="shared" si="239"/>
        <v>0</v>
      </c>
    </row>
    <row r="554" spans="1:31" x14ac:dyDescent="0.2">
      <c r="A554" s="347">
        <v>87603.25</v>
      </c>
      <c r="B554" s="364">
        <f t="shared" si="233"/>
        <v>87.603250000000003</v>
      </c>
      <c r="C554" s="337">
        <f t="shared" si="214"/>
        <v>2.4244217255525</v>
      </c>
      <c r="D554" s="338">
        <f t="shared" si="215"/>
        <v>1.1456330881057017</v>
      </c>
      <c r="E554" s="338">
        <f t="shared" si="216"/>
        <v>1.0000133851418342</v>
      </c>
      <c r="F554" s="339">
        <f t="shared" si="217"/>
        <v>5.1739718851984947E-3</v>
      </c>
      <c r="G554" s="338">
        <f t="shared" si="218"/>
        <v>1</v>
      </c>
      <c r="H554" s="339">
        <f t="shared" si="219"/>
        <v>0</v>
      </c>
      <c r="I554" s="337">
        <f t="shared" si="220"/>
        <v>634106.9897435084</v>
      </c>
      <c r="J554" s="340">
        <f t="shared" si="221"/>
        <v>1.5707947497739583</v>
      </c>
      <c r="K554" s="348">
        <f t="shared" si="237"/>
        <v>14.598600526417892</v>
      </c>
      <c r="L554" s="349">
        <f t="shared" si="238"/>
        <v>1.5022429274963343</v>
      </c>
      <c r="M554" s="337">
        <f t="shared" si="222"/>
        <v>1.0036966653454675</v>
      </c>
      <c r="N554" s="340">
        <f t="shared" si="223"/>
        <v>8.5852354352747906E-2</v>
      </c>
      <c r="O554" s="341">
        <f t="shared" si="224"/>
        <v>1.014484376333439</v>
      </c>
      <c r="P554" s="342">
        <f t="shared" si="225"/>
        <v>0.20598025526086028</v>
      </c>
      <c r="Q554" s="343">
        <f t="shared" si="226"/>
        <v>-4.2725064367507191</v>
      </c>
      <c r="R554" s="344">
        <f t="shared" si="227"/>
        <v>-85.992001114502358</v>
      </c>
      <c r="S554" s="346">
        <f t="shared" si="228"/>
        <v>94.007998885497642</v>
      </c>
      <c r="U554" s="319">
        <f t="shared" si="234"/>
        <v>87603.25</v>
      </c>
      <c r="V554" s="319">
        <f t="shared" si="235"/>
        <v>7674329410.5625</v>
      </c>
      <c r="X554" s="345">
        <f t="shared" si="229"/>
        <v>4.9181484622006932</v>
      </c>
      <c r="Y554" s="346">
        <f t="shared" si="230"/>
        <v>-8.8467076702216421</v>
      </c>
      <c r="AA554" s="345">
        <f t="shared" si="231"/>
        <v>27.642095259143595</v>
      </c>
      <c r="AB554" s="346">
        <f t="shared" si="232"/>
        <v>-77.145293444280696</v>
      </c>
      <c r="AD554">
        <f t="shared" si="236"/>
        <v>0</v>
      </c>
      <c r="AE554">
        <f t="shared" si="239"/>
        <v>0</v>
      </c>
    </row>
    <row r="555" spans="1:31" x14ac:dyDescent="0.2">
      <c r="A555" s="347">
        <v>88110.5</v>
      </c>
      <c r="B555" s="364">
        <f t="shared" si="233"/>
        <v>88.110500000000002</v>
      </c>
      <c r="C555" s="337">
        <f t="shared" si="214"/>
        <v>2.4360772640127006</v>
      </c>
      <c r="D555" s="338">
        <f t="shared" si="215"/>
        <v>1.1477983770945475</v>
      </c>
      <c r="E555" s="338">
        <f t="shared" si="216"/>
        <v>1.0000135405978039</v>
      </c>
      <c r="F555" s="339">
        <f t="shared" si="217"/>
        <v>5.2039302485346502E-3</v>
      </c>
      <c r="G555" s="338">
        <f t="shared" si="218"/>
        <v>1</v>
      </c>
      <c r="H555" s="339">
        <f t="shared" si="219"/>
        <v>0</v>
      </c>
      <c r="I555" s="337">
        <f t="shared" si="220"/>
        <v>637778.66597180581</v>
      </c>
      <c r="J555" s="340">
        <f t="shared" si="221"/>
        <v>1.5707947588528293</v>
      </c>
      <c r="K555" s="348">
        <f t="shared" si="237"/>
        <v>14.68273545504719</v>
      </c>
      <c r="L555" s="349">
        <f t="shared" si="238"/>
        <v>1.5026363630251098</v>
      </c>
      <c r="M555" s="337">
        <f t="shared" si="222"/>
        <v>1.0037395189867375</v>
      </c>
      <c r="N555" s="340">
        <f t="shared" si="223"/>
        <v>8.6347005939037727E-2</v>
      </c>
      <c r="O555" s="341">
        <f t="shared" si="224"/>
        <v>1.0146516658976041</v>
      </c>
      <c r="P555" s="342">
        <f t="shared" si="225"/>
        <v>0.20715559964374719</v>
      </c>
      <c r="Q555" s="343">
        <f t="shared" si="226"/>
        <v>-4.3161999142316754</v>
      </c>
      <c r="R555" s="344">
        <f t="shared" si="227"/>
        <v>-86.187488593141779</v>
      </c>
      <c r="S555" s="346">
        <f t="shared" si="228"/>
        <v>93.812511406858221</v>
      </c>
      <c r="U555" s="319">
        <f t="shared" si="234"/>
        <v>88110.5</v>
      </c>
      <c r="V555" s="319">
        <f t="shared" si="235"/>
        <v>7763460210.25</v>
      </c>
      <c r="X555" s="345">
        <f t="shared" si="229"/>
        <v>4.9175436566507527</v>
      </c>
      <c r="Y555" s="346">
        <f t="shared" si="230"/>
        <v>-8.8525074433237787</v>
      </c>
      <c r="AA555" s="345">
        <f t="shared" si="231"/>
        <v>27.599006587212578</v>
      </c>
      <c r="AB555" s="346">
        <f t="shared" si="232"/>
        <v>-77.334981149818006</v>
      </c>
      <c r="AD555">
        <f t="shared" si="236"/>
        <v>0</v>
      </c>
      <c r="AE555">
        <f t="shared" si="239"/>
        <v>0</v>
      </c>
    </row>
    <row r="556" spans="1:31" x14ac:dyDescent="0.2">
      <c r="A556" s="347">
        <v>88617.75</v>
      </c>
      <c r="B556" s="364">
        <f t="shared" si="233"/>
        <v>88.617750000000001</v>
      </c>
      <c r="C556" s="337">
        <f t="shared" si="214"/>
        <v>2.4477441151601087</v>
      </c>
      <c r="D556" s="338">
        <f t="shared" si="215"/>
        <v>1.1499430349271804</v>
      </c>
      <c r="E556" s="338">
        <f t="shared" si="216"/>
        <v>1.0000136969512887</v>
      </c>
      <c r="F556" s="339">
        <f t="shared" si="217"/>
        <v>5.2338886025296329E-3</v>
      </c>
      <c r="G556" s="338">
        <f t="shared" si="218"/>
        <v>1</v>
      </c>
      <c r="H556" s="339">
        <f t="shared" si="219"/>
        <v>0</v>
      </c>
      <c r="I556" s="337">
        <f t="shared" si="220"/>
        <v>641450.34220010333</v>
      </c>
      <c r="J556" s="340">
        <f t="shared" si="221"/>
        <v>1.5707947678277652</v>
      </c>
      <c r="K556" s="348">
        <f t="shared" si="237"/>
        <v>14.766872630540815</v>
      </c>
      <c r="L556" s="349">
        <f t="shared" si="238"/>
        <v>1.5030253152601458</v>
      </c>
      <c r="M556" s="337">
        <f t="shared" si="222"/>
        <v>1.0037826182021805</v>
      </c>
      <c r="N556" s="340">
        <f t="shared" si="223"/>
        <v>8.6841615168825617E-2</v>
      </c>
      <c r="O556" s="341">
        <f t="shared" si="224"/>
        <v>1.0148199000037696</v>
      </c>
      <c r="P556" s="342">
        <f t="shared" si="225"/>
        <v>0.20833065002994031</v>
      </c>
      <c r="Q556" s="343">
        <f t="shared" si="226"/>
        <v>-4.3597406518810029</v>
      </c>
      <c r="R556" s="344">
        <f t="shared" si="227"/>
        <v>-86.382031590373927</v>
      </c>
      <c r="S556" s="346">
        <f t="shared" si="228"/>
        <v>93.617968409626073</v>
      </c>
      <c r="U556" s="319">
        <f t="shared" si="234"/>
        <v>88617.75</v>
      </c>
      <c r="V556" s="319">
        <f t="shared" si="235"/>
        <v>7853105615.0625</v>
      </c>
      <c r="X556" s="345">
        <f t="shared" si="229"/>
        <v>4.9169407357663921</v>
      </c>
      <c r="Y556" s="346">
        <f t="shared" si="230"/>
        <v>-8.8585616574319683</v>
      </c>
      <c r="AA556" s="345">
        <f t="shared" si="231"/>
        <v>27.556068770447617</v>
      </c>
      <c r="AB556" s="346">
        <f t="shared" si="232"/>
        <v>-77.523469932941936</v>
      </c>
      <c r="AD556">
        <f t="shared" si="236"/>
        <v>0</v>
      </c>
      <c r="AE556">
        <f t="shared" si="239"/>
        <v>0</v>
      </c>
    </row>
    <row r="557" spans="1:31" x14ac:dyDescent="0.2">
      <c r="A557" s="347">
        <v>89125</v>
      </c>
      <c r="B557" s="364">
        <f t="shared" si="233"/>
        <v>89.125</v>
      </c>
      <c r="C557" s="337">
        <f t="shared" si="214"/>
        <v>2.4594221180014992</v>
      </c>
      <c r="D557" s="338">
        <f t="shared" si="215"/>
        <v>1.1520673356201159</v>
      </c>
      <c r="E557" s="338">
        <f t="shared" si="216"/>
        <v>1.0000138542022885</v>
      </c>
      <c r="F557" s="339">
        <f t="shared" si="217"/>
        <v>5.2638469471296707E-3</v>
      </c>
      <c r="G557" s="338">
        <f t="shared" si="218"/>
        <v>1</v>
      </c>
      <c r="H557" s="339">
        <f t="shared" si="219"/>
        <v>0</v>
      </c>
      <c r="I557" s="337">
        <f t="shared" si="220"/>
        <v>645122.01842840097</v>
      </c>
      <c r="J557" s="340">
        <f t="shared" si="221"/>
        <v>1.5707947767005401</v>
      </c>
      <c r="K557" s="348">
        <f t="shared" si="237"/>
        <v>14.851012014710497</v>
      </c>
      <c r="L557" s="349">
        <f t="shared" si="238"/>
        <v>1.5034098602839314</v>
      </c>
      <c r="M557" s="337">
        <f t="shared" si="222"/>
        <v>1.0038259629601654</v>
      </c>
      <c r="N557" s="340">
        <f t="shared" si="223"/>
        <v>8.7336181805582266E-2</v>
      </c>
      <c r="O557" s="341">
        <f t="shared" si="224"/>
        <v>1.0149890782944406</v>
      </c>
      <c r="P557" s="342">
        <f t="shared" si="225"/>
        <v>0.20950540490780517</v>
      </c>
      <c r="Q557" s="343">
        <f t="shared" si="226"/>
        <v>-4.4031294817644193</v>
      </c>
      <c r="R557" s="344">
        <f t="shared" si="227"/>
        <v>-86.575641346925337</v>
      </c>
      <c r="S557" s="346">
        <f t="shared" si="228"/>
        <v>93.424358653074663</v>
      </c>
      <c r="U557" s="319">
        <f t="shared" si="234"/>
        <v>89125</v>
      </c>
      <c r="V557" s="319">
        <f t="shared" si="235"/>
        <v>7943265625</v>
      </c>
      <c r="X557" s="345">
        <f t="shared" si="229"/>
        <v>4.9163396097746705</v>
      </c>
      <c r="Y557" s="346">
        <f t="shared" si="230"/>
        <v>-8.8648659398901906</v>
      </c>
      <c r="AA557" s="345">
        <f t="shared" si="231"/>
        <v>27.513281066555919</v>
      </c>
      <c r="AB557" s="346">
        <f t="shared" si="232"/>
        <v>-77.710775407035158</v>
      </c>
      <c r="AD557">
        <f t="shared" si="236"/>
        <v>0</v>
      </c>
      <c r="AE557">
        <f t="shared" si="239"/>
        <v>0</v>
      </c>
    </row>
    <row r="558" spans="1:31" x14ac:dyDescent="0.2">
      <c r="A558" s="347">
        <v>89644</v>
      </c>
      <c r="B558" s="364">
        <f t="shared" si="233"/>
        <v>89.644000000000005</v>
      </c>
      <c r="C558" s="337">
        <f t="shared" si="214"/>
        <v>2.4713820087850906</v>
      </c>
      <c r="D558" s="338">
        <f t="shared" si="215"/>
        <v>1.1542200550767558</v>
      </c>
      <c r="E558" s="338">
        <f t="shared" si="216"/>
        <v>1.0000140160248101</v>
      </c>
      <c r="F558" s="339">
        <f t="shared" si="217"/>
        <v>5.2944992406467172E-3</v>
      </c>
      <c r="G558" s="338">
        <f t="shared" si="218"/>
        <v>1</v>
      </c>
      <c r="H558" s="339">
        <f t="shared" si="219"/>
        <v>0</v>
      </c>
      <c r="I558" s="337">
        <f t="shared" si="220"/>
        <v>648878.74580639286</v>
      </c>
      <c r="J558" s="340">
        <f t="shared" si="221"/>
        <v>1.5707947856749163</v>
      </c>
      <c r="K558" s="348">
        <f t="shared" si="237"/>
        <v>14.937102660776056</v>
      </c>
      <c r="L558" s="349">
        <f t="shared" si="238"/>
        <v>1.5037988289891402</v>
      </c>
      <c r="M558" s="337">
        <f t="shared" si="222"/>
        <v>1.0038705658682454</v>
      </c>
      <c r="N558" s="340">
        <f t="shared" si="223"/>
        <v>8.7842160312412515E-2</v>
      </c>
      <c r="O558" s="341">
        <f t="shared" si="224"/>
        <v>1.0151631523212965</v>
      </c>
      <c r="P558" s="342">
        <f t="shared" si="225"/>
        <v>0.21070706451998195</v>
      </c>
      <c r="Q558" s="343">
        <f t="shared" si="226"/>
        <v>-4.4473670187152363</v>
      </c>
      <c r="R558" s="344">
        <f t="shared" si="227"/>
        <v>-86.772781545618372</v>
      </c>
      <c r="S558" s="346">
        <f t="shared" si="228"/>
        <v>93.227218454381628</v>
      </c>
      <c r="U558" s="319">
        <f t="shared" si="234"/>
        <v>89644</v>
      </c>
      <c r="V558" s="319">
        <f t="shared" si="235"/>
        <v>8036046736</v>
      </c>
      <c r="X558" s="345">
        <f t="shared" si="229"/>
        <v>4.9157263259983548</v>
      </c>
      <c r="Y558" s="346">
        <f t="shared" si="230"/>
        <v>-8.8715706218862991</v>
      </c>
      <c r="AA558" s="345">
        <f t="shared" si="231"/>
        <v>27.46965681338142</v>
      </c>
      <c r="AB558" s="346">
        <f t="shared" si="232"/>
        <v>-77.901210923732066</v>
      </c>
      <c r="AD558">
        <f t="shared" si="236"/>
        <v>0</v>
      </c>
      <c r="AE558">
        <f t="shared" si="239"/>
        <v>0</v>
      </c>
    </row>
    <row r="559" spans="1:31" x14ac:dyDescent="0.2">
      <c r="A559" s="347">
        <v>90163</v>
      </c>
      <c r="B559" s="364">
        <f t="shared" si="233"/>
        <v>90.162999999999997</v>
      </c>
      <c r="C559" s="337">
        <f t="shared" si="214"/>
        <v>2.4833532421042976</v>
      </c>
      <c r="D559" s="338">
        <f t="shared" si="215"/>
        <v>1.1563520295688716</v>
      </c>
      <c r="E559" s="338">
        <f t="shared" si="216"/>
        <v>1.0000141787869077</v>
      </c>
      <c r="F559" s="339">
        <f t="shared" si="217"/>
        <v>5.3251515242146424E-3</v>
      </c>
      <c r="G559" s="338">
        <f t="shared" si="218"/>
        <v>1</v>
      </c>
      <c r="H559" s="339">
        <f t="shared" si="219"/>
        <v>0</v>
      </c>
      <c r="I559" s="337">
        <f t="shared" si="220"/>
        <v>652635.47318438499</v>
      </c>
      <c r="J559" s="340">
        <f t="shared" si="221"/>
        <v>1.570794794545975</v>
      </c>
      <c r="K559" s="348">
        <f t="shared" si="237"/>
        <v>15.023195540873896</v>
      </c>
      <c r="L559" s="349">
        <f t="shared" si="238"/>
        <v>1.5041833396543556</v>
      </c>
      <c r="M559" s="337">
        <f t="shared" si="222"/>
        <v>1.0039154257586196</v>
      </c>
      <c r="N559" s="340">
        <f t="shared" si="223"/>
        <v>8.8348093729531132E-2</v>
      </c>
      <c r="O559" s="341">
        <f t="shared" si="224"/>
        <v>1.01533821401891</v>
      </c>
      <c r="P559" s="342">
        <f t="shared" si="225"/>
        <v>0.21190841158272811</v>
      </c>
      <c r="Q559" s="343">
        <f t="shared" si="226"/>
        <v>-4.4914472964674346</v>
      </c>
      <c r="R559" s="344">
        <f t="shared" si="227"/>
        <v>-86.968968075710407</v>
      </c>
      <c r="S559" s="346">
        <f t="shared" si="228"/>
        <v>93.031031924289593</v>
      </c>
      <c r="U559" s="319">
        <f t="shared" si="234"/>
        <v>90163</v>
      </c>
      <c r="V559" s="319">
        <f t="shared" si="235"/>
        <v>8129366569</v>
      </c>
      <c r="X559" s="345">
        <f t="shared" si="229"/>
        <v>4.9151147391431662</v>
      </c>
      <c r="Y559" s="346">
        <f t="shared" si="230"/>
        <v>-8.8785281413894008</v>
      </c>
      <c r="AA559" s="345">
        <f t="shared" si="231"/>
        <v>27.426188122484408</v>
      </c>
      <c r="AB559" s="346">
        <f t="shared" si="232"/>
        <v>-78.090439934320983</v>
      </c>
      <c r="AD559">
        <f t="shared" si="236"/>
        <v>0</v>
      </c>
      <c r="AE559">
        <f t="shared" si="239"/>
        <v>0</v>
      </c>
    </row>
    <row r="560" spans="1:31" x14ac:dyDescent="0.2">
      <c r="A560" s="347">
        <v>90682</v>
      </c>
      <c r="B560" s="364">
        <f t="shared" si="233"/>
        <v>90.682000000000002</v>
      </c>
      <c r="C560" s="337">
        <f t="shared" si="214"/>
        <v>2.4953356547135845</v>
      </c>
      <c r="D560" s="338">
        <f t="shared" si="215"/>
        <v>1.1584635384221142</v>
      </c>
      <c r="E560" s="338">
        <f t="shared" si="216"/>
        <v>1.0000143424885806</v>
      </c>
      <c r="F560" s="339">
        <f t="shared" si="217"/>
        <v>5.3558037977758498E-3</v>
      </c>
      <c r="G560" s="338">
        <f t="shared" si="218"/>
        <v>1</v>
      </c>
      <c r="H560" s="339">
        <f t="shared" si="219"/>
        <v>0</v>
      </c>
      <c r="I560" s="337">
        <f t="shared" si="220"/>
        <v>656392.20056237699</v>
      </c>
      <c r="J560" s="340">
        <f t="shared" si="221"/>
        <v>1.5707948033154904</v>
      </c>
      <c r="K560" s="348">
        <f t="shared" si="237"/>
        <v>15.109290616815407</v>
      </c>
      <c r="L560" s="349">
        <f t="shared" si="238"/>
        <v>1.5045634683727009</v>
      </c>
      <c r="M560" s="337">
        <f t="shared" si="222"/>
        <v>1.0039605425968396</v>
      </c>
      <c r="N560" s="340">
        <f t="shared" si="223"/>
        <v>8.885398180399362E-2</v>
      </c>
      <c r="O560" s="341">
        <f t="shared" si="224"/>
        <v>1.0155142629986802</v>
      </c>
      <c r="P560" s="342">
        <f t="shared" si="225"/>
        <v>0.21310944448652136</v>
      </c>
      <c r="Q560" s="343">
        <f t="shared" si="226"/>
        <v>-4.5353712110472824</v>
      </c>
      <c r="R560" s="344">
        <f t="shared" si="227"/>
        <v>-87.164212474960948</v>
      </c>
      <c r="S560" s="346">
        <f t="shared" si="228"/>
        <v>92.835787525039052</v>
      </c>
      <c r="U560" s="319">
        <f t="shared" si="234"/>
        <v>90682</v>
      </c>
      <c r="V560" s="319">
        <f t="shared" si="235"/>
        <v>8223225124</v>
      </c>
      <c r="X560" s="345">
        <f t="shared" si="229"/>
        <v>4.9145047610303552</v>
      </c>
      <c r="Y560" s="346">
        <f t="shared" si="230"/>
        <v>-8.8857341241936396</v>
      </c>
      <c r="AA560" s="345">
        <f t="shared" si="231"/>
        <v>27.382874186017368</v>
      </c>
      <c r="AB560" s="346">
        <f t="shared" si="232"/>
        <v>-78.278478350767315</v>
      </c>
      <c r="AD560">
        <f t="shared" si="236"/>
        <v>0</v>
      </c>
      <c r="AE560">
        <f t="shared" si="239"/>
        <v>0</v>
      </c>
    </row>
    <row r="561" spans="1:31" x14ac:dyDescent="0.2">
      <c r="A561" s="347">
        <v>91201</v>
      </c>
      <c r="B561" s="364">
        <f t="shared" si="233"/>
        <v>91.200999999999993</v>
      </c>
      <c r="C561" s="337">
        <f t="shared" si="214"/>
        <v>2.5073290863369868</v>
      </c>
      <c r="D561" s="338">
        <f t="shared" si="215"/>
        <v>1.1605548563551469</v>
      </c>
      <c r="E561" s="338">
        <f t="shared" si="216"/>
        <v>1.0000145071298285</v>
      </c>
      <c r="F561" s="339">
        <f t="shared" si="217"/>
        <v>5.3864560612727477E-3</v>
      </c>
      <c r="G561" s="338">
        <f t="shared" si="218"/>
        <v>1</v>
      </c>
      <c r="H561" s="339">
        <f t="shared" si="219"/>
        <v>0</v>
      </c>
      <c r="I561" s="337">
        <f t="shared" si="220"/>
        <v>660148.92794036923</v>
      </c>
      <c r="J561" s="340">
        <f t="shared" si="221"/>
        <v>1.5707948119851958</v>
      </c>
      <c r="K561" s="348">
        <f t="shared" si="237"/>
        <v>15.195387851276504</v>
      </c>
      <c r="L561" s="349">
        <f t="shared" si="238"/>
        <v>1.5049392895178537</v>
      </c>
      <c r="M561" s="337">
        <f t="shared" si="222"/>
        <v>1.0040059163482662</v>
      </c>
      <c r="N561" s="340">
        <f t="shared" si="223"/>
        <v>8.9359824282993661E-2</v>
      </c>
      <c r="O561" s="341">
        <f t="shared" si="224"/>
        <v>1.015691298870101</v>
      </c>
      <c r="P561" s="342">
        <f t="shared" si="225"/>
        <v>0.2143101616251066</v>
      </c>
      <c r="Q561" s="343">
        <f t="shared" si="226"/>
        <v>-4.5791396594265885</v>
      </c>
      <c r="R561" s="344">
        <f t="shared" si="227"/>
        <v>-87.358526115878519</v>
      </c>
      <c r="S561" s="346">
        <f t="shared" si="228"/>
        <v>92.641473884121481</v>
      </c>
      <c r="U561" s="319">
        <f t="shared" si="234"/>
        <v>91201</v>
      </c>
      <c r="V561" s="319">
        <f t="shared" si="235"/>
        <v>8317622401</v>
      </c>
      <c r="X561" s="345">
        <f t="shared" si="229"/>
        <v>4.9138963059921466</v>
      </c>
      <c r="Y561" s="346">
        <f t="shared" si="230"/>
        <v>-8.8931842946157946</v>
      </c>
      <c r="AA561" s="345">
        <f t="shared" si="231"/>
        <v>27.339714192676272</v>
      </c>
      <c r="AB561" s="346">
        <f t="shared" si="232"/>
        <v>-78.465341821262712</v>
      </c>
      <c r="AD561">
        <f t="shared" si="236"/>
        <v>0</v>
      </c>
      <c r="AE561">
        <f t="shared" si="239"/>
        <v>0</v>
      </c>
    </row>
    <row r="562" spans="1:31" x14ac:dyDescent="0.2">
      <c r="A562" s="347">
        <v>91732</v>
      </c>
      <c r="B562" s="364">
        <f t="shared" si="233"/>
        <v>91.731999999999999</v>
      </c>
      <c r="C562" s="337">
        <f t="shared" si="214"/>
        <v>2.5196110627516646</v>
      </c>
      <c r="D562" s="338">
        <f t="shared" si="215"/>
        <v>1.1626739136476001</v>
      </c>
      <c r="E562" s="338">
        <f t="shared" si="216"/>
        <v>1.0000146765502227</v>
      </c>
      <c r="F562" s="339">
        <f t="shared" si="217"/>
        <v>5.4178170371489446E-3</v>
      </c>
      <c r="G562" s="338">
        <f t="shared" si="218"/>
        <v>1</v>
      </c>
      <c r="H562" s="339">
        <f t="shared" si="219"/>
        <v>0</v>
      </c>
      <c r="I562" s="337">
        <f t="shared" si="220"/>
        <v>663992.51606698555</v>
      </c>
      <c r="J562" s="340">
        <f t="shared" si="221"/>
        <v>1.5707948207538256</v>
      </c>
      <c r="K562" s="348">
        <f t="shared" si="237"/>
        <v>15.283477969153081</v>
      </c>
      <c r="L562" s="349">
        <f t="shared" si="238"/>
        <v>1.5053194178624705</v>
      </c>
      <c r="M562" s="337">
        <f t="shared" si="222"/>
        <v>1.0040526050596095</v>
      </c>
      <c r="N562" s="340">
        <f t="shared" si="223"/>
        <v>8.9877315089346821E-2</v>
      </c>
      <c r="O562" s="341">
        <f t="shared" si="224"/>
        <v>1.0158734490301087</v>
      </c>
      <c r="P562" s="342">
        <f t="shared" si="225"/>
        <v>0.21553831253690084</v>
      </c>
      <c r="Q562" s="343">
        <f t="shared" si="226"/>
        <v>-4.6237601315402053</v>
      </c>
      <c r="R562" s="344">
        <f t="shared" si="227"/>
        <v>-87.556380959526891</v>
      </c>
      <c r="S562" s="346">
        <f t="shared" si="228"/>
        <v>92.443619040473109</v>
      </c>
      <c r="U562" s="319">
        <f t="shared" si="234"/>
        <v>91732</v>
      </c>
      <c r="V562" s="319">
        <f t="shared" si="235"/>
        <v>8414759824</v>
      </c>
      <c r="X562" s="345">
        <f t="shared" si="229"/>
        <v>4.9132752721342321</v>
      </c>
      <c r="Y562" s="346">
        <f t="shared" si="230"/>
        <v>-8.9010550863512954</v>
      </c>
      <c r="AA562" s="345">
        <f t="shared" si="231"/>
        <v>27.295714754420572</v>
      </c>
      <c r="AB562" s="346">
        <f t="shared" si="232"/>
        <v>-78.655325873175599</v>
      </c>
      <c r="AD562">
        <f t="shared" si="236"/>
        <v>0</v>
      </c>
      <c r="AE562">
        <f t="shared" si="239"/>
        <v>0</v>
      </c>
    </row>
    <row r="563" spans="1:31" x14ac:dyDescent="0.2">
      <c r="A563" s="347">
        <v>92263</v>
      </c>
      <c r="B563" s="364">
        <f t="shared" si="233"/>
        <v>92.263000000000005</v>
      </c>
      <c r="C563" s="337">
        <f t="shared" si="214"/>
        <v>2.5319042434414691</v>
      </c>
      <c r="D563" s="338">
        <f t="shared" si="215"/>
        <v>1.1647724029257507</v>
      </c>
      <c r="E563" s="338">
        <f t="shared" si="216"/>
        <v>1.0000148469541419</v>
      </c>
      <c r="F563" s="339">
        <f t="shared" si="217"/>
        <v>5.4491780023680787E-3</v>
      </c>
      <c r="G563" s="338">
        <f t="shared" si="218"/>
        <v>1</v>
      </c>
      <c r="H563" s="339">
        <f t="shared" si="219"/>
        <v>0</v>
      </c>
      <c r="I563" s="337">
        <f t="shared" si="220"/>
        <v>667836.10419360187</v>
      </c>
      <c r="J563" s="340">
        <f t="shared" si="221"/>
        <v>1.5707948294215235</v>
      </c>
      <c r="K563" s="348">
        <f t="shared" si="237"/>
        <v>15.371570270143003</v>
      </c>
      <c r="L563" s="349">
        <f t="shared" si="238"/>
        <v>1.5056951893370194</v>
      </c>
      <c r="M563" s="337">
        <f t="shared" si="222"/>
        <v>1.004099562627915</v>
      </c>
      <c r="N563" s="340">
        <f t="shared" si="223"/>
        <v>9.0394757632465045E-2</v>
      </c>
      <c r="O563" s="341">
        <f t="shared" si="224"/>
        <v>1.0160566314128865</v>
      </c>
      <c r="P563" s="342">
        <f t="shared" si="225"/>
        <v>0.216766129521691</v>
      </c>
      <c r="Q563" s="343">
        <f t="shared" si="226"/>
        <v>-4.6682197664172129</v>
      </c>
      <c r="R563" s="344">
        <f t="shared" si="227"/>
        <v>-87.753285069968484</v>
      </c>
      <c r="S563" s="346">
        <f t="shared" si="228"/>
        <v>92.246714930031516</v>
      </c>
      <c r="U563" s="319">
        <f t="shared" si="234"/>
        <v>92263</v>
      </c>
      <c r="V563" s="319">
        <f t="shared" si="235"/>
        <v>8512461169</v>
      </c>
      <c r="X563" s="345">
        <f t="shared" si="229"/>
        <v>4.9126556588609365</v>
      </c>
      <c r="Y563" s="346">
        <f t="shared" si="230"/>
        <v>-8.9091727372912093</v>
      </c>
      <c r="AA563" s="345">
        <f t="shared" si="231"/>
        <v>27.251874732816862</v>
      </c>
      <c r="AB563" s="346">
        <f t="shared" si="232"/>
        <v>-78.844112332677255</v>
      </c>
      <c r="AD563">
        <f t="shared" si="236"/>
        <v>0</v>
      </c>
      <c r="AE563">
        <f t="shared" si="239"/>
        <v>0</v>
      </c>
    </row>
    <row r="564" spans="1:31" x14ac:dyDescent="0.2">
      <c r="A564" s="347">
        <v>92794</v>
      </c>
      <c r="B564" s="364">
        <f t="shared" si="233"/>
        <v>92.793999999999997</v>
      </c>
      <c r="C564" s="337">
        <f t="shared" si="214"/>
        <v>2.5442084659949753</v>
      </c>
      <c r="D564" s="338">
        <f t="shared" si="215"/>
        <v>1.1668506039836788</v>
      </c>
      <c r="E564" s="338">
        <f t="shared" si="216"/>
        <v>1.0000150183415852</v>
      </c>
      <c r="F564" s="339">
        <f t="shared" si="217"/>
        <v>5.4805389568684656E-3</v>
      </c>
      <c r="G564" s="338">
        <f t="shared" si="218"/>
        <v>1</v>
      </c>
      <c r="H564" s="339">
        <f t="shared" si="219"/>
        <v>0</v>
      </c>
      <c r="I564" s="337">
        <f t="shared" si="220"/>
        <v>671679.69232021831</v>
      </c>
      <c r="J564" s="340">
        <f t="shared" si="221"/>
        <v>1.5707948379900221</v>
      </c>
      <c r="K564" s="348">
        <f t="shared" si="237"/>
        <v>15.459664716926808</v>
      </c>
      <c r="L564" s="349">
        <f t="shared" si="238"/>
        <v>1.5060666783152605</v>
      </c>
      <c r="M564" s="337">
        <f t="shared" si="222"/>
        <v>1.0041467890154643</v>
      </c>
      <c r="N564" s="340">
        <f t="shared" si="223"/>
        <v>9.0912151642051603E-2</v>
      </c>
      <c r="O564" s="341">
        <f t="shared" si="224"/>
        <v>1.0162408455940537</v>
      </c>
      <c r="P564" s="342">
        <f t="shared" si="225"/>
        <v>0.21799361086991625</v>
      </c>
      <c r="Q564" s="343">
        <f t="shared" si="226"/>
        <v>-4.7125195257719472</v>
      </c>
      <c r="R564" s="344">
        <f t="shared" si="227"/>
        <v>-87.949250103585882</v>
      </c>
      <c r="S564" s="346">
        <f t="shared" si="228"/>
        <v>92.050749896414118</v>
      </c>
      <c r="U564" s="319">
        <f t="shared" si="234"/>
        <v>92794</v>
      </c>
      <c r="V564" s="319">
        <f t="shared" si="235"/>
        <v>8610726436</v>
      </c>
      <c r="X564" s="345">
        <f t="shared" si="229"/>
        <v>4.9120373820448382</v>
      </c>
      <c r="Y564" s="346">
        <f t="shared" si="230"/>
        <v>-8.9175329707453876</v>
      </c>
      <c r="AA564" s="345">
        <f t="shared" si="231"/>
        <v>27.208193250278224</v>
      </c>
      <c r="AB564" s="346">
        <f t="shared" si="232"/>
        <v>-79.031717132840498</v>
      </c>
      <c r="AD564">
        <f t="shared" si="236"/>
        <v>0</v>
      </c>
      <c r="AE564">
        <f t="shared" si="239"/>
        <v>0</v>
      </c>
    </row>
    <row r="565" spans="1:31" x14ac:dyDescent="0.2">
      <c r="A565" s="347">
        <v>93325</v>
      </c>
      <c r="B565" s="364">
        <f t="shared" si="233"/>
        <v>93.325000000000003</v>
      </c>
      <c r="C565" s="337">
        <f t="shared" si="214"/>
        <v>2.5565235709829346</v>
      </c>
      <c r="D565" s="338">
        <f t="shared" si="215"/>
        <v>1.1689087919325085</v>
      </c>
      <c r="E565" s="338">
        <f t="shared" si="216"/>
        <v>1.0000151907125527</v>
      </c>
      <c r="F565" s="339">
        <f t="shared" si="217"/>
        <v>5.5118999005884257E-3</v>
      </c>
      <c r="G565" s="338">
        <f t="shared" si="218"/>
        <v>1</v>
      </c>
      <c r="H565" s="339">
        <f t="shared" si="219"/>
        <v>0</v>
      </c>
      <c r="I565" s="337">
        <f t="shared" si="220"/>
        <v>675523.28044683475</v>
      </c>
      <c r="J565" s="340">
        <f t="shared" si="221"/>
        <v>1.5707948464610149</v>
      </c>
      <c r="K565" s="348">
        <f t="shared" si="237"/>
        <v>15.547761273029939</v>
      </c>
      <c r="L565" s="349">
        <f t="shared" si="238"/>
        <v>1.5064339574900807</v>
      </c>
      <c r="M565" s="337">
        <f t="shared" si="222"/>
        <v>1.0041942841843305</v>
      </c>
      <c r="N565" s="340">
        <f t="shared" si="223"/>
        <v>9.1429496847964378E-2</v>
      </c>
      <c r="O565" s="341">
        <f t="shared" si="224"/>
        <v>1.0164260911471679</v>
      </c>
      <c r="P565" s="342">
        <f t="shared" si="225"/>
        <v>0.21922075487565451</v>
      </c>
      <c r="Q565" s="343">
        <f t="shared" si="226"/>
        <v>-4.756660371054596</v>
      </c>
      <c r="R565" s="344">
        <f t="shared" si="227"/>
        <v>-88.144287544970254</v>
      </c>
      <c r="S565" s="346">
        <f t="shared" si="228"/>
        <v>91.855712455029746</v>
      </c>
      <c r="U565" s="319">
        <f t="shared" si="234"/>
        <v>93325</v>
      </c>
      <c r="V565" s="319">
        <f t="shared" si="235"/>
        <v>8709555625</v>
      </c>
      <c r="X565" s="345">
        <f t="shared" si="229"/>
        <v>4.9114203599570052</v>
      </c>
      <c r="Y565" s="346">
        <f t="shared" si="230"/>
        <v>-8.9261316063372256</v>
      </c>
      <c r="AA565" s="345">
        <f t="shared" si="231"/>
        <v>27.164669427083407</v>
      </c>
      <c r="AB565" s="346">
        <f t="shared" si="232"/>
        <v>-79.218155938633018</v>
      </c>
      <c r="AD565">
        <f t="shared" si="236"/>
        <v>0</v>
      </c>
      <c r="AE565">
        <f t="shared" si="239"/>
        <v>0</v>
      </c>
    </row>
    <row r="566" spans="1:31" x14ac:dyDescent="0.2">
      <c r="A566" s="347">
        <v>93868.5</v>
      </c>
      <c r="B566" s="364">
        <f t="shared" si="233"/>
        <v>93.868499999999997</v>
      </c>
      <c r="C566" s="337">
        <f t="shared" si="214"/>
        <v>2.5691396859529716</v>
      </c>
      <c r="D566" s="338">
        <f t="shared" si="215"/>
        <v>1.1709949876153154</v>
      </c>
      <c r="E566" s="338">
        <f t="shared" si="216"/>
        <v>1.0000153681597419</v>
      </c>
      <c r="F566" s="339">
        <f t="shared" si="217"/>
        <v>5.5439990850507355E-3</v>
      </c>
      <c r="G566" s="338">
        <f t="shared" si="218"/>
        <v>1</v>
      </c>
      <c r="H566" s="339">
        <f t="shared" si="219"/>
        <v>0</v>
      </c>
      <c r="I566" s="337">
        <f t="shared" si="220"/>
        <v>679457.34851993469</v>
      </c>
      <c r="J566" s="340">
        <f t="shared" si="221"/>
        <v>1.5707948550321698</v>
      </c>
      <c r="K566" s="348">
        <f t="shared" si="237"/>
        <v>15.63793381237792</v>
      </c>
      <c r="L566" s="349">
        <f t="shared" si="238"/>
        <v>1.5068055971310295</v>
      </c>
      <c r="M566" s="337">
        <f t="shared" si="222"/>
        <v>1.0042431757195791</v>
      </c>
      <c r="N566" s="340">
        <f t="shared" si="223"/>
        <v>9.1958969791060843E-2</v>
      </c>
      <c r="O566" s="341">
        <f t="shared" si="224"/>
        <v>1.0166167651002791</v>
      </c>
      <c r="P566" s="342">
        <f t="shared" si="225"/>
        <v>0.2204764353277229</v>
      </c>
      <c r="Q566" s="343">
        <f t="shared" si="226"/>
        <v>-4.801676746865172</v>
      </c>
      <c r="R566" s="344">
        <f t="shared" si="227"/>
        <v>-88.342967468756285</v>
      </c>
      <c r="S566" s="346">
        <f t="shared" si="228"/>
        <v>91.657032531243715</v>
      </c>
      <c r="U566" s="319">
        <f t="shared" si="234"/>
        <v>93868.5</v>
      </c>
      <c r="V566" s="319">
        <f t="shared" si="235"/>
        <v>8811295292.25</v>
      </c>
      <c r="X566" s="345">
        <f t="shared" si="229"/>
        <v>4.9107900293797799</v>
      </c>
      <c r="Y566" s="346">
        <f t="shared" si="230"/>
        <v>-8.9351752795182371</v>
      </c>
      <c r="AA566" s="345">
        <f t="shared" si="231"/>
        <v>27.120283381850058</v>
      </c>
      <c r="AB566" s="346">
        <f t="shared" si="232"/>
        <v>-79.407792189238066</v>
      </c>
      <c r="AD566">
        <f t="shared" si="236"/>
        <v>0</v>
      </c>
      <c r="AE566">
        <f t="shared" si="239"/>
        <v>0</v>
      </c>
    </row>
    <row r="567" spans="1:31" x14ac:dyDescent="0.2">
      <c r="A567" s="347">
        <v>94412</v>
      </c>
      <c r="B567" s="364">
        <f t="shared" si="233"/>
        <v>94.412000000000006</v>
      </c>
      <c r="C567" s="337">
        <f t="shared" si="214"/>
        <v>2.5817668730575258</v>
      </c>
      <c r="D567" s="338">
        <f t="shared" si="215"/>
        <v>1.1730607854288804</v>
      </c>
      <c r="E567" s="338">
        <f t="shared" si="216"/>
        <v>1.0000155466373042</v>
      </c>
      <c r="F567" s="339">
        <f t="shared" si="217"/>
        <v>5.5760982580883292E-3</v>
      </c>
      <c r="G567" s="338">
        <f t="shared" si="218"/>
        <v>1</v>
      </c>
      <c r="H567" s="339">
        <f t="shared" si="219"/>
        <v>0</v>
      </c>
      <c r="I567" s="337">
        <f t="shared" si="220"/>
        <v>683391.41659303475</v>
      </c>
      <c r="J567" s="340">
        <f t="shared" si="221"/>
        <v>1.570794863504642</v>
      </c>
      <c r="K567" s="348">
        <f t="shared" si="237"/>
        <v>15.728108486809212</v>
      </c>
      <c r="L567" s="349">
        <f t="shared" si="238"/>
        <v>1.5071729753455734</v>
      </c>
      <c r="M567" s="337">
        <f t="shared" si="222"/>
        <v>1.0042923487585067</v>
      </c>
      <c r="N567" s="340">
        <f t="shared" si="223"/>
        <v>9.2488391033530862E-2</v>
      </c>
      <c r="O567" s="341">
        <f t="shared" si="224"/>
        <v>1.0168085186442528</v>
      </c>
      <c r="P567" s="342">
        <f t="shared" si="225"/>
        <v>0.22173175876325171</v>
      </c>
      <c r="Q567" s="343">
        <f t="shared" si="226"/>
        <v>-4.8465286748254117</v>
      </c>
      <c r="R567" s="344">
        <f t="shared" si="227"/>
        <v>-88.540699419702221</v>
      </c>
      <c r="S567" s="346">
        <f t="shared" si="228"/>
        <v>91.459300580297779</v>
      </c>
      <c r="U567" s="319">
        <f t="shared" si="234"/>
        <v>94412</v>
      </c>
      <c r="V567" s="319">
        <f t="shared" si="235"/>
        <v>8913625744</v>
      </c>
      <c r="X567" s="345">
        <f t="shared" si="229"/>
        <v>4.9101608473926923</v>
      </c>
      <c r="Y567" s="346">
        <f t="shared" si="230"/>
        <v>-8.9444601465654365</v>
      </c>
      <c r="AA567" s="345">
        <f t="shared" si="231"/>
        <v>27.076060635876903</v>
      </c>
      <c r="AB567" s="346">
        <f t="shared" si="232"/>
        <v>-79.596239273136774</v>
      </c>
      <c r="AD567">
        <f t="shared" si="236"/>
        <v>0</v>
      </c>
      <c r="AE567">
        <f t="shared" si="239"/>
        <v>0</v>
      </c>
    </row>
    <row r="568" spans="1:31" x14ac:dyDescent="0.2">
      <c r="A568" s="347">
        <v>94955.5</v>
      </c>
      <c r="B568" s="364">
        <f t="shared" si="233"/>
        <v>94.955500000000001</v>
      </c>
      <c r="C568" s="337">
        <f t="shared" si="214"/>
        <v>2.5944049706295731</v>
      </c>
      <c r="D568" s="338">
        <f t="shared" si="215"/>
        <v>1.1751064657035108</v>
      </c>
      <c r="E568" s="338">
        <f t="shared" si="216"/>
        <v>1.0000157261452391</v>
      </c>
      <c r="F568" s="339">
        <f t="shared" si="217"/>
        <v>5.6081974196350651E-3</v>
      </c>
      <c r="G568" s="338">
        <f t="shared" si="218"/>
        <v>1</v>
      </c>
      <c r="H568" s="339">
        <f t="shared" si="219"/>
        <v>0</v>
      </c>
      <c r="I568" s="337">
        <f t="shared" si="220"/>
        <v>687325.48466613481</v>
      </c>
      <c r="J568" s="340">
        <f t="shared" si="221"/>
        <v>1.5707948718801259</v>
      </c>
      <c r="K568" s="348">
        <f t="shared" si="237"/>
        <v>15.818285259809663</v>
      </c>
      <c r="L568" s="349">
        <f t="shared" si="238"/>
        <v>1.5075361649142185</v>
      </c>
      <c r="M568" s="337">
        <f t="shared" si="222"/>
        <v>1.0043418032597651</v>
      </c>
      <c r="N568" s="340">
        <f t="shared" si="223"/>
        <v>9.301776028621056E-2</v>
      </c>
      <c r="O568" s="341">
        <f t="shared" si="224"/>
        <v>1.0170013513151401</v>
      </c>
      <c r="P568" s="342">
        <f t="shared" si="225"/>
        <v>0.22298672336492598</v>
      </c>
      <c r="Q568" s="343">
        <f t="shared" si="226"/>
        <v>-4.8912171831718467</v>
      </c>
      <c r="R568" s="344">
        <f t="shared" si="227"/>
        <v>-88.73749516894415</v>
      </c>
      <c r="S568" s="346">
        <f t="shared" si="228"/>
        <v>91.26250483105585</v>
      </c>
      <c r="U568" s="319">
        <f t="shared" si="234"/>
        <v>94955.5</v>
      </c>
      <c r="V568" s="319">
        <f t="shared" si="235"/>
        <v>9016546980.25</v>
      </c>
      <c r="X568" s="345">
        <f t="shared" si="229"/>
        <v>4.9095327336481898</v>
      </c>
      <c r="Y568" s="346">
        <f t="shared" si="230"/>
        <v>-8.9539820209921963</v>
      </c>
      <c r="AA568" s="345">
        <f t="shared" si="231"/>
        <v>27.032000241274972</v>
      </c>
      <c r="AB568" s="346">
        <f t="shared" si="232"/>
        <v>-79.783513147951965</v>
      </c>
      <c r="AD568">
        <f t="shared" si="236"/>
        <v>0</v>
      </c>
      <c r="AE568">
        <f t="shared" si="239"/>
        <v>0</v>
      </c>
    </row>
    <row r="569" spans="1:31" x14ac:dyDescent="0.2">
      <c r="A569" s="347">
        <v>95499</v>
      </c>
      <c r="B569" s="364">
        <f t="shared" si="233"/>
        <v>95.498999999999995</v>
      </c>
      <c r="C569" s="337">
        <f t="shared" si="214"/>
        <v>2.6070538199985709</v>
      </c>
      <c r="D569" s="338">
        <f t="shared" si="215"/>
        <v>1.1771323040096793</v>
      </c>
      <c r="E569" s="338">
        <f t="shared" si="216"/>
        <v>1.0000159066835459</v>
      </c>
      <c r="F569" s="339">
        <f t="shared" si="217"/>
        <v>5.6402965696248017E-3</v>
      </c>
      <c r="G569" s="338">
        <f t="shared" si="218"/>
        <v>1</v>
      </c>
      <c r="H569" s="339">
        <f t="shared" si="219"/>
        <v>0</v>
      </c>
      <c r="I569" s="337">
        <f t="shared" si="220"/>
        <v>691259.55273923476</v>
      </c>
      <c r="J569" s="340">
        <f t="shared" si="221"/>
        <v>1.5707948801602771</v>
      </c>
      <c r="K569" s="348">
        <f t="shared" si="237"/>
        <v>15.908464095692196</v>
      </c>
      <c r="L569" s="349">
        <f t="shared" si="238"/>
        <v>1.5078952369716927</v>
      </c>
      <c r="M569" s="337">
        <f t="shared" si="222"/>
        <v>1.0043915391817786</v>
      </c>
      <c r="N569" s="340">
        <f t="shared" si="223"/>
        <v>9.3547077260109454E-2</v>
      </c>
      <c r="O569" s="341">
        <f t="shared" si="224"/>
        <v>1.0171952626467564</v>
      </c>
      <c r="P569" s="342">
        <f t="shared" si="225"/>
        <v>0.22424132731948912</v>
      </c>
      <c r="Q569" s="343">
        <f t="shared" si="226"/>
        <v>-4.9357432986404639</v>
      </c>
      <c r="R569" s="344">
        <f t="shared" si="227"/>
        <v>-88.933366309436295</v>
      </c>
      <c r="S569" s="346">
        <f t="shared" si="228"/>
        <v>91.066633690563705</v>
      </c>
      <c r="U569" s="319">
        <f t="shared" si="234"/>
        <v>95499</v>
      </c>
      <c r="V569" s="319">
        <f t="shared" si="235"/>
        <v>9120059001</v>
      </c>
      <c r="X569" s="345">
        <f t="shared" si="229"/>
        <v>4.9089056100934956</v>
      </c>
      <c r="Y569" s="346">
        <f t="shared" si="230"/>
        <v>-8.9637368106157549</v>
      </c>
      <c r="AA569" s="345">
        <f t="shared" si="231"/>
        <v>26.988101249361044</v>
      </c>
      <c r="AB569" s="346">
        <f t="shared" si="232"/>
        <v>-79.969629498820552</v>
      </c>
      <c r="AD569">
        <f t="shared" si="236"/>
        <v>0</v>
      </c>
      <c r="AE569">
        <f t="shared" si="239"/>
        <v>0</v>
      </c>
    </row>
    <row r="570" spans="1:31" x14ac:dyDescent="0.2">
      <c r="A570" s="347">
        <v>96611.5</v>
      </c>
      <c r="B570" s="364">
        <f t="shared" si="233"/>
        <v>96.611500000000007</v>
      </c>
      <c r="C570" s="337">
        <f t="shared" si="214"/>
        <v>2.6329778553865117</v>
      </c>
      <c r="D570" s="338">
        <f t="shared" si="215"/>
        <v>1.1812182885839291</v>
      </c>
      <c r="E570" s="338">
        <f t="shared" si="216"/>
        <v>1.0000162794437837</v>
      </c>
      <c r="F570" s="339">
        <f t="shared" si="217"/>
        <v>5.7060008651629917E-3</v>
      </c>
      <c r="G570" s="338">
        <f t="shared" si="218"/>
        <v>1</v>
      </c>
      <c r="H570" s="339">
        <f t="shared" si="219"/>
        <v>0</v>
      </c>
      <c r="I570" s="337">
        <f t="shared" si="220"/>
        <v>699312.26797626144</v>
      </c>
      <c r="J570" s="340">
        <f t="shared" si="221"/>
        <v>1.570794896818553</v>
      </c>
      <c r="K570" s="348">
        <f t="shared" si="237"/>
        <v>16.093059076198159</v>
      </c>
      <c r="L570" s="349">
        <f t="shared" si="238"/>
        <v>1.5086176788406627</v>
      </c>
      <c r="M570" s="337">
        <f t="shared" si="222"/>
        <v>1.0044942219471651</v>
      </c>
      <c r="N570" s="340">
        <f t="shared" si="223"/>
        <v>9.4630381526250446E-2</v>
      </c>
      <c r="O570" s="341">
        <f t="shared" si="224"/>
        <v>1.0175955449841172</v>
      </c>
      <c r="P570" s="342">
        <f t="shared" si="225"/>
        <v>0.22680826664506329</v>
      </c>
      <c r="Q570" s="343">
        <f t="shared" si="226"/>
        <v>-5.0263825154703987</v>
      </c>
      <c r="R570" s="344">
        <f t="shared" si="227"/>
        <v>-89.331463038734398</v>
      </c>
      <c r="S570" s="346">
        <f t="shared" si="228"/>
        <v>90.668536961265602</v>
      </c>
      <c r="U570" s="319">
        <f t="shared" si="234"/>
        <v>96611.5</v>
      </c>
      <c r="V570" s="319">
        <f t="shared" si="235"/>
        <v>9333781932.25</v>
      </c>
      <c r="X570" s="345">
        <f t="shared" si="229"/>
        <v>4.9076247106762008</v>
      </c>
      <c r="Y570" s="346">
        <f t="shared" si="230"/>
        <v>-8.9844136574311513</v>
      </c>
      <c r="AA570" s="345">
        <f t="shared" si="231"/>
        <v>26.898742931948409</v>
      </c>
      <c r="AB570" s="346">
        <f t="shared" si="232"/>
        <v>-80.347049381303222</v>
      </c>
      <c r="AD570">
        <f t="shared" si="236"/>
        <v>0</v>
      </c>
      <c r="AE570">
        <f t="shared" si="239"/>
        <v>0</v>
      </c>
    </row>
    <row r="571" spans="1:31" x14ac:dyDescent="0.2">
      <c r="A571" s="347">
        <v>97724</v>
      </c>
      <c r="B571" s="364">
        <f t="shared" si="233"/>
        <v>97.724000000000004</v>
      </c>
      <c r="C571" s="337">
        <f t="shared" si="214"/>
        <v>2.6589449914633509</v>
      </c>
      <c r="D571" s="338">
        <f t="shared" si="215"/>
        <v>1.1852245318801669</v>
      </c>
      <c r="E571" s="338">
        <f t="shared" si="216"/>
        <v>1.000016656521143</v>
      </c>
      <c r="F571" s="339">
        <f t="shared" si="217"/>
        <v>5.7717051114344504E-3</v>
      </c>
      <c r="G571" s="338">
        <f t="shared" si="218"/>
        <v>1</v>
      </c>
      <c r="H571" s="339">
        <f t="shared" si="219"/>
        <v>0</v>
      </c>
      <c r="I571" s="337">
        <f t="shared" si="220"/>
        <v>707364.98321328813</v>
      </c>
      <c r="J571" s="340">
        <f t="shared" si="221"/>
        <v>1.5707949130975498</v>
      </c>
      <c r="K571" s="348">
        <f t="shared" si="237"/>
        <v>16.277662265524075</v>
      </c>
      <c r="L571" s="349">
        <f t="shared" si="238"/>
        <v>1.5093237348025952</v>
      </c>
      <c r="M571" s="337">
        <f t="shared" si="222"/>
        <v>1.0045980832930819</v>
      </c>
      <c r="N571" s="340">
        <f t="shared" si="223"/>
        <v>9.5713463066300145E-2</v>
      </c>
      <c r="O571" s="341">
        <f t="shared" si="224"/>
        <v>1.0180003407624623</v>
      </c>
      <c r="P571" s="342">
        <f t="shared" si="225"/>
        <v>0.22937367186647542</v>
      </c>
      <c r="Q571" s="343">
        <f t="shared" si="226"/>
        <v>-5.1163543811232977</v>
      </c>
      <c r="R571" s="344">
        <f t="shared" si="227"/>
        <v>-89.725829094794733</v>
      </c>
      <c r="S571" s="346">
        <f t="shared" si="228"/>
        <v>90.274170905205267</v>
      </c>
      <c r="U571" s="319">
        <f t="shared" si="234"/>
        <v>97724</v>
      </c>
      <c r="V571" s="319">
        <f t="shared" si="235"/>
        <v>9549980176</v>
      </c>
      <c r="X571" s="345">
        <f t="shared" si="229"/>
        <v>4.9063470218095695</v>
      </c>
      <c r="Y571" s="346">
        <f t="shared" si="230"/>
        <v>-9.0060165645682471</v>
      </c>
      <c r="AA571" s="345">
        <f t="shared" si="231"/>
        <v>26.810048755162143</v>
      </c>
      <c r="AB571" s="346">
        <f t="shared" si="232"/>
        <v>-80.719812530226463</v>
      </c>
      <c r="AD571">
        <f t="shared" si="236"/>
        <v>0</v>
      </c>
      <c r="AE571">
        <f t="shared" si="239"/>
        <v>0</v>
      </c>
    </row>
    <row r="572" spans="1:31" x14ac:dyDescent="0.2">
      <c r="A572" s="347">
        <v>98862</v>
      </c>
      <c r="B572" s="364">
        <f t="shared" si="233"/>
        <v>98.861999999999995</v>
      </c>
      <c r="C572" s="337">
        <f t="shared" si="214"/>
        <v>2.6855506197529948</v>
      </c>
      <c r="D572" s="338">
        <f t="shared" si="215"/>
        <v>1.189242379234138</v>
      </c>
      <c r="E572" s="338">
        <f t="shared" si="216"/>
        <v>1.0000170467083058</v>
      </c>
      <c r="F572" s="339">
        <f t="shared" si="217"/>
        <v>5.8389153360555082E-3</v>
      </c>
      <c r="G572" s="338">
        <f t="shared" si="218"/>
        <v>1</v>
      </c>
      <c r="H572" s="339">
        <f t="shared" si="219"/>
        <v>0</v>
      </c>
      <c r="I572" s="337">
        <f t="shared" si="220"/>
        <v>715602.27754114126</v>
      </c>
      <c r="J572" s="340">
        <f t="shared" si="221"/>
        <v>1.5707949293706132</v>
      </c>
      <c r="K572" s="348">
        <f t="shared" si="237"/>
        <v>16.466505014234276</v>
      </c>
      <c r="L572" s="349">
        <f t="shared" si="238"/>
        <v>1.5100295947537679</v>
      </c>
      <c r="M572" s="337">
        <f t="shared" si="222"/>
        <v>1.0047055443121198</v>
      </c>
      <c r="N572" s="340">
        <f t="shared" si="223"/>
        <v>9.6821137276481395E-2</v>
      </c>
      <c r="O572" s="341">
        <f t="shared" si="224"/>
        <v>1.018419080554626</v>
      </c>
      <c r="P572" s="342">
        <f t="shared" si="225"/>
        <v>0.23199627633713418</v>
      </c>
      <c r="Q572" s="343">
        <f t="shared" si="226"/>
        <v>-5.2077071407499425</v>
      </c>
      <c r="R572" s="344">
        <f t="shared" si="227"/>
        <v>-90.12547129021894</v>
      </c>
      <c r="S572" s="346">
        <f t="shared" si="228"/>
        <v>89.87452870978106</v>
      </c>
      <c r="U572" s="319">
        <f t="shared" si="234"/>
        <v>98862</v>
      </c>
      <c r="V572" s="319">
        <f t="shared" si="235"/>
        <v>9773695044</v>
      </c>
      <c r="X572" s="345">
        <f t="shared" si="229"/>
        <v>4.9050427558357015</v>
      </c>
      <c r="Y572" s="346">
        <f t="shared" si="230"/>
        <v>-9.029039758161769</v>
      </c>
      <c r="AA572" s="345">
        <f t="shared" si="231"/>
        <v>26.720000261509366</v>
      </c>
      <c r="AB572" s="346">
        <f t="shared" si="232"/>
        <v>-81.096431532057153</v>
      </c>
      <c r="AD572">
        <f t="shared" si="236"/>
        <v>0</v>
      </c>
      <c r="AE572">
        <f t="shared" si="239"/>
        <v>0</v>
      </c>
    </row>
    <row r="573" spans="1:31" x14ac:dyDescent="0.2">
      <c r="A573" s="347">
        <v>100000</v>
      </c>
      <c r="B573" s="364">
        <f t="shared" si="233"/>
        <v>100</v>
      </c>
      <c r="C573" s="337">
        <f t="shared" si="214"/>
        <v>2.7121987501895992</v>
      </c>
      <c r="D573" s="338">
        <f t="shared" si="215"/>
        <v>1.1931813361339172</v>
      </c>
      <c r="E573" s="338">
        <f t="shared" si="216"/>
        <v>1.0000174414127563</v>
      </c>
      <c r="F573" s="339">
        <f t="shared" si="217"/>
        <v>5.906125507924743E-3</v>
      </c>
      <c r="G573" s="338">
        <f t="shared" si="218"/>
        <v>1</v>
      </c>
      <c r="H573" s="339">
        <f t="shared" si="219"/>
        <v>0</v>
      </c>
      <c r="I573" s="337">
        <f t="shared" si="220"/>
        <v>723839.57186899462</v>
      </c>
      <c r="J573" s="340">
        <f t="shared" si="221"/>
        <v>1.5707949452733014</v>
      </c>
      <c r="K573" s="348">
        <f t="shared" si="237"/>
        <v>16.655355781141434</v>
      </c>
      <c r="L573" s="349">
        <f t="shared" si="238"/>
        <v>1.5107194479157262</v>
      </c>
      <c r="M573" s="337">
        <f t="shared" si="222"/>
        <v>1.004814237782194</v>
      </c>
      <c r="N573" s="340">
        <f t="shared" si="223"/>
        <v>9.7928573204956515E-2</v>
      </c>
      <c r="O573" s="341">
        <f t="shared" si="224"/>
        <v>1.0188425343786767</v>
      </c>
      <c r="P573" s="342">
        <f t="shared" si="225"/>
        <v>0.23461724307262513</v>
      </c>
      <c r="Q573" s="343">
        <f t="shared" si="226"/>
        <v>-5.2983800030881589</v>
      </c>
      <c r="R573" s="344">
        <f t="shared" si="227"/>
        <v>-90.521403010987726</v>
      </c>
      <c r="S573" s="346">
        <f t="shared" si="228"/>
        <v>89.478596989012274</v>
      </c>
      <c r="U573" s="319">
        <f t="shared" si="234"/>
        <v>100000</v>
      </c>
      <c r="V573" s="319">
        <f t="shared" si="235"/>
        <v>10000000000</v>
      </c>
      <c r="X573" s="345">
        <f t="shared" si="229"/>
        <v>4.9037406408673023</v>
      </c>
      <c r="Y573" s="346">
        <f t="shared" si="230"/>
        <v>-9.0529663994648484</v>
      </c>
      <c r="AA573" s="345">
        <f t="shared" si="231"/>
        <v>26.630629514139542</v>
      </c>
      <c r="AB573" s="346">
        <f t="shared" si="232"/>
        <v>-81.468436611522876</v>
      </c>
      <c r="AD573">
        <f t="shared" si="236"/>
        <v>0</v>
      </c>
      <c r="AE573">
        <f t="shared" si="239"/>
        <v>0</v>
      </c>
    </row>
    <row r="574" spans="1:31" x14ac:dyDescent="0.2">
      <c r="A574" s="347">
        <v>101165</v>
      </c>
      <c r="B574" s="364">
        <f t="shared" si="233"/>
        <v>101.16500000000001</v>
      </c>
      <c r="C574" s="337">
        <f t="shared" si="214"/>
        <v>2.7395218615197221</v>
      </c>
      <c r="D574" s="338">
        <f t="shared" si="215"/>
        <v>1.1971343057150354</v>
      </c>
      <c r="E574" s="338">
        <f t="shared" si="216"/>
        <v>1.0000178501612176</v>
      </c>
      <c r="F574" s="339">
        <f t="shared" si="217"/>
        <v>5.9749302419505514E-3</v>
      </c>
      <c r="G574" s="338">
        <f t="shared" si="218"/>
        <v>1</v>
      </c>
      <c r="H574" s="339">
        <f t="shared" si="219"/>
        <v>0</v>
      </c>
      <c r="I574" s="337">
        <f t="shared" si="220"/>
        <v>732272.30288125237</v>
      </c>
      <c r="J574" s="340">
        <f t="shared" si="221"/>
        <v>1.5707949611826837</v>
      </c>
      <c r="K574" s="348">
        <f t="shared" si="237"/>
        <v>16.848695214457916</v>
      </c>
      <c r="L574" s="349">
        <f t="shared" si="238"/>
        <v>1.5114096487487911</v>
      </c>
      <c r="M574" s="337">
        <f t="shared" si="222"/>
        <v>1.0049267863373388</v>
      </c>
      <c r="N574" s="340">
        <f t="shared" si="223"/>
        <v>9.906203439157038E-2</v>
      </c>
      <c r="O574" s="341">
        <f t="shared" si="224"/>
        <v>1.0192809134708283</v>
      </c>
      <c r="P574" s="342">
        <f t="shared" si="225"/>
        <v>0.23729868091897555</v>
      </c>
      <c r="Q574" s="343">
        <f t="shared" si="226"/>
        <v>-5.3905094858977893</v>
      </c>
      <c r="R574" s="344">
        <f t="shared" si="227"/>
        <v>-90.92298219476487</v>
      </c>
      <c r="S574" s="346">
        <f t="shared" si="228"/>
        <v>89.07701780523513</v>
      </c>
      <c r="U574" s="319">
        <f t="shared" si="234"/>
        <v>101165</v>
      </c>
      <c r="V574" s="319">
        <f t="shared" si="235"/>
        <v>10234357225</v>
      </c>
      <c r="X574" s="345">
        <f t="shared" si="229"/>
        <v>4.9024092757899451</v>
      </c>
      <c r="Y574" s="346">
        <f t="shared" si="230"/>
        <v>-9.0783642585181568</v>
      </c>
      <c r="AA574" s="345">
        <f t="shared" si="231"/>
        <v>26.539831396407273</v>
      </c>
      <c r="AB574" s="346">
        <f t="shared" si="232"/>
        <v>-81.844617936246721</v>
      </c>
      <c r="AD574">
        <f t="shared" si="236"/>
        <v>0</v>
      </c>
      <c r="AE574">
        <f t="shared" si="239"/>
        <v>0</v>
      </c>
    </row>
    <row r="575" spans="1:31" x14ac:dyDescent="0.2">
      <c r="A575" s="347">
        <v>102330</v>
      </c>
      <c r="B575" s="364">
        <f t="shared" si="233"/>
        <v>102.33</v>
      </c>
      <c r="C575" s="337">
        <f t="shared" si="214"/>
        <v>2.7668869346916152</v>
      </c>
      <c r="D575" s="338">
        <f t="shared" si="215"/>
        <v>1.20100914350843</v>
      </c>
      <c r="E575" s="338">
        <f t="shared" si="216"/>
        <v>1.000018263643851</v>
      </c>
      <c r="F575" s="339">
        <f t="shared" si="217"/>
        <v>6.0437349194040011E-3</v>
      </c>
      <c r="G575" s="338">
        <f t="shared" si="218"/>
        <v>1</v>
      </c>
      <c r="H575" s="339">
        <f t="shared" si="219"/>
        <v>0</v>
      </c>
      <c r="I575" s="337">
        <f t="shared" si="220"/>
        <v>740705.03389351035</v>
      </c>
      <c r="J575" s="340">
        <f t="shared" si="221"/>
        <v>1.5707949767298177</v>
      </c>
      <c r="K575" s="348">
        <f t="shared" si="237"/>
        <v>17.04204249199115</v>
      </c>
      <c r="L575" s="349">
        <f t="shared" si="238"/>
        <v>1.5120841888104999</v>
      </c>
      <c r="M575" s="337">
        <f t="shared" si="222"/>
        <v>1.0050406256662319</v>
      </c>
      <c r="N575" s="340">
        <f t="shared" si="223"/>
        <v>0.10019524026314226</v>
      </c>
      <c r="O575" s="341">
        <f t="shared" si="224"/>
        <v>1.0197242234411976</v>
      </c>
      <c r="P575" s="342">
        <f t="shared" si="225"/>
        <v>0.2399783678840654</v>
      </c>
      <c r="Q575" s="343">
        <f t="shared" si="226"/>
        <v>-5.4819458843027107</v>
      </c>
      <c r="R575" s="344">
        <f t="shared" si="227"/>
        <v>-91.320867088863082</v>
      </c>
      <c r="S575" s="346">
        <f t="shared" si="228"/>
        <v>88.679132911136918</v>
      </c>
      <c r="U575" s="319">
        <f t="shared" si="234"/>
        <v>102330</v>
      </c>
      <c r="V575" s="319">
        <f t="shared" si="235"/>
        <v>10471428900</v>
      </c>
      <c r="X575" s="345">
        <f t="shared" si="229"/>
        <v>4.9010790113531764</v>
      </c>
      <c r="Y575" s="346">
        <f t="shared" si="230"/>
        <v>-9.1046447644454549</v>
      </c>
      <c r="AA575" s="345">
        <f t="shared" si="231"/>
        <v>26.44972526243912</v>
      </c>
      <c r="AB575" s="346">
        <f t="shared" si="232"/>
        <v>-82.216222324417657</v>
      </c>
      <c r="AD575">
        <f t="shared" si="236"/>
        <v>0</v>
      </c>
      <c r="AE575">
        <f t="shared" si="239"/>
        <v>0</v>
      </c>
    </row>
    <row r="576" spans="1:31" x14ac:dyDescent="0.2">
      <c r="A576" s="347">
        <v>103520</v>
      </c>
      <c r="B576" s="364">
        <f t="shared" si="233"/>
        <v>103.52</v>
      </c>
      <c r="C576" s="337">
        <f t="shared" si="214"/>
        <v>2.7948812817658668</v>
      </c>
      <c r="D576" s="338">
        <f t="shared" si="215"/>
        <v>1.2048887347578565</v>
      </c>
      <c r="E576" s="338">
        <f t="shared" si="216"/>
        <v>1.0000186908871456</v>
      </c>
      <c r="F576" s="339">
        <f t="shared" si="217"/>
        <v>6.1140160329980781E-3</v>
      </c>
      <c r="G576" s="338">
        <f t="shared" si="218"/>
        <v>1</v>
      </c>
      <c r="H576" s="339">
        <f t="shared" si="219"/>
        <v>0</v>
      </c>
      <c r="I576" s="337">
        <f t="shared" si="220"/>
        <v>749318.72479873546</v>
      </c>
      <c r="J576" s="340">
        <f t="shared" si="221"/>
        <v>1.5707949922493063</v>
      </c>
      <c r="K576" s="348">
        <f t="shared" si="237"/>
        <v>17.239546676820432</v>
      </c>
      <c r="L576" s="349">
        <f t="shared" si="238"/>
        <v>1.5127575827701931</v>
      </c>
      <c r="M576" s="337">
        <f t="shared" si="222"/>
        <v>1.0051582400625929</v>
      </c>
      <c r="N576" s="340">
        <f t="shared" si="223"/>
        <v>0.10135249732962578</v>
      </c>
      <c r="O576" s="341">
        <f t="shared" si="224"/>
        <v>1.0201821321685358</v>
      </c>
      <c r="P576" s="342">
        <f t="shared" si="225"/>
        <v>0.24271373320422282</v>
      </c>
      <c r="Q576" s="343">
        <f t="shared" si="226"/>
        <v>-5.5746389896938089</v>
      </c>
      <c r="R576" s="344">
        <f t="shared" si="227"/>
        <v>-91.723573574316717</v>
      </c>
      <c r="S576" s="346">
        <f t="shared" si="228"/>
        <v>88.276426425683283</v>
      </c>
      <c r="U576" s="319">
        <f t="shared" si="234"/>
        <v>103520</v>
      </c>
      <c r="V576" s="319">
        <f t="shared" si="235"/>
        <v>10716390400</v>
      </c>
      <c r="X576" s="345">
        <f t="shared" si="229"/>
        <v>4.8997207809299752</v>
      </c>
      <c r="Y576" s="346">
        <f t="shared" si="230"/>
        <v>-9.1323689675595006</v>
      </c>
      <c r="AA576" s="345">
        <f t="shared" si="231"/>
        <v>26.358390387471225</v>
      </c>
      <c r="AB576" s="346">
        <f t="shared" si="232"/>
        <v>-82.591204606757216</v>
      </c>
      <c r="AD576">
        <f t="shared" si="236"/>
        <v>0</v>
      </c>
      <c r="AE576">
        <f t="shared" si="239"/>
        <v>0</v>
      </c>
    </row>
    <row r="577" spans="1:31" x14ac:dyDescent="0.2">
      <c r="A577" s="347">
        <v>104710</v>
      </c>
      <c r="B577" s="364">
        <f t="shared" si="233"/>
        <v>104.71</v>
      </c>
      <c r="C577" s="337">
        <f t="shared" si="214"/>
        <v>2.822916860541814</v>
      </c>
      <c r="D577" s="338">
        <f t="shared" si="215"/>
        <v>1.2086913225817117</v>
      </c>
      <c r="E577" s="338">
        <f t="shared" si="216"/>
        <v>1.0000191230699633</v>
      </c>
      <c r="F577" s="339">
        <f t="shared" si="217"/>
        <v>6.1842970861918879E-3</v>
      </c>
      <c r="G577" s="338">
        <f t="shared" si="218"/>
        <v>1</v>
      </c>
      <c r="H577" s="339">
        <f t="shared" si="219"/>
        <v>0</v>
      </c>
      <c r="I577" s="337">
        <f t="shared" si="220"/>
        <v>757932.41570396069</v>
      </c>
      <c r="J577" s="340">
        <f t="shared" si="221"/>
        <v>1.5707950074160453</v>
      </c>
      <c r="K577" s="348">
        <f t="shared" si="237"/>
        <v>17.437058501991245</v>
      </c>
      <c r="L577" s="349">
        <f t="shared" si="238"/>
        <v>1.5134157217811268</v>
      </c>
      <c r="M577" s="337">
        <f t="shared" si="222"/>
        <v>1.0052772002949708</v>
      </c>
      <c r="N577" s="340">
        <f t="shared" si="223"/>
        <v>0.10250948205552211</v>
      </c>
      <c r="O577" s="341">
        <f t="shared" si="224"/>
        <v>1.0206451753477426</v>
      </c>
      <c r="P577" s="342">
        <f t="shared" si="225"/>
        <v>0.24544723524899945</v>
      </c>
      <c r="Q577" s="343">
        <f t="shared" si="226"/>
        <v>-5.666629347019537</v>
      </c>
      <c r="R577" s="344">
        <f t="shared" si="227"/>
        <v>-92.122619754121445</v>
      </c>
      <c r="S577" s="346">
        <f t="shared" si="228"/>
        <v>87.877380245878555</v>
      </c>
      <c r="U577" s="319">
        <f t="shared" si="234"/>
        <v>104710</v>
      </c>
      <c r="V577" s="319">
        <f t="shared" si="235"/>
        <v>10964184100</v>
      </c>
      <c r="X577" s="345">
        <f t="shared" si="229"/>
        <v>4.8983626034330694</v>
      </c>
      <c r="Y577" s="346">
        <f t="shared" si="230"/>
        <v>-9.1609515906778363</v>
      </c>
      <c r="AA577" s="345">
        <f t="shared" si="231"/>
        <v>26.267758207642402</v>
      </c>
      <c r="AB577" s="346">
        <f t="shared" si="232"/>
        <v>-82.961668163443605</v>
      </c>
      <c r="AD577">
        <f t="shared" si="236"/>
        <v>0</v>
      </c>
      <c r="AE577">
        <f t="shared" si="239"/>
        <v>0</v>
      </c>
    </row>
    <row r="578" spans="1:31" x14ac:dyDescent="0.2">
      <c r="A578" s="347">
        <v>105930</v>
      </c>
      <c r="B578" s="364">
        <f t="shared" si="233"/>
        <v>105.93</v>
      </c>
      <c r="C578" s="337">
        <f t="shared" si="214"/>
        <v>2.8517007495395648</v>
      </c>
      <c r="D578" s="338">
        <f t="shared" si="215"/>
        <v>1.2125120983241182</v>
      </c>
      <c r="E578" s="338">
        <f t="shared" si="216"/>
        <v>1.0000195712760209</v>
      </c>
      <c r="F578" s="339">
        <f t="shared" si="217"/>
        <v>6.2563498672124299E-3</v>
      </c>
      <c r="G578" s="338">
        <f t="shared" si="218"/>
        <v>1</v>
      </c>
      <c r="H578" s="339">
        <f t="shared" si="219"/>
        <v>0</v>
      </c>
      <c r="I578" s="337">
        <f t="shared" si="220"/>
        <v>766763.2584807463</v>
      </c>
      <c r="J578" s="340">
        <f t="shared" si="221"/>
        <v>1.5707950226113838</v>
      </c>
      <c r="K578" s="348">
        <f t="shared" si="237"/>
        <v>17.639557279887452</v>
      </c>
      <c r="L578" s="349">
        <f t="shared" si="238"/>
        <v>1.5140751517254161</v>
      </c>
      <c r="M578" s="337">
        <f t="shared" si="222"/>
        <v>1.0054005561813073</v>
      </c>
      <c r="N578" s="340">
        <f t="shared" si="223"/>
        <v>0.10369534859702061</v>
      </c>
      <c r="O578" s="341">
        <f t="shared" si="224"/>
        <v>1.0211252165910543</v>
      </c>
      <c r="P578" s="342">
        <f t="shared" si="225"/>
        <v>0.2482476956595415</v>
      </c>
      <c r="Q578" s="343">
        <f t="shared" si="226"/>
        <v>-5.7602198736259886</v>
      </c>
      <c r="R578" s="344">
        <f t="shared" si="227"/>
        <v>-92.528023786883537</v>
      </c>
      <c r="S578" s="346">
        <f t="shared" si="228"/>
        <v>87.471976213116463</v>
      </c>
      <c r="U578" s="319">
        <f t="shared" si="234"/>
        <v>105930</v>
      </c>
      <c r="V578" s="319">
        <f t="shared" si="235"/>
        <v>11221164900</v>
      </c>
      <c r="X578" s="345">
        <f t="shared" si="229"/>
        <v>4.8969697103883121</v>
      </c>
      <c r="Y578" s="346">
        <f t="shared" si="230"/>
        <v>-9.191115056542392</v>
      </c>
      <c r="AA578" s="345">
        <f t="shared" si="231"/>
        <v>26.175560574080702</v>
      </c>
      <c r="AB578" s="346">
        <f t="shared" si="232"/>
        <v>-83.336908730341108</v>
      </c>
      <c r="AD578">
        <f t="shared" si="236"/>
        <v>0</v>
      </c>
      <c r="AE578">
        <f t="shared" si="239"/>
        <v>0</v>
      </c>
    </row>
    <row r="579" spans="1:31" x14ac:dyDescent="0.2">
      <c r="A579" s="347">
        <v>107150</v>
      </c>
      <c r="B579" s="364">
        <f t="shared" si="233"/>
        <v>107.15</v>
      </c>
      <c r="C579" s="337">
        <f t="shared" si="214"/>
        <v>2.8805254362641479</v>
      </c>
      <c r="D579" s="338">
        <f t="shared" si="215"/>
        <v>1.2162564607548876</v>
      </c>
      <c r="E579" s="338">
        <f t="shared" si="216"/>
        <v>1.0000200246737785</v>
      </c>
      <c r="F579" s="339">
        <f t="shared" si="217"/>
        <v>6.3284025832712112E-3</v>
      </c>
      <c r="G579" s="338">
        <f t="shared" si="218"/>
        <v>1</v>
      </c>
      <c r="H579" s="339">
        <f t="shared" si="219"/>
        <v>0</v>
      </c>
      <c r="I579" s="337">
        <f t="shared" si="220"/>
        <v>775594.10125753225</v>
      </c>
      <c r="J579" s="340">
        <f t="shared" si="221"/>
        <v>1.5707950374606967</v>
      </c>
      <c r="K579" s="348">
        <f t="shared" si="237"/>
        <v>17.842063554191871</v>
      </c>
      <c r="L579" s="349">
        <f t="shared" si="238"/>
        <v>1.5147196129697227</v>
      </c>
      <c r="M579" s="337">
        <f t="shared" si="222"/>
        <v>1.0055253255937271</v>
      </c>
      <c r="N579" s="340">
        <f t="shared" si="223"/>
        <v>0.10488092251174949</v>
      </c>
      <c r="O579" s="341">
        <f t="shared" si="224"/>
        <v>1.0216106431190721</v>
      </c>
      <c r="P579" s="342">
        <f t="shared" si="225"/>
        <v>0.2510461588884022</v>
      </c>
      <c r="Q579" s="343">
        <f t="shared" si="226"/>
        <v>-5.8530932687554209</v>
      </c>
      <c r="R579" s="344">
        <f t="shared" si="227"/>
        <v>-92.929776090255842</v>
      </c>
      <c r="S579" s="346">
        <f t="shared" si="228"/>
        <v>87.070223909744158</v>
      </c>
      <c r="U579" s="319">
        <f t="shared" si="234"/>
        <v>107150</v>
      </c>
      <c r="V579" s="319">
        <f t="shared" si="235"/>
        <v>11481122500</v>
      </c>
      <c r="X579" s="345">
        <f t="shared" si="229"/>
        <v>4.8955758246145322</v>
      </c>
      <c r="Y579" s="346">
        <f t="shared" si="230"/>
        <v>-9.2221193796370233</v>
      </c>
      <c r="AA579" s="345">
        <f t="shared" si="231"/>
        <v>26.084081064725058</v>
      </c>
      <c r="AB579" s="346">
        <f t="shared" si="232"/>
        <v>-83.707656710618821</v>
      </c>
      <c r="AD579">
        <f t="shared" si="236"/>
        <v>0</v>
      </c>
      <c r="AE579">
        <f t="shared" si="239"/>
        <v>0</v>
      </c>
    </row>
    <row r="580" spans="1:31" x14ac:dyDescent="0.2">
      <c r="A580" s="347">
        <v>108400</v>
      </c>
      <c r="B580" s="364">
        <f t="shared" si="233"/>
        <v>108.4</v>
      </c>
      <c r="C580" s="337">
        <f t="shared" si="214"/>
        <v>2.9100999739455973</v>
      </c>
      <c r="D580" s="338">
        <f t="shared" si="215"/>
        <v>1.2200159089990992</v>
      </c>
      <c r="E580" s="338">
        <f t="shared" si="216"/>
        <v>1.0000204946054212</v>
      </c>
      <c r="F580" s="339">
        <f t="shared" si="217"/>
        <v>6.4022270192700412E-3</v>
      </c>
      <c r="G580" s="338">
        <f t="shared" si="218"/>
        <v>1</v>
      </c>
      <c r="H580" s="339">
        <f t="shared" si="219"/>
        <v>0</v>
      </c>
      <c r="I580" s="337">
        <f t="shared" si="220"/>
        <v>784642.0959058787</v>
      </c>
      <c r="J580" s="340">
        <f t="shared" si="221"/>
        <v>1.5707950523284804</v>
      </c>
      <c r="K580" s="348">
        <f t="shared" si="237"/>
        <v>18.049557002315559</v>
      </c>
      <c r="L580" s="349">
        <f t="shared" si="238"/>
        <v>1.5153649225631478</v>
      </c>
      <c r="M580" s="337">
        <f t="shared" si="222"/>
        <v>1.0056546286479595</v>
      </c>
      <c r="N580" s="340">
        <f t="shared" si="223"/>
        <v>0.10609534300399932</v>
      </c>
      <c r="O580" s="341">
        <f t="shared" si="224"/>
        <v>1.022113585845623</v>
      </c>
      <c r="P580" s="342">
        <f t="shared" si="225"/>
        <v>0.25391134498172202</v>
      </c>
      <c r="Q580" s="343">
        <f t="shared" si="226"/>
        <v>-5.9475178194085547</v>
      </c>
      <c r="R580" s="344">
        <f t="shared" si="227"/>
        <v>-93.337718354911132</v>
      </c>
      <c r="S580" s="346">
        <f t="shared" si="228"/>
        <v>86.662281645088868</v>
      </c>
      <c r="U580" s="319">
        <f t="shared" si="234"/>
        <v>108400</v>
      </c>
      <c r="V580" s="319">
        <f t="shared" si="235"/>
        <v>11750560000</v>
      </c>
      <c r="X580" s="345">
        <f t="shared" si="229"/>
        <v>4.8941461251986444</v>
      </c>
      <c r="Y580" s="346">
        <f t="shared" si="230"/>
        <v>-9.2547278841130858</v>
      </c>
      <c r="AA580" s="345">
        <f t="shared" si="231"/>
        <v>25.991086213487812</v>
      </c>
      <c r="AB580" s="346">
        <f t="shared" si="232"/>
        <v>-84.082990470798052</v>
      </c>
      <c r="AD580">
        <f t="shared" si="236"/>
        <v>0</v>
      </c>
      <c r="AE580">
        <f t="shared" si="239"/>
        <v>0</v>
      </c>
    </row>
    <row r="581" spans="1:31" x14ac:dyDescent="0.2">
      <c r="A581" s="347">
        <v>109650</v>
      </c>
      <c r="B581" s="364">
        <f t="shared" si="233"/>
        <v>109.65</v>
      </c>
      <c r="C581" s="337">
        <f t="shared" si="214"/>
        <v>2.9397148134887994</v>
      </c>
      <c r="D581" s="338">
        <f t="shared" si="215"/>
        <v>1.2236996626840491</v>
      </c>
      <c r="E581" s="338">
        <f t="shared" si="216"/>
        <v>1.0000209699872176</v>
      </c>
      <c r="F581" s="339">
        <f t="shared" si="217"/>
        <v>6.4760513854831012E-3</v>
      </c>
      <c r="G581" s="338">
        <f t="shared" si="218"/>
        <v>1</v>
      </c>
      <c r="H581" s="339">
        <f t="shared" si="219"/>
        <v>0</v>
      </c>
      <c r="I581" s="337">
        <f t="shared" si="220"/>
        <v>793690.09055422514</v>
      </c>
      <c r="J581" s="340">
        <f t="shared" si="221"/>
        <v>1.5707950668572812</v>
      </c>
      <c r="K581" s="348">
        <f t="shared" si="237"/>
        <v>18.257057795868061</v>
      </c>
      <c r="L581" s="349">
        <f t="shared" si="238"/>
        <v>1.5159955638675044</v>
      </c>
      <c r="M581" s="337">
        <f t="shared" si="222"/>
        <v>1.0057854144762444</v>
      </c>
      <c r="N581" s="340">
        <f t="shared" si="223"/>
        <v>0.10730944945568005</v>
      </c>
      <c r="O581" s="341">
        <f t="shared" si="224"/>
        <v>1.0226221695696824</v>
      </c>
      <c r="P581" s="342">
        <f t="shared" si="225"/>
        <v>0.25677439321644091</v>
      </c>
      <c r="Q581" s="343">
        <f t="shared" si="226"/>
        <v>-6.0412121248179851</v>
      </c>
      <c r="R581" s="344">
        <f t="shared" si="227"/>
        <v>-93.742023572942671</v>
      </c>
      <c r="S581" s="346">
        <f t="shared" si="228"/>
        <v>86.257976427057329</v>
      </c>
      <c r="U581" s="319">
        <f t="shared" si="234"/>
        <v>109650</v>
      </c>
      <c r="V581" s="319">
        <f t="shared" si="235"/>
        <v>12023122500</v>
      </c>
      <c r="X581" s="345">
        <f t="shared" si="229"/>
        <v>4.8927143804605899</v>
      </c>
      <c r="Y581" s="346">
        <f t="shared" si="230"/>
        <v>-9.2881588070249119</v>
      </c>
      <c r="AA581" s="345">
        <f t="shared" si="231"/>
        <v>25.898823652816432</v>
      </c>
      <c r="AB581" s="346">
        <f t="shared" si="232"/>
        <v>-84.453864765917771</v>
      </c>
      <c r="AD581">
        <f t="shared" si="236"/>
        <v>0</v>
      </c>
      <c r="AE581">
        <f t="shared" si="239"/>
        <v>0</v>
      </c>
    </row>
    <row r="582" spans="1:31" x14ac:dyDescent="0.2">
      <c r="A582" s="347">
        <v>110925</v>
      </c>
      <c r="B582" s="364">
        <f t="shared" si="233"/>
        <v>110.925</v>
      </c>
      <c r="C582" s="337">
        <f t="shared" si="214"/>
        <v>2.9699622184988597</v>
      </c>
      <c r="D582" s="338">
        <f t="shared" si="215"/>
        <v>1.2273813570964891</v>
      </c>
      <c r="E582" s="338">
        <f t="shared" si="216"/>
        <v>1.0000214604913904</v>
      </c>
      <c r="F582" s="339">
        <f t="shared" si="217"/>
        <v>6.5513521662927095E-3</v>
      </c>
      <c r="G582" s="338">
        <f t="shared" si="218"/>
        <v>1</v>
      </c>
      <c r="H582" s="339">
        <f t="shared" si="219"/>
        <v>0</v>
      </c>
      <c r="I582" s="337">
        <f t="shared" si="220"/>
        <v>802919.04509553884</v>
      </c>
      <c r="J582" s="340">
        <f t="shared" si="221"/>
        <v>1.5707950813393228</v>
      </c>
      <c r="K582" s="348">
        <f t="shared" si="237"/>
        <v>18.468715915791545</v>
      </c>
      <c r="L582" s="349">
        <f t="shared" si="238"/>
        <v>1.5166242189479398</v>
      </c>
      <c r="M582" s="337">
        <f t="shared" si="222"/>
        <v>1.0059203429750976</v>
      </c>
      <c r="N582" s="340">
        <f t="shared" si="223"/>
        <v>0.10854751092759495</v>
      </c>
      <c r="O582" s="341">
        <f t="shared" si="224"/>
        <v>1.0231467297304635</v>
      </c>
      <c r="P582" s="342">
        <f t="shared" si="225"/>
        <v>0.25969247853750532</v>
      </c>
      <c r="Q582" s="343">
        <f t="shared" si="226"/>
        <v>-6.136039644993593</v>
      </c>
      <c r="R582" s="344">
        <f t="shared" si="227"/>
        <v>-94.150765924921018</v>
      </c>
      <c r="S582" s="346">
        <f t="shared" si="228"/>
        <v>85.849234075078982</v>
      </c>
      <c r="U582" s="319">
        <f t="shared" si="234"/>
        <v>110925</v>
      </c>
      <c r="V582" s="319">
        <f t="shared" si="235"/>
        <v>12304355625</v>
      </c>
      <c r="X582" s="345">
        <f t="shared" si="229"/>
        <v>4.8912514118422212</v>
      </c>
      <c r="Y582" s="346">
        <f t="shared" si="230"/>
        <v>-9.3230760510647404</v>
      </c>
      <c r="AA582" s="345">
        <f t="shared" si="231"/>
        <v>25.805459101259199</v>
      </c>
      <c r="AB582" s="346">
        <f t="shared" si="232"/>
        <v>-84.827689873856272</v>
      </c>
      <c r="AD582">
        <f t="shared" si="236"/>
        <v>0</v>
      </c>
      <c r="AE582">
        <f t="shared" si="239"/>
        <v>0</v>
      </c>
    </row>
    <row r="583" spans="1:31" x14ac:dyDescent="0.2">
      <c r="A583" s="347">
        <v>112200</v>
      </c>
      <c r="B583" s="364">
        <f t="shared" si="233"/>
        <v>112.2</v>
      </c>
      <c r="C583" s="337">
        <f t="shared" si="214"/>
        <v>3.0002490689354904</v>
      </c>
      <c r="D583" s="338">
        <f t="shared" si="215"/>
        <v>1.2309887678072635</v>
      </c>
      <c r="E583" s="338">
        <f t="shared" si="216"/>
        <v>1.0000219566658868</v>
      </c>
      <c r="F583" s="339">
        <f t="shared" si="217"/>
        <v>6.6266528728062745E-3</v>
      </c>
      <c r="G583" s="338">
        <f t="shared" si="218"/>
        <v>1</v>
      </c>
      <c r="H583" s="339">
        <f t="shared" si="219"/>
        <v>0</v>
      </c>
      <c r="I583" s="337">
        <f t="shared" si="220"/>
        <v>812147.99963685253</v>
      </c>
      <c r="J583" s="340">
        <f t="shared" si="221"/>
        <v>1.5707950954922272</v>
      </c>
      <c r="K583" s="348">
        <f t="shared" si="237"/>
        <v>18.680381169281063</v>
      </c>
      <c r="L583" s="349">
        <f t="shared" si="238"/>
        <v>1.5172386278296053</v>
      </c>
      <c r="M583" s="337">
        <f t="shared" si="222"/>
        <v>1.0060568129298804</v>
      </c>
      <c r="N583" s="340">
        <f t="shared" si="223"/>
        <v>0.10978523841425547</v>
      </c>
      <c r="O583" s="341">
        <f t="shared" si="224"/>
        <v>1.023677145363135</v>
      </c>
      <c r="P583" s="342">
        <f t="shared" si="225"/>
        <v>0.26260829628229038</v>
      </c>
      <c r="Q583" s="343">
        <f t="shared" si="226"/>
        <v>-6.2301308186634223</v>
      </c>
      <c r="R583" s="344">
        <f t="shared" si="227"/>
        <v>-94.555919308269495</v>
      </c>
      <c r="S583" s="346">
        <f t="shared" si="228"/>
        <v>85.444080691730505</v>
      </c>
      <c r="U583" s="319">
        <f t="shared" si="234"/>
        <v>112200</v>
      </c>
      <c r="V583" s="319">
        <f t="shared" si="235"/>
        <v>12588840000</v>
      </c>
      <c r="X583" s="345">
        <f t="shared" si="229"/>
        <v>4.8897853667385993</v>
      </c>
      <c r="Y583" s="346">
        <f t="shared" si="230"/>
        <v>-9.3587903873654419</v>
      </c>
      <c r="AA583" s="345">
        <f t="shared" si="231"/>
        <v>25.712833972692984</v>
      </c>
      <c r="AB583" s="346">
        <f t="shared" si="232"/>
        <v>-85.197128920904035</v>
      </c>
      <c r="AD583">
        <f t="shared" si="236"/>
        <v>0</v>
      </c>
      <c r="AE583">
        <f t="shared" si="239"/>
        <v>0</v>
      </c>
    </row>
    <row r="584" spans="1:31" x14ac:dyDescent="0.2">
      <c r="A584" s="347">
        <v>113510</v>
      </c>
      <c r="B584" s="364">
        <f t="shared" si="233"/>
        <v>113.51</v>
      </c>
      <c r="C584" s="337">
        <f t="shared" si="214"/>
        <v>3.0314071649143819</v>
      </c>
      <c r="D584" s="338">
        <f t="shared" si="215"/>
        <v>1.2346200781420391</v>
      </c>
      <c r="E584" s="338">
        <f t="shared" si="216"/>
        <v>1.000022472366795</v>
      </c>
      <c r="F584" s="339">
        <f t="shared" si="217"/>
        <v>6.7040205792571299E-3</v>
      </c>
      <c r="G584" s="338">
        <f t="shared" si="218"/>
        <v>1</v>
      </c>
      <c r="H584" s="339">
        <f t="shared" si="219"/>
        <v>0</v>
      </c>
      <c r="I584" s="337">
        <f t="shared" si="220"/>
        <v>821630.29802832019</v>
      </c>
      <c r="J584" s="340">
        <f t="shared" si="221"/>
        <v>1.5707951097024861</v>
      </c>
      <c r="K584" s="348">
        <f t="shared" si="237"/>
        <v>18.897864019539735</v>
      </c>
      <c r="L584" s="349">
        <f t="shared" si="238"/>
        <v>1.5178555673301926</v>
      </c>
      <c r="M584" s="337">
        <f t="shared" si="222"/>
        <v>1.0061986339678566</v>
      </c>
      <c r="N584" s="340">
        <f t="shared" si="223"/>
        <v>0.11105659102810865</v>
      </c>
      <c r="O584" s="341">
        <f t="shared" si="224"/>
        <v>1.0242282129910423</v>
      </c>
      <c r="P584" s="342">
        <f t="shared" si="225"/>
        <v>0.26560177148803138</v>
      </c>
      <c r="Q584" s="343">
        <f t="shared" si="226"/>
        <v>-6.3260501010042383</v>
      </c>
      <c r="R584" s="344">
        <f t="shared" si="227"/>
        <v>-94.968554640977658</v>
      </c>
      <c r="S584" s="346">
        <f t="shared" si="228"/>
        <v>85.031445359022342</v>
      </c>
      <c r="U584" s="319">
        <f t="shared" si="234"/>
        <v>113510</v>
      </c>
      <c r="V584" s="319">
        <f t="shared" si="235"/>
        <v>12884520100</v>
      </c>
      <c r="X584" s="345">
        <f t="shared" si="229"/>
        <v>4.8882754122914402</v>
      </c>
      <c r="Y584" s="346">
        <f t="shared" si="230"/>
        <v>-9.3962863110443084</v>
      </c>
      <c r="AA584" s="345">
        <f t="shared" si="231"/>
        <v>25.618424644799333</v>
      </c>
      <c r="AB584" s="346">
        <f t="shared" si="232"/>
        <v>-85.572268329933337</v>
      </c>
      <c r="AD584">
        <f t="shared" si="236"/>
        <v>0</v>
      </c>
      <c r="AE584">
        <f t="shared" si="239"/>
        <v>0</v>
      </c>
    </row>
    <row r="585" spans="1:31" x14ac:dyDescent="0.2">
      <c r="A585" s="347">
        <v>114820</v>
      </c>
      <c r="B585" s="364">
        <f t="shared" si="233"/>
        <v>114.82</v>
      </c>
      <c r="C585" s="337">
        <f t="shared" si="214"/>
        <v>3.0626044206250076</v>
      </c>
      <c r="D585" s="338">
        <f t="shared" si="215"/>
        <v>1.2381774538228376</v>
      </c>
      <c r="E585" s="338">
        <f t="shared" si="216"/>
        <v>1.0000229940535932</v>
      </c>
      <c r="F585" s="339">
        <f t="shared" si="217"/>
        <v>6.7813882054495213E-3</v>
      </c>
      <c r="G585" s="338">
        <f t="shared" si="218"/>
        <v>1</v>
      </c>
      <c r="H585" s="339">
        <f t="shared" si="219"/>
        <v>0</v>
      </c>
      <c r="I585" s="337">
        <f t="shared" si="220"/>
        <v>831112.5964197882</v>
      </c>
      <c r="J585" s="340">
        <f t="shared" si="221"/>
        <v>1.5707951235884907</v>
      </c>
      <c r="K585" s="348">
        <f t="shared" si="237"/>
        <v>19.115353898924461</v>
      </c>
      <c r="L585" s="349">
        <f t="shared" si="238"/>
        <v>1.5184584682786868</v>
      </c>
      <c r="M585" s="337">
        <f t="shared" si="222"/>
        <v>1.006342080902457</v>
      </c>
      <c r="N585" s="340">
        <f t="shared" si="223"/>
        <v>0.11232758325121123</v>
      </c>
      <c r="O585" s="341">
        <f t="shared" si="224"/>
        <v>1.0247854472131785</v>
      </c>
      <c r="P585" s="342">
        <f t="shared" si="225"/>
        <v>0.26859280665029411</v>
      </c>
      <c r="Q585" s="343">
        <f t="shared" si="226"/>
        <v>-6.4212166263452675</v>
      </c>
      <c r="R585" s="344">
        <f t="shared" si="227"/>
        <v>-95.377597712792436</v>
      </c>
      <c r="S585" s="346">
        <f t="shared" si="228"/>
        <v>84.622402287207564</v>
      </c>
      <c r="U585" s="319">
        <f t="shared" si="234"/>
        <v>114820</v>
      </c>
      <c r="V585" s="319">
        <f t="shared" si="235"/>
        <v>13183632400</v>
      </c>
      <c r="X585" s="345">
        <f t="shared" si="229"/>
        <v>4.8867612992010123</v>
      </c>
      <c r="Y585" s="346">
        <f t="shared" si="230"/>
        <v>-9.4345659170620717</v>
      </c>
      <c r="AA585" s="345">
        <f t="shared" si="231"/>
        <v>25.524772232548724</v>
      </c>
      <c r="AB585" s="346">
        <f t="shared" si="232"/>
        <v>-85.943031795730349</v>
      </c>
      <c r="AD585">
        <f t="shared" si="236"/>
        <v>0</v>
      </c>
      <c r="AE585">
        <f t="shared" si="239"/>
        <v>0</v>
      </c>
    </row>
    <row r="586" spans="1:31" x14ac:dyDescent="0.2">
      <c r="A586" s="347">
        <v>116155</v>
      </c>
      <c r="B586" s="364">
        <f t="shared" si="233"/>
        <v>116.155</v>
      </c>
      <c r="C586" s="337">
        <f t="shared" si="214"/>
        <v>3.0944361053868708</v>
      </c>
      <c r="D586" s="338">
        <f t="shared" si="215"/>
        <v>1.2417288772221815</v>
      </c>
      <c r="E586" s="338">
        <f t="shared" si="216"/>
        <v>1.0000235318545689</v>
      </c>
      <c r="F586" s="339">
        <f t="shared" si="217"/>
        <v>6.8602322295284275E-3</v>
      </c>
      <c r="G586" s="338">
        <f t="shared" si="218"/>
        <v>1</v>
      </c>
      <c r="H586" s="339">
        <f t="shared" si="219"/>
        <v>0</v>
      </c>
      <c r="I586" s="337">
        <f t="shared" si="220"/>
        <v>840775.85470422299</v>
      </c>
      <c r="J586" s="340">
        <f t="shared" si="221"/>
        <v>1.5707951374172588</v>
      </c>
      <c r="K586" s="348">
        <f t="shared" si="237"/>
        <v>19.337001334586109</v>
      </c>
      <c r="L586" s="349">
        <f t="shared" si="238"/>
        <v>1.5190589219843813</v>
      </c>
      <c r="M586" s="337">
        <f t="shared" si="222"/>
        <v>1.006489937389724</v>
      </c>
      <c r="N586" s="340">
        <f t="shared" si="223"/>
        <v>0.1136224561871276</v>
      </c>
      <c r="O586" s="341">
        <f t="shared" si="224"/>
        <v>1.0253596520668957</v>
      </c>
      <c r="P586" s="342">
        <f t="shared" si="225"/>
        <v>0.27163838826225534</v>
      </c>
      <c r="Q586" s="343">
        <f t="shared" si="226"/>
        <v>-6.5174374621801014</v>
      </c>
      <c r="R586" s="344">
        <f t="shared" si="227"/>
        <v>-95.79084891145402</v>
      </c>
      <c r="S586" s="346">
        <f t="shared" si="228"/>
        <v>84.20915108854598</v>
      </c>
      <c r="U586" s="319">
        <f t="shared" si="234"/>
        <v>116155</v>
      </c>
      <c r="V586" s="319">
        <f t="shared" si="235"/>
        <v>13491984025</v>
      </c>
      <c r="X586" s="345">
        <f t="shared" si="229"/>
        <v>4.885213575197068</v>
      </c>
      <c r="Y586" s="346">
        <f t="shared" si="230"/>
        <v>-9.4743540005420197</v>
      </c>
      <c r="AA586" s="345">
        <f t="shared" si="231"/>
        <v>25.430099120717841</v>
      </c>
      <c r="AB586" s="346">
        <f t="shared" si="232"/>
        <v>-86.316494910911985</v>
      </c>
      <c r="AD586">
        <f t="shared" si="236"/>
        <v>0</v>
      </c>
      <c r="AE586">
        <f t="shared" si="239"/>
        <v>0</v>
      </c>
    </row>
    <row r="587" spans="1:31" x14ac:dyDescent="0.2">
      <c r="A587" s="347">
        <v>117490</v>
      </c>
      <c r="B587" s="364">
        <f t="shared" si="233"/>
        <v>117.49</v>
      </c>
      <c r="C587" s="337">
        <f t="shared" si="214"/>
        <v>3.1263060239994513</v>
      </c>
      <c r="D587" s="338">
        <f t="shared" si="215"/>
        <v>1.2452079365326241</v>
      </c>
      <c r="E587" s="338">
        <f t="shared" si="216"/>
        <v>1.0000240758720647</v>
      </c>
      <c r="F587" s="339">
        <f t="shared" si="217"/>
        <v>6.9390761683144645E-3</v>
      </c>
      <c r="G587" s="338">
        <f t="shared" si="218"/>
        <v>1</v>
      </c>
      <c r="H587" s="339">
        <f t="shared" si="219"/>
        <v>0</v>
      </c>
      <c r="I587" s="337">
        <f t="shared" si="220"/>
        <v>850439.11298865813</v>
      </c>
      <c r="J587" s="340">
        <f t="shared" si="221"/>
        <v>1.5707951509317635</v>
      </c>
      <c r="K587" s="348">
        <f t="shared" si="237"/>
        <v>19.558655584082441</v>
      </c>
      <c r="L587" s="349">
        <f t="shared" si="238"/>
        <v>1.5196457662592351</v>
      </c>
      <c r="M587" s="337">
        <f t="shared" si="222"/>
        <v>1.0066394809571655</v>
      </c>
      <c r="N587" s="340">
        <f t="shared" si="223"/>
        <v>0.114916946567517</v>
      </c>
      <c r="O587" s="341">
        <f t="shared" si="224"/>
        <v>1.0259402451560871</v>
      </c>
      <c r="P587" s="342">
        <f t="shared" si="225"/>
        <v>0.27468138729182506</v>
      </c>
      <c r="Q587" s="343">
        <f t="shared" si="226"/>
        <v>-6.6129018451009891</v>
      </c>
      <c r="R587" s="344">
        <f t="shared" si="227"/>
        <v>-96.200563813170461</v>
      </c>
      <c r="S587" s="346">
        <f t="shared" si="228"/>
        <v>83.799436186829539</v>
      </c>
      <c r="U587" s="319">
        <f t="shared" si="234"/>
        <v>117490</v>
      </c>
      <c r="V587" s="319">
        <f t="shared" si="235"/>
        <v>13803900100</v>
      </c>
      <c r="X587" s="345">
        <f t="shared" si="229"/>
        <v>4.8836606725163376</v>
      </c>
      <c r="Y587" s="346">
        <f t="shared" si="230"/>
        <v>-9.5148999101484968</v>
      </c>
      <c r="AA587" s="345">
        <f t="shared" si="231"/>
        <v>25.336187640477682</v>
      </c>
      <c r="AB587" s="346">
        <f t="shared" si="232"/>
        <v>-86.68566390302199</v>
      </c>
      <c r="AD587">
        <f t="shared" si="236"/>
        <v>0</v>
      </c>
      <c r="AE587">
        <f t="shared" si="239"/>
        <v>0</v>
      </c>
    </row>
    <row r="588" spans="1:31" x14ac:dyDescent="0.2">
      <c r="A588" s="347">
        <v>118860</v>
      </c>
      <c r="B588" s="364">
        <f t="shared" si="233"/>
        <v>118.86</v>
      </c>
      <c r="C588" s="337">
        <f t="shared" si="214"/>
        <v>3.1590500205305578</v>
      </c>
      <c r="D588" s="338">
        <f t="shared" si="215"/>
        <v>1.2487051823572992</v>
      </c>
      <c r="E588" s="338">
        <f t="shared" si="216"/>
        <v>1.0000246406153064</v>
      </c>
      <c r="F588" s="339">
        <f t="shared" si="217"/>
        <v>7.0199870869524054E-3</v>
      </c>
      <c r="G588" s="338">
        <f t="shared" si="218"/>
        <v>1</v>
      </c>
      <c r="H588" s="339">
        <f t="shared" si="219"/>
        <v>0</v>
      </c>
      <c r="I588" s="337">
        <f t="shared" si="220"/>
        <v>860355.71512324712</v>
      </c>
      <c r="J588" s="340">
        <f t="shared" si="221"/>
        <v>1.5707951644849563</v>
      </c>
      <c r="K588" s="348">
        <f t="shared" si="237"/>
        <v>19.786127837653201</v>
      </c>
      <c r="L588" s="349">
        <f t="shared" si="238"/>
        <v>1.5202343259164963</v>
      </c>
      <c r="M588" s="337">
        <f t="shared" si="222"/>
        <v>1.0067946983598264</v>
      </c>
      <c r="N588" s="340">
        <f t="shared" si="223"/>
        <v>0.11624497279660329</v>
      </c>
      <c r="O588" s="341">
        <f t="shared" si="224"/>
        <v>1.0265426928757837</v>
      </c>
      <c r="P588" s="342">
        <f t="shared" si="225"/>
        <v>0.27780145487006003</v>
      </c>
      <c r="Q588" s="343">
        <f t="shared" si="226"/>
        <v>-6.710095648177349</v>
      </c>
      <c r="R588" s="344">
        <f t="shared" si="227"/>
        <v>-96.61744117939179</v>
      </c>
      <c r="S588" s="346">
        <f t="shared" si="228"/>
        <v>83.38255882060821</v>
      </c>
      <c r="U588" s="319">
        <f t="shared" si="234"/>
        <v>118860</v>
      </c>
      <c r="V588" s="319">
        <f t="shared" si="235"/>
        <v>14127699600</v>
      </c>
      <c r="X588" s="345">
        <f t="shared" si="229"/>
        <v>4.8820612568113013</v>
      </c>
      <c r="Y588" s="346">
        <f t="shared" si="230"/>
        <v>-9.5572690003942355</v>
      </c>
      <c r="AA588" s="345">
        <f t="shared" si="231"/>
        <v>25.240593253106361</v>
      </c>
      <c r="AB588" s="346">
        <f t="shared" si="232"/>
        <v>-87.060172178997547</v>
      </c>
      <c r="AD588">
        <f t="shared" si="236"/>
        <v>0</v>
      </c>
      <c r="AE588">
        <f t="shared" si="239"/>
        <v>0</v>
      </c>
    </row>
    <row r="589" spans="1:31" x14ac:dyDescent="0.2">
      <c r="A589" s="347">
        <v>120230</v>
      </c>
      <c r="B589" s="364">
        <f t="shared" si="233"/>
        <v>120.23</v>
      </c>
      <c r="C589" s="337">
        <f t="shared" ref="C589:C613" si="240">SQRT(1+(A589/pole1)^2)</f>
        <v>3.1918318615325059</v>
      </c>
      <c r="D589" s="338">
        <f t="shared" ref="D589:D613" si="241">ATAN(A589/pole1)</f>
        <v>1.2521306321484245</v>
      </c>
      <c r="E589" s="338">
        <f t="shared" ref="E589:E613" si="242">SQRT(1+(A589/Zero1)^2)</f>
        <v>1.000025211905279</v>
      </c>
      <c r="F589" s="339">
        <f t="shared" ref="F589:F613" si="243">ATAN(A589/Zero1)</f>
        <v>7.1008979136751704E-3</v>
      </c>
      <c r="G589" s="338">
        <f t="shared" ref="G589:G613" si="244">IF(VIN_nom&gt;Vout, 1, SQRT(1+(A589/z_RHP)^2))</f>
        <v>1</v>
      </c>
      <c r="H589" s="339">
        <f t="shared" ref="H589:H613" si="245">IF(VIN_nom&gt;Vout, 0, -ATAN(A589/z_RHP))</f>
        <v>0</v>
      </c>
      <c r="I589" s="337">
        <f t="shared" ref="I589:I613" si="246">SQRT(1+(A589/Pole2)^2)</f>
        <v>870272.31725783623</v>
      </c>
      <c r="J589" s="340">
        <f t="shared" ref="J589:J613" si="247">ATAN(A589/Pole2)</f>
        <v>1.5707951777292763</v>
      </c>
      <c r="K589" s="348">
        <f t="shared" si="237"/>
        <v>20.013606789383495</v>
      </c>
      <c r="L589" s="349">
        <f t="shared" si="238"/>
        <v>1.5208095063783855</v>
      </c>
      <c r="M589" s="337">
        <f t="shared" ref="M589:M613" si="248">SQRT(1+(A589/pole4)^2)</f>
        <v>1.0069516908504064</v>
      </c>
      <c r="N589" s="340">
        <f t="shared" ref="N589:N613" si="249">ATAN(A589/pole4)</f>
        <v>0.11757258726495209</v>
      </c>
      <c r="O589" s="341">
        <f t="shared" ref="O589:O613" si="250">SQRT((1-(V589/pterm2))^2+(A589/pterm1)^2)</f>
        <v>1.0271518506833024</v>
      </c>
      <c r="P589" s="342">
        <f t="shared" ref="P589:P613" si="251">IF((ATAN((A589/pterm1)/(1-A589^2/pterm2))&gt;0),ATAN((A589/pterm1)/(1-A589^2/pterm2)),PI()+ATAN((A589/pterm1)/(1-A589^2/pterm2)))</f>
        <v>0.28091875113704273</v>
      </c>
      <c r="Q589" s="343">
        <f t="shared" ref="Q589:Q613" si="252">20*LOG10(((E589*K589*G589)/(C589*I589*O589*M589))*Adc)</f>
        <v>-6.8065191789519073</v>
      </c>
      <c r="R589" s="344">
        <f t="shared" ref="R589:R613" si="253">((F589+L589+H589)-(D589+J589+P589+N589))*radconv</f>
        <v>-97.030789118307311</v>
      </c>
      <c r="S589" s="346">
        <f t="shared" ref="S589:S613" si="254">IF(R589&gt;0,R589,R589+180)</f>
        <v>82.969210881692689</v>
      </c>
      <c r="U589" s="319">
        <f t="shared" si="234"/>
        <v>120230</v>
      </c>
      <c r="V589" s="319">
        <f t="shared" si="235"/>
        <v>14455252900</v>
      </c>
      <c r="X589" s="345">
        <f t="shared" ref="X589:X613" si="255">20*LOG10((K589/(I589*M589))*AEA)</f>
        <v>4.8804555653288615</v>
      </c>
      <c r="Y589" s="346">
        <f t="shared" ref="Y589:Y613" si="256">(L589-(J589+N589))*radconv</f>
        <v>-9.600381052219392</v>
      </c>
      <c r="AA589" s="345">
        <f t="shared" ref="AA589:AA613" si="257">20*LOG10((E589*G589/(C589*O589))*Acs*Am)</f>
        <v>25.145775413814238</v>
      </c>
      <c r="AB589" s="346">
        <f t="shared" ref="AB589:AB613" si="258">(F589+H589-(D589+P589))*radconv</f>
        <v>-87.430408066087935</v>
      </c>
      <c r="AD589">
        <f t="shared" si="236"/>
        <v>0</v>
      </c>
      <c r="AE589">
        <f t="shared" si="239"/>
        <v>0</v>
      </c>
    </row>
    <row r="590" spans="1:31" x14ac:dyDescent="0.2">
      <c r="A590" s="347">
        <v>126030</v>
      </c>
      <c r="B590" s="364">
        <f t="shared" ref="B590:B613" si="259">A590/1000</f>
        <v>126.03</v>
      </c>
      <c r="C590" s="337">
        <f t="shared" si="240"/>
        <v>3.3310098090544873</v>
      </c>
      <c r="D590" s="338">
        <f t="shared" si="241"/>
        <v>1.2658842979245832</v>
      </c>
      <c r="E590" s="338">
        <f t="shared" si="242"/>
        <v>1.0000277030320319</v>
      </c>
      <c r="F590" s="339">
        <f t="shared" si="243"/>
        <v>7.4434390571477913E-3</v>
      </c>
      <c r="G590" s="338">
        <f t="shared" si="244"/>
        <v>1</v>
      </c>
      <c r="H590" s="339">
        <f t="shared" si="245"/>
        <v>0</v>
      </c>
      <c r="I590" s="337">
        <f t="shared" si="246"/>
        <v>912255.01242617145</v>
      </c>
      <c r="J590" s="340">
        <f t="shared" si="247"/>
        <v>1.5707952306101824</v>
      </c>
      <c r="K590" s="348">
        <f t="shared" si="237"/>
        <v>20.976725554477994</v>
      </c>
      <c r="L590" s="349">
        <f t="shared" si="238"/>
        <v>1.523106369020049</v>
      </c>
      <c r="M590" s="337">
        <f t="shared" si="248"/>
        <v>1.0076359764057758</v>
      </c>
      <c r="N590" s="340">
        <f t="shared" si="249"/>
        <v>0.12318848011866901</v>
      </c>
      <c r="O590" s="341">
        <f t="shared" si="250"/>
        <v>1.0298048957286621</v>
      </c>
      <c r="P590" s="342">
        <f t="shared" si="251"/>
        <v>0.29408477128751126</v>
      </c>
      <c r="Q590" s="343">
        <f t="shared" si="252"/>
        <v>-7.206497351552529</v>
      </c>
      <c r="R590" s="344">
        <f t="shared" si="253"/>
        <v>-98.743716800927331</v>
      </c>
      <c r="S590" s="346">
        <f t="shared" si="254"/>
        <v>81.256283199072669</v>
      </c>
      <c r="U590" s="319">
        <f t="shared" ref="U590:U613" si="260">IF(Q590&lt;0,A590,1000000000)</f>
        <v>126030</v>
      </c>
      <c r="V590" s="319">
        <f t="shared" ref="V590:V613" si="261">A590^2</f>
        <v>15883560900</v>
      </c>
      <c r="X590" s="345">
        <f t="shared" si="255"/>
        <v>4.8735798580943808</v>
      </c>
      <c r="Y590" s="346">
        <f t="shared" si="256"/>
        <v>-9.7905505055165101</v>
      </c>
      <c r="AA590" s="345">
        <f t="shared" si="257"/>
        <v>24.752672948448094</v>
      </c>
      <c r="AB590" s="346">
        <f t="shared" si="258"/>
        <v>-88.953166295410824</v>
      </c>
      <c r="AD590">
        <f t="shared" ref="AD590:AD613" si="262">SUM((Q591&lt;0)*(Q590&gt;0))*A590</f>
        <v>0</v>
      </c>
      <c r="AE590">
        <f t="shared" si="239"/>
        <v>0</v>
      </c>
    </row>
    <row r="591" spans="1:31" x14ac:dyDescent="0.2">
      <c r="A591" s="347">
        <v>131830</v>
      </c>
      <c r="B591" s="364">
        <f t="shared" si="259"/>
        <v>131.83000000000001</v>
      </c>
      <c r="C591" s="337">
        <f t="shared" si="240"/>
        <v>3.4707672610193279</v>
      </c>
      <c r="D591" s="338">
        <f t="shared" si="241"/>
        <v>1.2785325603407789</v>
      </c>
      <c r="E591" s="338">
        <f t="shared" si="242"/>
        <v>1.0000303114958777</v>
      </c>
      <c r="F591" s="339">
        <f t="shared" si="243"/>
        <v>7.785978453853694E-3</v>
      </c>
      <c r="G591" s="338">
        <f t="shared" si="244"/>
        <v>1</v>
      </c>
      <c r="H591" s="339">
        <f t="shared" si="245"/>
        <v>0</v>
      </c>
      <c r="I591" s="337">
        <f t="shared" si="246"/>
        <v>954237.707594509</v>
      </c>
      <c r="J591" s="340">
        <f t="shared" si="247"/>
        <v>1.570795278837986</v>
      </c>
      <c r="K591" s="348">
        <f t="shared" si="237"/>
        <v>21.93994526772509</v>
      </c>
      <c r="L591" s="349">
        <f t="shared" si="238"/>
        <v>1.525201565631189</v>
      </c>
      <c r="M591" s="337">
        <f t="shared" si="248"/>
        <v>1.0083519973231729</v>
      </c>
      <c r="N591" s="340">
        <f t="shared" si="249"/>
        <v>0.1287965740553062</v>
      </c>
      <c r="O591" s="341">
        <f t="shared" si="250"/>
        <v>1.0325773479233307</v>
      </c>
      <c r="P591" s="342">
        <f t="shared" si="251"/>
        <v>0.30719874124934454</v>
      </c>
      <c r="Q591" s="343">
        <f t="shared" si="252"/>
        <v>-7.5938385354790539</v>
      </c>
      <c r="R591" s="344">
        <f t="shared" si="253"/>
        <v>-100.40143488103307</v>
      </c>
      <c r="S591" s="346">
        <f t="shared" si="254"/>
        <v>79.598565118966931</v>
      </c>
      <c r="U591" s="319">
        <f t="shared" si="260"/>
        <v>131830</v>
      </c>
      <c r="V591" s="319">
        <f t="shared" si="261"/>
        <v>17379148900</v>
      </c>
      <c r="X591" s="345">
        <f t="shared" si="255"/>
        <v>4.8665604575110679</v>
      </c>
      <c r="Y591" s="346">
        <f t="shared" si="256"/>
        <v>-9.9918274596098833</v>
      </c>
      <c r="AA591" s="345">
        <f t="shared" si="257"/>
        <v>24.372351165104888</v>
      </c>
      <c r="AB591" s="346">
        <f t="shared" si="258"/>
        <v>-90.409607421423189</v>
      </c>
      <c r="AD591">
        <f t="shared" si="262"/>
        <v>0</v>
      </c>
      <c r="AE591">
        <f t="shared" si="239"/>
        <v>0</v>
      </c>
    </row>
    <row r="592" spans="1:31" x14ac:dyDescent="0.2">
      <c r="A592" s="347">
        <v>144540</v>
      </c>
      <c r="B592" s="364">
        <f t="shared" si="259"/>
        <v>144.54</v>
      </c>
      <c r="C592" s="337">
        <f t="shared" si="240"/>
        <v>3.7787407348750066</v>
      </c>
      <c r="D592" s="338">
        <f t="shared" si="241"/>
        <v>1.3029673653927356</v>
      </c>
      <c r="E592" s="338">
        <f t="shared" si="242"/>
        <v>1.0000364379248405</v>
      </c>
      <c r="F592" s="339">
        <f t="shared" si="243"/>
        <v>8.5366057001167363E-3</v>
      </c>
      <c r="G592" s="338">
        <f t="shared" si="244"/>
        <v>1</v>
      </c>
      <c r="H592" s="339">
        <f t="shared" si="245"/>
        <v>0</v>
      </c>
      <c r="I592" s="337">
        <f t="shared" si="246"/>
        <v>1046237.7171789244</v>
      </c>
      <c r="J592" s="340">
        <f t="shared" si="247"/>
        <v>1.5707953709891713</v>
      </c>
      <c r="K592" s="348">
        <f t="shared" si="237"/>
        <v>24.051018755075926</v>
      </c>
      <c r="L592" s="349">
        <f t="shared" si="238"/>
        <v>1.5292060573710791</v>
      </c>
      <c r="M592" s="337">
        <f t="shared" si="248"/>
        <v>1.0100317076513061</v>
      </c>
      <c r="N592" s="340">
        <f t="shared" si="249"/>
        <v>0.14105712815729976</v>
      </c>
      <c r="O592" s="341">
        <f t="shared" si="250"/>
        <v>1.0390668344835301</v>
      </c>
      <c r="P592" s="342">
        <f t="shared" si="251"/>
        <v>0.33574542580657374</v>
      </c>
      <c r="Q592" s="343">
        <f t="shared" si="252"/>
        <v>-8.4026092953496896</v>
      </c>
      <c r="R592" s="344">
        <f t="shared" si="253"/>
        <v>-103.86708566733665</v>
      </c>
      <c r="S592" s="346">
        <f t="shared" si="254"/>
        <v>76.132914332663347</v>
      </c>
      <c r="U592" s="319">
        <f t="shared" si="260"/>
        <v>144540</v>
      </c>
      <c r="V592" s="319">
        <f t="shared" si="261"/>
        <v>20891811600</v>
      </c>
      <c r="X592" s="345">
        <f t="shared" si="255"/>
        <v>4.8505863381931542</v>
      </c>
      <c r="Y592" s="346">
        <f t="shared" si="256"/>
        <v>-10.464870268769753</v>
      </c>
      <c r="AA592" s="345">
        <f t="shared" si="257"/>
        <v>23.579554524552165</v>
      </c>
      <c r="AB592" s="346">
        <f t="shared" si="258"/>
        <v>-93.402215398566909</v>
      </c>
      <c r="AD592">
        <f t="shared" si="262"/>
        <v>0</v>
      </c>
      <c r="AE592">
        <f t="shared" si="239"/>
        <v>0</v>
      </c>
    </row>
    <row r="593" spans="1:31" x14ac:dyDescent="0.2">
      <c r="A593" s="347">
        <v>158490</v>
      </c>
      <c r="B593" s="364">
        <f t="shared" si="259"/>
        <v>158.49</v>
      </c>
      <c r="C593" s="337">
        <f t="shared" si="240"/>
        <v>4.1189492259048386</v>
      </c>
      <c r="D593" s="338">
        <f t="shared" si="241"/>
        <v>1.3255653826489135</v>
      </c>
      <c r="E593" s="338">
        <f t="shared" si="242"/>
        <v>1.0000438106467868</v>
      </c>
      <c r="F593" s="339">
        <f t="shared" si="243"/>
        <v>9.3604537677618466E-3</v>
      </c>
      <c r="G593" s="338">
        <f t="shared" si="244"/>
        <v>1</v>
      </c>
      <c r="H593" s="339">
        <f t="shared" si="245"/>
        <v>0</v>
      </c>
      <c r="I593" s="337">
        <f t="shared" si="246"/>
        <v>1147213.3374545106</v>
      </c>
      <c r="J593" s="340">
        <f t="shared" si="247"/>
        <v>1.5707954551174437</v>
      </c>
      <c r="K593" s="348">
        <f t="shared" si="237"/>
        <v>26.368420030194429</v>
      </c>
      <c r="L593" s="349">
        <f t="shared" si="238"/>
        <v>1.5328630770580201</v>
      </c>
      <c r="M593" s="337">
        <f t="shared" si="248"/>
        <v>1.0120494370822095</v>
      </c>
      <c r="N593" s="340">
        <f t="shared" si="249"/>
        <v>0.15446473669982475</v>
      </c>
      <c r="O593" s="341">
        <f t="shared" si="250"/>
        <v>1.0468360427737773</v>
      </c>
      <c r="P593" s="342">
        <f t="shared" si="251"/>
        <v>0.36675733322393572</v>
      </c>
      <c r="Q593" s="343">
        <f t="shared" si="252"/>
        <v>-9.234633881310943</v>
      </c>
      <c r="R593" s="344">
        <f t="shared" si="253"/>
        <v>-107.45017748739016</v>
      </c>
      <c r="S593" s="346">
        <f t="shared" si="254"/>
        <v>72.549822512609836</v>
      </c>
      <c r="U593" s="319">
        <f t="shared" si="260"/>
        <v>158490</v>
      </c>
      <c r="V593" s="319">
        <f t="shared" si="261"/>
        <v>25119080100</v>
      </c>
      <c r="X593" s="345">
        <f t="shared" si="255"/>
        <v>4.831988260277118</v>
      </c>
      <c r="Y593" s="346">
        <f t="shared" si="256"/>
        <v>-11.023542678795318</v>
      </c>
      <c r="AA593" s="345">
        <f t="shared" si="257"/>
        <v>22.766128016506944</v>
      </c>
      <c r="AB593" s="346">
        <f t="shared" si="258"/>
        <v>-96.426634808594841</v>
      </c>
      <c r="AD593">
        <f t="shared" si="262"/>
        <v>0</v>
      </c>
      <c r="AE593">
        <f t="shared" si="239"/>
        <v>0</v>
      </c>
    </row>
    <row r="594" spans="1:31" x14ac:dyDescent="0.2">
      <c r="A594" s="347">
        <v>173780</v>
      </c>
      <c r="B594" s="364">
        <f t="shared" si="259"/>
        <v>173.78</v>
      </c>
      <c r="C594" s="337">
        <f t="shared" si="240"/>
        <v>4.4938693181613605</v>
      </c>
      <c r="D594" s="338">
        <f t="shared" si="241"/>
        <v>1.3463922860628652</v>
      </c>
      <c r="E594" s="338">
        <f t="shared" si="242"/>
        <v>1.0000526712464297</v>
      </c>
      <c r="F594" s="339">
        <f t="shared" si="243"/>
        <v>1.0263423858560806E-2</v>
      </c>
      <c r="G594" s="338">
        <f t="shared" si="244"/>
        <v>1</v>
      </c>
      <c r="H594" s="339">
        <f t="shared" si="245"/>
        <v>0</v>
      </c>
      <c r="I594" s="337">
        <f t="shared" si="246"/>
        <v>1257888.407993136</v>
      </c>
      <c r="J594" s="340">
        <f t="shared" si="247"/>
        <v>1.5707955318118174</v>
      </c>
      <c r="K594" s="348">
        <f t="shared" si="237"/>
        <v>28.908761741802532</v>
      </c>
      <c r="L594" s="349">
        <f t="shared" si="238"/>
        <v>1.5361978356500861</v>
      </c>
      <c r="M594" s="337">
        <f t="shared" si="248"/>
        <v>1.0144690712978346</v>
      </c>
      <c r="N594" s="340">
        <f t="shared" si="249"/>
        <v>0.16909604897710839</v>
      </c>
      <c r="O594" s="341">
        <f t="shared" si="250"/>
        <v>1.0561160191226666</v>
      </c>
      <c r="P594" s="342">
        <f t="shared" si="251"/>
        <v>0.40033807634870516</v>
      </c>
      <c r="Q594" s="343">
        <f t="shared" si="252"/>
        <v>-10.08968877417086</v>
      </c>
      <c r="R594" s="344">
        <f t="shared" si="253"/>
        <v>-111.16301887978152</v>
      </c>
      <c r="S594" s="346">
        <f t="shared" si="254"/>
        <v>68.836981120218482</v>
      </c>
      <c r="U594" s="319">
        <f t="shared" si="260"/>
        <v>173780</v>
      </c>
      <c r="V594" s="319">
        <f t="shared" si="261"/>
        <v>30199488400</v>
      </c>
      <c r="X594" s="345">
        <f t="shared" si="255"/>
        <v>4.8101956783667124</v>
      </c>
      <c r="Y594" s="346">
        <f t="shared" si="256"/>
        <v>-11.670791923004776</v>
      </c>
      <c r="AA594" s="345">
        <f t="shared" si="257"/>
        <v>21.932865705557436</v>
      </c>
      <c r="AB594" s="346">
        <f t="shared" si="258"/>
        <v>-99.492226956776747</v>
      </c>
      <c r="AD594">
        <f t="shared" si="262"/>
        <v>0</v>
      </c>
      <c r="AE594">
        <f t="shared" si="239"/>
        <v>0</v>
      </c>
    </row>
    <row r="595" spans="1:31" x14ac:dyDescent="0.2">
      <c r="A595" s="347">
        <v>190550</v>
      </c>
      <c r="B595" s="364">
        <f t="shared" si="259"/>
        <v>190.55</v>
      </c>
      <c r="C595" s="337">
        <f t="shared" si="240"/>
        <v>4.906961663722857</v>
      </c>
      <c r="D595" s="338">
        <f t="shared" si="241"/>
        <v>1.3655665750471637</v>
      </c>
      <c r="E595" s="338">
        <f t="shared" si="242"/>
        <v>1.0000633271002886</v>
      </c>
      <c r="F595" s="339">
        <f t="shared" si="243"/>
        <v>1.1253777902055983E-2</v>
      </c>
      <c r="G595" s="338">
        <f t="shared" si="244"/>
        <v>1</v>
      </c>
      <c r="H595" s="339">
        <f t="shared" si="245"/>
        <v>0</v>
      </c>
      <c r="I595" s="337">
        <f t="shared" si="246"/>
        <v>1379276.3041954155</v>
      </c>
      <c r="J595" s="340">
        <f t="shared" si="247"/>
        <v>1.5707956017770035</v>
      </c>
      <c r="K595" s="348">
        <f t="shared" si="237"/>
        <v>31.695304108148555</v>
      </c>
      <c r="L595" s="349">
        <f t="shared" si="238"/>
        <v>1.5392406750261376</v>
      </c>
      <c r="M595" s="337">
        <f t="shared" si="248"/>
        <v>1.0173713564095004</v>
      </c>
      <c r="N595" s="340">
        <f t="shared" si="249"/>
        <v>0.18505976630394841</v>
      </c>
      <c r="O595" s="341">
        <f t="shared" si="250"/>
        <v>1.0671958070511234</v>
      </c>
      <c r="P595" s="342">
        <f t="shared" si="251"/>
        <v>0.43664589443245172</v>
      </c>
      <c r="Q595" s="343">
        <f t="shared" si="252"/>
        <v>-10.969778790920452</v>
      </c>
      <c r="R595" s="344">
        <f t="shared" si="253"/>
        <v>-115.02548213366467</v>
      </c>
      <c r="S595" s="346">
        <f t="shared" si="254"/>
        <v>64.974517866335333</v>
      </c>
      <c r="U595" s="319">
        <f t="shared" si="260"/>
        <v>190550</v>
      </c>
      <c r="V595" s="319">
        <f t="shared" si="261"/>
        <v>36309302500</v>
      </c>
      <c r="X595" s="345">
        <f t="shared" si="255"/>
        <v>4.7845072367488548</v>
      </c>
      <c r="Y595" s="346">
        <f t="shared" si="256"/>
        <v>-12.411107706744401</v>
      </c>
      <c r="AA595" s="345">
        <f t="shared" si="257"/>
        <v>21.078464130425701</v>
      </c>
      <c r="AB595" s="346">
        <f t="shared" si="258"/>
        <v>-102.61437442692026</v>
      </c>
      <c r="AD595">
        <f t="shared" si="262"/>
        <v>0</v>
      </c>
      <c r="AE595">
        <f t="shared" si="239"/>
        <v>0</v>
      </c>
    </row>
    <row r="596" spans="1:31" x14ac:dyDescent="0.2">
      <c r="A596" s="347">
        <v>208930</v>
      </c>
      <c r="B596" s="364">
        <f t="shared" si="259"/>
        <v>208.93</v>
      </c>
      <c r="C596" s="337">
        <f t="shared" si="240"/>
        <v>5.3614499304295373</v>
      </c>
      <c r="D596" s="338">
        <f t="shared" si="241"/>
        <v>1.3831808894260071</v>
      </c>
      <c r="E596" s="338">
        <f t="shared" si="242"/>
        <v>1.000076132575898</v>
      </c>
      <c r="F596" s="339">
        <f t="shared" si="243"/>
        <v>1.2339185230071142E-2</v>
      </c>
      <c r="G596" s="338">
        <f t="shared" si="244"/>
        <v>1</v>
      </c>
      <c r="H596" s="339">
        <f t="shared" si="245"/>
        <v>0</v>
      </c>
      <c r="I596" s="337">
        <f t="shared" si="246"/>
        <v>1512318.017504778</v>
      </c>
      <c r="J596" s="340">
        <f t="shared" si="247"/>
        <v>1.5707956655583124</v>
      </c>
      <c r="K596" s="348">
        <f t="shared" si="237"/>
        <v>34.749648254136034</v>
      </c>
      <c r="L596" s="349">
        <f t="shared" si="238"/>
        <v>1.542015083715214</v>
      </c>
      <c r="M596" s="337">
        <f t="shared" si="248"/>
        <v>1.0208482487912991</v>
      </c>
      <c r="N596" s="340">
        <f t="shared" si="249"/>
        <v>0.20244688154092016</v>
      </c>
      <c r="O596" s="341">
        <f t="shared" si="250"/>
        <v>1.0803981821666739</v>
      </c>
      <c r="P596" s="342">
        <f t="shared" si="251"/>
        <v>0.47577588381138103</v>
      </c>
      <c r="Q596" s="343">
        <f t="shared" si="252"/>
        <v>-11.876214919516359</v>
      </c>
      <c r="R596" s="344">
        <f t="shared" si="253"/>
        <v>-119.05175206290365</v>
      </c>
      <c r="S596" s="346">
        <f t="shared" si="254"/>
        <v>60.948247937096355</v>
      </c>
      <c r="U596" s="319">
        <f t="shared" si="260"/>
        <v>208930</v>
      </c>
      <c r="V596" s="319">
        <f t="shared" si="261"/>
        <v>43651744900</v>
      </c>
      <c r="X596" s="345">
        <f t="shared" si="255"/>
        <v>4.7541463703347189</v>
      </c>
      <c r="Y596" s="346">
        <f t="shared" si="256"/>
        <v>-13.248357774558498</v>
      </c>
      <c r="AA596" s="345">
        <f t="shared" si="257"/>
        <v>20.202388868243929</v>
      </c>
      <c r="AB596" s="346">
        <f t="shared" si="258"/>
        <v>-105.80339428834512</v>
      </c>
      <c r="AD596">
        <f t="shared" si="262"/>
        <v>0</v>
      </c>
      <c r="AE596">
        <f t="shared" si="239"/>
        <v>0</v>
      </c>
    </row>
    <row r="597" spans="1:31" x14ac:dyDescent="0.2">
      <c r="A597" s="347">
        <v>229090</v>
      </c>
      <c r="B597" s="364">
        <f t="shared" si="259"/>
        <v>229.09</v>
      </c>
      <c r="C597" s="337">
        <f t="shared" si="240"/>
        <v>5.8615543978484803</v>
      </c>
      <c r="D597" s="338">
        <f t="shared" si="241"/>
        <v>1.3993545046083493</v>
      </c>
      <c r="E597" s="338">
        <f t="shared" si="242"/>
        <v>1.0000915330293807</v>
      </c>
      <c r="F597" s="339">
        <f t="shared" si="243"/>
        <v>1.3529674645991382E-2</v>
      </c>
      <c r="G597" s="338">
        <f t="shared" si="244"/>
        <v>1</v>
      </c>
      <c r="H597" s="339">
        <f t="shared" si="245"/>
        <v>0</v>
      </c>
      <c r="I597" s="337">
        <f t="shared" si="246"/>
        <v>1658244.0751933989</v>
      </c>
      <c r="J597" s="340">
        <f t="shared" si="247"/>
        <v>1.5707957237473629</v>
      </c>
      <c r="K597" s="348">
        <f t="shared" si="237"/>
        <v>38.10004439837229</v>
      </c>
      <c r="L597" s="349">
        <f t="shared" si="238"/>
        <v>1.5445466237781003</v>
      </c>
      <c r="M597" s="337">
        <f t="shared" si="248"/>
        <v>1.025014157239446</v>
      </c>
      <c r="N597" s="340">
        <f t="shared" si="249"/>
        <v>0.22137581953261432</v>
      </c>
      <c r="O597" s="341">
        <f t="shared" si="250"/>
        <v>1.0961191716327281</v>
      </c>
      <c r="P597" s="342">
        <f t="shared" si="251"/>
        <v>0.51785911276302909</v>
      </c>
      <c r="Q597" s="343">
        <f t="shared" si="252"/>
        <v>-12.812149345356554</v>
      </c>
      <c r="R597" s="344">
        <f t="shared" si="253"/>
        <v>-123.26091837555944</v>
      </c>
      <c r="S597" s="346">
        <f t="shared" si="254"/>
        <v>56.739081624440558</v>
      </c>
      <c r="U597" s="319">
        <f t="shared" si="260"/>
        <v>229090</v>
      </c>
      <c r="V597" s="319">
        <f t="shared" si="261"/>
        <v>52482228100</v>
      </c>
      <c r="X597" s="345">
        <f t="shared" si="255"/>
        <v>4.7181676746021255</v>
      </c>
      <c r="Y597" s="346">
        <f t="shared" si="256"/>
        <v>-14.187862805936295</v>
      </c>
      <c r="AA597" s="345">
        <f t="shared" si="257"/>
        <v>19.30243313813633</v>
      </c>
      <c r="AB597" s="346">
        <f t="shared" si="258"/>
        <v>-109.07305556962314</v>
      </c>
      <c r="AD597">
        <f t="shared" si="262"/>
        <v>0</v>
      </c>
      <c r="AE597">
        <f t="shared" si="239"/>
        <v>0</v>
      </c>
    </row>
    <row r="598" spans="1:31" x14ac:dyDescent="0.2">
      <c r="A598" s="347">
        <v>251190</v>
      </c>
      <c r="B598" s="364">
        <f t="shared" si="259"/>
        <v>251.19</v>
      </c>
      <c r="C598" s="337">
        <f t="shared" si="240"/>
        <v>6.4112573858174011</v>
      </c>
      <c r="D598" s="338">
        <f t="shared" si="241"/>
        <v>1.4141812172833337</v>
      </c>
      <c r="E598" s="338">
        <f t="shared" si="242"/>
        <v>1.0001100439685324</v>
      </c>
      <c r="F598" s="339">
        <f t="shared" si="243"/>
        <v>1.4834680858321828E-2</v>
      </c>
      <c r="G598" s="338">
        <f t="shared" si="244"/>
        <v>1</v>
      </c>
      <c r="H598" s="339">
        <f t="shared" si="245"/>
        <v>0</v>
      </c>
      <c r="I598" s="337">
        <f t="shared" si="246"/>
        <v>1818212.6205762674</v>
      </c>
      <c r="J598" s="340">
        <f t="shared" si="247"/>
        <v>1.5707957768042142</v>
      </c>
      <c r="K598" s="348">
        <f t="shared" si="237"/>
        <v>41.773083073784157</v>
      </c>
      <c r="L598" s="349">
        <f t="shared" si="238"/>
        <v>1.5468551794685681</v>
      </c>
      <c r="M598" s="337">
        <f t="shared" si="248"/>
        <v>1.0299992562631235</v>
      </c>
      <c r="N598" s="340">
        <f t="shared" si="249"/>
        <v>0.24194215675242789</v>
      </c>
      <c r="O598" s="341">
        <f t="shared" si="250"/>
        <v>1.1147984896617946</v>
      </c>
      <c r="P598" s="342">
        <f t="shared" si="251"/>
        <v>0.56294669175730527</v>
      </c>
      <c r="Q598" s="343">
        <f t="shared" si="252"/>
        <v>-13.780013048154123</v>
      </c>
      <c r="R598" s="344">
        <f t="shared" si="253"/>
        <v>-127.66507994238859</v>
      </c>
      <c r="S598" s="346">
        <f t="shared" si="254"/>
        <v>52.334920057611413</v>
      </c>
      <c r="U598" s="319">
        <f t="shared" si="260"/>
        <v>251190</v>
      </c>
      <c r="V598" s="319">
        <f t="shared" si="261"/>
        <v>63096416100</v>
      </c>
      <c r="X598" s="345">
        <f t="shared" si="255"/>
        <v>4.6755234125248499</v>
      </c>
      <c r="Y598" s="346">
        <f t="shared" si="256"/>
        <v>-15.233959671968707</v>
      </c>
      <c r="AA598" s="345">
        <f t="shared" si="257"/>
        <v>18.377213697416039</v>
      </c>
      <c r="AB598" s="346">
        <f t="shared" si="258"/>
        <v>-112.43112027041987</v>
      </c>
      <c r="AD598">
        <f t="shared" si="262"/>
        <v>0</v>
      </c>
      <c r="AE598">
        <f t="shared" si="239"/>
        <v>0</v>
      </c>
    </row>
    <row r="599" spans="1:31" x14ac:dyDescent="0.2">
      <c r="A599" s="347">
        <v>275420</v>
      </c>
      <c r="B599" s="364">
        <f t="shared" si="259"/>
        <v>275.42</v>
      </c>
      <c r="C599" s="337">
        <f t="shared" si="240"/>
        <v>7.0152942249477812</v>
      </c>
      <c r="D599" s="338">
        <f t="shared" si="241"/>
        <v>1.4277634248241362</v>
      </c>
      <c r="E599" s="338">
        <f t="shared" si="242"/>
        <v>1.0001322962908998</v>
      </c>
      <c r="F599" s="339">
        <f t="shared" si="243"/>
        <v>1.6265405453849018E-2</v>
      </c>
      <c r="G599" s="338">
        <f t="shared" si="244"/>
        <v>1</v>
      </c>
      <c r="H599" s="339">
        <f t="shared" si="245"/>
        <v>0</v>
      </c>
      <c r="I599" s="337">
        <f t="shared" si="246"/>
        <v>1993598.9488399334</v>
      </c>
      <c r="J599" s="340">
        <f t="shared" si="247"/>
        <v>1.5707958251894958</v>
      </c>
      <c r="K599" s="348">
        <f t="shared" ref="K599:K613" si="263">SQRT(1+(A599/Zero2)^2)</f>
        <v>45.800342380673072</v>
      </c>
      <c r="L599" s="349">
        <f t="shared" ref="L599:L613" si="264">ATAN(A599/Zero2)</f>
        <v>1.5489606937352087</v>
      </c>
      <c r="M599" s="337">
        <f t="shared" si="248"/>
        <v>1.0359603009181566</v>
      </c>
      <c r="N599" s="340">
        <f t="shared" si="249"/>
        <v>0.26425270574530302</v>
      </c>
      <c r="O599" s="341">
        <f t="shared" si="250"/>
        <v>1.1369554164495945</v>
      </c>
      <c r="P599" s="342">
        <f t="shared" si="251"/>
        <v>0.61108470234926127</v>
      </c>
      <c r="Q599" s="343">
        <f t="shared" si="252"/>
        <v>-14.783357316919147</v>
      </c>
      <c r="R599" s="344">
        <f t="shared" si="253"/>
        <v>-132.2770794633241</v>
      </c>
      <c r="S599" s="346">
        <f t="shared" si="254"/>
        <v>47.7229205366759</v>
      </c>
      <c r="U599" s="319">
        <f t="shared" si="260"/>
        <v>275420</v>
      </c>
      <c r="V599" s="319">
        <f t="shared" si="261"/>
        <v>75856176400</v>
      </c>
      <c r="X599" s="345">
        <f t="shared" si="255"/>
        <v>4.6249807103744089</v>
      </c>
      <c r="Y599" s="346">
        <f t="shared" si="256"/>
        <v>-16.391625660292465</v>
      </c>
      <c r="AA599" s="345">
        <f t="shared" si="257"/>
        <v>17.424412130801453</v>
      </c>
      <c r="AB599" s="346">
        <f t="shared" si="258"/>
        <v>-115.88545380303162</v>
      </c>
      <c r="AD599">
        <f t="shared" si="262"/>
        <v>0</v>
      </c>
      <c r="AE599">
        <f t="shared" si="239"/>
        <v>0</v>
      </c>
    </row>
    <row r="600" spans="1:31" x14ac:dyDescent="0.2">
      <c r="A600" s="347">
        <v>302000</v>
      </c>
      <c r="B600" s="364">
        <f t="shared" si="259"/>
        <v>302</v>
      </c>
      <c r="C600" s="337">
        <f t="shared" si="240"/>
        <v>7.6791577403292104</v>
      </c>
      <c r="D600" s="338">
        <f t="shared" si="241"/>
        <v>1.4402028237598516</v>
      </c>
      <c r="E600" s="338">
        <f t="shared" si="242"/>
        <v>1.0001590613978644</v>
      </c>
      <c r="F600" s="339">
        <f t="shared" si="243"/>
        <v>1.7834815219239842E-2</v>
      </c>
      <c r="G600" s="338">
        <f t="shared" si="244"/>
        <v>1</v>
      </c>
      <c r="H600" s="339">
        <f t="shared" si="245"/>
        <v>0</v>
      </c>
      <c r="I600" s="337">
        <f t="shared" si="246"/>
        <v>2185995.5070425062</v>
      </c>
      <c r="J600" s="340">
        <f t="shared" si="247"/>
        <v>1.5707958693374147</v>
      </c>
      <c r="K600" s="348">
        <f t="shared" si="263"/>
        <v>50.21838857691133</v>
      </c>
      <c r="L600" s="349">
        <f t="shared" si="264"/>
        <v>1.5508819860877217</v>
      </c>
      <c r="M600" s="337">
        <f t="shared" si="248"/>
        <v>1.0430852942129223</v>
      </c>
      <c r="N600" s="340">
        <f t="shared" si="249"/>
        <v>0.28842039655032686</v>
      </c>
      <c r="O600" s="341">
        <f t="shared" si="250"/>
        <v>1.1631999222503597</v>
      </c>
      <c r="P600" s="342">
        <f t="shared" si="251"/>
        <v>0.66230123240244954</v>
      </c>
      <c r="Q600" s="343">
        <f t="shared" si="252"/>
        <v>-15.826580035352855</v>
      </c>
      <c r="R600" s="344">
        <f t="shared" si="253"/>
        <v>-137.10900225519518</v>
      </c>
      <c r="S600" s="346">
        <f t="shared" si="254"/>
        <v>42.890997744804821</v>
      </c>
      <c r="U600" s="319">
        <f t="shared" si="260"/>
        <v>302000</v>
      </c>
      <c r="V600" s="319">
        <f t="shared" si="261"/>
        <v>91204000000</v>
      </c>
      <c r="X600" s="345">
        <f t="shared" si="255"/>
        <v>4.5650981051184409</v>
      </c>
      <c r="Y600" s="346">
        <f t="shared" si="256"/>
        <v>-17.666252931933609</v>
      </c>
      <c r="AA600" s="345">
        <f t="shared" si="257"/>
        <v>16.441072017623711</v>
      </c>
      <c r="AB600" s="346">
        <f t="shared" si="258"/>
        <v>-119.44274932326157</v>
      </c>
      <c r="AD600">
        <f t="shared" si="262"/>
        <v>0</v>
      </c>
      <c r="AE600">
        <f t="shared" si="239"/>
        <v>0</v>
      </c>
    </row>
    <row r="601" spans="1:31" x14ac:dyDescent="0.2">
      <c r="A601" s="347">
        <v>331130</v>
      </c>
      <c r="B601" s="364">
        <f t="shared" si="259"/>
        <v>331.13</v>
      </c>
      <c r="C601" s="337">
        <f t="shared" si="240"/>
        <v>8.4078489499338165</v>
      </c>
      <c r="D601" s="338">
        <f t="shared" si="241"/>
        <v>1.4515776313311775</v>
      </c>
      <c r="E601" s="338">
        <f t="shared" si="242"/>
        <v>1.0001912233771313</v>
      </c>
      <c r="F601" s="339">
        <f t="shared" si="243"/>
        <v>1.9554687935100356E-2</v>
      </c>
      <c r="G601" s="338">
        <f t="shared" si="244"/>
        <v>1</v>
      </c>
      <c r="H601" s="339">
        <f t="shared" si="245"/>
        <v>0</v>
      </c>
      <c r="I601" s="337">
        <f t="shared" si="246"/>
        <v>2396849.974327723</v>
      </c>
      <c r="J601" s="340">
        <f t="shared" si="247"/>
        <v>1.5707959095806319</v>
      </c>
      <c r="K601" s="348">
        <f t="shared" si="263"/>
        <v>55.060465061179968</v>
      </c>
      <c r="L601" s="349">
        <f t="shared" si="264"/>
        <v>1.5526334765079128</v>
      </c>
      <c r="M601" s="337">
        <f t="shared" si="248"/>
        <v>1.0515833527769698</v>
      </c>
      <c r="N601" s="340">
        <f t="shared" si="249"/>
        <v>0.31451358075000441</v>
      </c>
      <c r="O601" s="341">
        <f t="shared" si="250"/>
        <v>1.1941890726123656</v>
      </c>
      <c r="P601" s="342">
        <f t="shared" si="251"/>
        <v>0.7165023176582701</v>
      </c>
      <c r="Q601" s="343">
        <f t="shared" si="252"/>
        <v>-16.912868808106111</v>
      </c>
      <c r="R601" s="344">
        <f t="shared" si="253"/>
        <v>-142.16236133537961</v>
      </c>
      <c r="S601" s="346">
        <f t="shared" si="254"/>
        <v>37.837638664620385</v>
      </c>
      <c r="U601" s="319">
        <f t="shared" si="260"/>
        <v>331130</v>
      </c>
      <c r="V601" s="319">
        <f t="shared" si="261"/>
        <v>109647076900</v>
      </c>
      <c r="X601" s="345">
        <f t="shared" si="255"/>
        <v>4.4943308365452248</v>
      </c>
      <c r="Y601" s="346">
        <f t="shared" si="256"/>
        <v>-19.060931559058176</v>
      </c>
      <c r="AA601" s="345">
        <f t="shared" si="257"/>
        <v>15.425550513443673</v>
      </c>
      <c r="AB601" s="346">
        <f t="shared" si="258"/>
        <v>-123.1014297763214</v>
      </c>
      <c r="AD601">
        <f t="shared" si="262"/>
        <v>0</v>
      </c>
      <c r="AE601">
        <f t="shared" si="239"/>
        <v>0</v>
      </c>
    </row>
    <row r="602" spans="1:31" x14ac:dyDescent="0.2">
      <c r="A602" s="347">
        <v>363080</v>
      </c>
      <c r="B602" s="364">
        <f t="shared" si="259"/>
        <v>363.08</v>
      </c>
      <c r="C602" s="337">
        <f t="shared" si="240"/>
        <v>9.208126135831316</v>
      </c>
      <c r="D602" s="338">
        <f t="shared" si="241"/>
        <v>1.4619819880864073</v>
      </c>
      <c r="E602" s="338">
        <f t="shared" si="242"/>
        <v>1.000229900640593</v>
      </c>
      <c r="F602" s="339">
        <f t="shared" si="243"/>
        <v>2.1440923673126177E-2</v>
      </c>
      <c r="G602" s="338">
        <f t="shared" si="244"/>
        <v>1</v>
      </c>
      <c r="H602" s="339">
        <f t="shared" si="245"/>
        <v>0</v>
      </c>
      <c r="I602" s="337">
        <f t="shared" si="246"/>
        <v>2628116.7175396276</v>
      </c>
      <c r="J602" s="340">
        <f t="shared" si="247"/>
        <v>1.570795946294292</v>
      </c>
      <c r="K602" s="348">
        <f t="shared" si="263"/>
        <v>60.371452017802838</v>
      </c>
      <c r="L602" s="349">
        <f t="shared" si="264"/>
        <v>1.5542314488506095</v>
      </c>
      <c r="M602" s="337">
        <f t="shared" si="248"/>
        <v>1.0617132014533888</v>
      </c>
      <c r="N602" s="340">
        <f t="shared" si="249"/>
        <v>0.34263116512633057</v>
      </c>
      <c r="O602" s="341">
        <f t="shared" si="250"/>
        <v>1.2307251427600074</v>
      </c>
      <c r="P602" s="342">
        <f t="shared" si="251"/>
        <v>0.77363691167486159</v>
      </c>
      <c r="Q602" s="343">
        <f t="shared" si="252"/>
        <v>-18.04753104729588</v>
      </c>
      <c r="R602" s="344">
        <f t="shared" si="253"/>
        <v>-147.44344877381477</v>
      </c>
      <c r="S602" s="346">
        <f t="shared" si="254"/>
        <v>32.556551226185235</v>
      </c>
      <c r="U602" s="319">
        <f t="shared" si="260"/>
        <v>363080</v>
      </c>
      <c r="V602" s="319">
        <f t="shared" si="261"/>
        <v>131827086400</v>
      </c>
      <c r="X602" s="345">
        <f t="shared" si="255"/>
        <v>4.4108195027341495</v>
      </c>
      <c r="Y602" s="346">
        <f t="shared" si="256"/>
        <v>-20.580395508183511</v>
      </c>
      <c r="AA602" s="345">
        <f t="shared" si="257"/>
        <v>14.37439960806498</v>
      </c>
      <c r="AB602" s="346">
        <f t="shared" si="258"/>
        <v>-126.86305326563125</v>
      </c>
      <c r="AD602">
        <f t="shared" si="262"/>
        <v>0</v>
      </c>
      <c r="AE602">
        <f t="shared" ref="AE602:AE613" si="265">IF(AD602&gt;0,S602,0)</f>
        <v>0</v>
      </c>
    </row>
    <row r="603" spans="1:31" x14ac:dyDescent="0.2">
      <c r="A603" s="347">
        <v>398110</v>
      </c>
      <c r="B603" s="364">
        <f t="shared" si="259"/>
        <v>398.11</v>
      </c>
      <c r="C603" s="337">
        <f t="shared" si="240"/>
        <v>10.086505483445119</v>
      </c>
      <c r="D603" s="338">
        <f t="shared" si="241"/>
        <v>1.4714908248328631</v>
      </c>
      <c r="E603" s="338">
        <f t="shared" si="242"/>
        <v>1.0002763959060703</v>
      </c>
      <c r="F603" s="339">
        <f t="shared" si="243"/>
        <v>2.3508817870517798E-2</v>
      </c>
      <c r="G603" s="338">
        <f t="shared" si="244"/>
        <v>1</v>
      </c>
      <c r="H603" s="339">
        <f t="shared" si="245"/>
        <v>0</v>
      </c>
      <c r="I603" s="337">
        <f t="shared" si="246"/>
        <v>2881677.7195650782</v>
      </c>
      <c r="J603" s="340">
        <f t="shared" si="247"/>
        <v>1.5707959797748281</v>
      </c>
      <c r="K603" s="348">
        <f t="shared" si="263"/>
        <v>66.194568809068556</v>
      </c>
      <c r="L603" s="349">
        <f t="shared" si="264"/>
        <v>1.5556887725241408</v>
      </c>
      <c r="M603" s="337">
        <f t="shared" si="248"/>
        <v>1.0737646655638005</v>
      </c>
      <c r="N603" s="340">
        <f t="shared" si="249"/>
        <v>0.37282307810612048</v>
      </c>
      <c r="O603" s="341">
        <f t="shared" si="250"/>
        <v>1.2736819487984334</v>
      </c>
      <c r="P603" s="342">
        <f t="shared" si="251"/>
        <v>0.8335410734172497</v>
      </c>
      <c r="Q603" s="343">
        <f t="shared" si="252"/>
        <v>-19.234753392703887</v>
      </c>
      <c r="R603" s="344">
        <f t="shared" si="253"/>
        <v>-152.94841163845746</v>
      </c>
      <c r="S603" s="346">
        <f t="shared" si="254"/>
        <v>27.051588361542542</v>
      </c>
      <c r="U603" s="319">
        <f t="shared" si="260"/>
        <v>398110</v>
      </c>
      <c r="V603" s="319">
        <f t="shared" si="261"/>
        <v>158491572100</v>
      </c>
      <c r="X603" s="345">
        <f t="shared" si="255"/>
        <v>4.3125812076057981</v>
      </c>
      <c r="Y603" s="346">
        <f t="shared" si="256"/>
        <v>-22.22676812164854</v>
      </c>
      <c r="AA603" s="345">
        <f t="shared" si="257"/>
        <v>13.285415557785324</v>
      </c>
      <c r="AB603" s="346">
        <f t="shared" si="258"/>
        <v>-130.72164351680894</v>
      </c>
      <c r="AD603">
        <f t="shared" si="262"/>
        <v>0</v>
      </c>
      <c r="AE603">
        <f t="shared" si="265"/>
        <v>0</v>
      </c>
    </row>
    <row r="604" spans="1:31" x14ac:dyDescent="0.2">
      <c r="A604" s="347">
        <v>436520</v>
      </c>
      <c r="B604" s="364">
        <f t="shared" si="259"/>
        <v>436.52</v>
      </c>
      <c r="C604" s="337">
        <f t="shared" si="240"/>
        <v>11.050512037593585</v>
      </c>
      <c r="D604" s="338">
        <f t="shared" si="241"/>
        <v>1.4801788153391817</v>
      </c>
      <c r="E604" s="338">
        <f t="shared" si="242"/>
        <v>1.0003322933038368</v>
      </c>
      <c r="F604" s="339">
        <f t="shared" si="243"/>
        <v>2.5776008776420965E-2</v>
      </c>
      <c r="G604" s="338">
        <f t="shared" si="244"/>
        <v>1</v>
      </c>
      <c r="H604" s="339">
        <f t="shared" si="245"/>
        <v>0</v>
      </c>
      <c r="I604" s="337">
        <f t="shared" si="246"/>
        <v>3159704.4991196785</v>
      </c>
      <c r="J604" s="340">
        <f t="shared" si="247"/>
        <v>1.570796010309605</v>
      </c>
      <c r="K604" s="348">
        <f t="shared" si="263"/>
        <v>72.579685114727894</v>
      </c>
      <c r="L604" s="349">
        <f t="shared" si="264"/>
        <v>1.5570179308178498</v>
      </c>
      <c r="M604" s="337">
        <f t="shared" si="248"/>
        <v>1.0880771838060472</v>
      </c>
      <c r="N604" s="340">
        <f t="shared" si="249"/>
        <v>0.40512674833651841</v>
      </c>
      <c r="O604" s="341">
        <f t="shared" si="250"/>
        <v>1.3240684260141489</v>
      </c>
      <c r="P604" s="342">
        <f t="shared" si="251"/>
        <v>0.89602945666346834</v>
      </c>
      <c r="Q604" s="343">
        <f t="shared" si="252"/>
        <v>-20.479268849787097</v>
      </c>
      <c r="R604" s="344">
        <f t="shared" si="253"/>
        <v>-158.67132754776799</v>
      </c>
      <c r="S604" s="346">
        <f t="shared" si="254"/>
        <v>21.328672452232013</v>
      </c>
      <c r="U604" s="319">
        <f t="shared" si="260"/>
        <v>436520</v>
      </c>
      <c r="V604" s="319">
        <f t="shared" si="261"/>
        <v>190549710400</v>
      </c>
      <c r="X604" s="345">
        <f t="shared" si="255"/>
        <v>4.1974025520647142</v>
      </c>
      <c r="Y604" s="346">
        <f t="shared" si="256"/>
        <v>-24.001478679640165</v>
      </c>
      <c r="AA604" s="345">
        <f t="shared" si="257"/>
        <v>12.156078756243197</v>
      </c>
      <c r="AB604" s="346">
        <f t="shared" si="258"/>
        <v>-134.66984886812781</v>
      </c>
      <c r="AD604">
        <f t="shared" si="262"/>
        <v>0</v>
      </c>
      <c r="AE604">
        <f t="shared" si="265"/>
        <v>0</v>
      </c>
    </row>
    <row r="605" spans="1:31" x14ac:dyDescent="0.2">
      <c r="A605" s="347">
        <v>478630</v>
      </c>
      <c r="B605" s="364">
        <f t="shared" si="259"/>
        <v>478.63</v>
      </c>
      <c r="C605" s="337">
        <f t="shared" si="240"/>
        <v>12.108178938840943</v>
      </c>
      <c r="D605" s="338">
        <f t="shared" si="241"/>
        <v>1.4881133463866485</v>
      </c>
      <c r="E605" s="338">
        <f t="shared" si="242"/>
        <v>1.0003994832198981</v>
      </c>
      <c r="F605" s="339">
        <f t="shared" si="243"/>
        <v>2.8261290705894775E-2</v>
      </c>
      <c r="G605" s="338">
        <f t="shared" si="244"/>
        <v>1</v>
      </c>
      <c r="H605" s="339">
        <f t="shared" si="245"/>
        <v>0</v>
      </c>
      <c r="I605" s="337">
        <f t="shared" si="246"/>
        <v>3464513.3428334072</v>
      </c>
      <c r="J605" s="340">
        <f t="shared" si="247"/>
        <v>1.5707960381540687</v>
      </c>
      <c r="K605" s="348">
        <f t="shared" si="263"/>
        <v>79.579996368485652</v>
      </c>
      <c r="L605" s="349">
        <f t="shared" si="264"/>
        <v>1.5582300241462417</v>
      </c>
      <c r="M605" s="337">
        <f t="shared" si="248"/>
        <v>1.1050368765937637</v>
      </c>
      <c r="N605" s="340">
        <f t="shared" si="249"/>
        <v>0.43954076238527245</v>
      </c>
      <c r="O605" s="341">
        <f t="shared" si="250"/>
        <v>1.3830182718298865</v>
      </c>
      <c r="P605" s="342">
        <f t="shared" si="251"/>
        <v>0.96086207555144021</v>
      </c>
      <c r="Q605" s="343">
        <f t="shared" si="252"/>
        <v>-21.785443839712944</v>
      </c>
      <c r="R605" s="344">
        <f t="shared" si="253"/>
        <v>-164.60051349195535</v>
      </c>
      <c r="S605" s="346">
        <f t="shared" si="254"/>
        <v>15.399486508044646</v>
      </c>
      <c r="U605" s="319">
        <f t="shared" si="260"/>
        <v>478630</v>
      </c>
      <c r="V605" s="319">
        <f t="shared" si="261"/>
        <v>229086676900</v>
      </c>
      <c r="X605" s="345">
        <f t="shared" si="255"/>
        <v>4.0629225098771702</v>
      </c>
      <c r="Y605" s="346">
        <f t="shared" si="256"/>
        <v>-25.903810206188858</v>
      </c>
      <c r="AA605" s="345">
        <f t="shared" si="257"/>
        <v>10.984383808504896</v>
      </c>
      <c r="AB605" s="346">
        <f t="shared" si="258"/>
        <v>-138.69670328576652</v>
      </c>
      <c r="AD605">
        <f t="shared" si="262"/>
        <v>0</v>
      </c>
      <c r="AE605">
        <f t="shared" si="265"/>
        <v>0</v>
      </c>
    </row>
    <row r="606" spans="1:31" x14ac:dyDescent="0.2">
      <c r="A606" s="347">
        <v>524810</v>
      </c>
      <c r="B606" s="364">
        <f t="shared" si="259"/>
        <v>524.80999999999995</v>
      </c>
      <c r="C606" s="337">
        <f t="shared" si="240"/>
        <v>13.268800938611252</v>
      </c>
      <c r="D606" s="338">
        <f t="shared" si="241"/>
        <v>1.4953600403082055</v>
      </c>
      <c r="E606" s="338">
        <f t="shared" si="242"/>
        <v>1.0004802699055457</v>
      </c>
      <c r="F606" s="339">
        <f t="shared" si="243"/>
        <v>3.0986376629206881E-2</v>
      </c>
      <c r="G606" s="338">
        <f t="shared" si="244"/>
        <v>1</v>
      </c>
      <c r="H606" s="339">
        <f t="shared" si="245"/>
        <v>0</v>
      </c>
      <c r="I606" s="337">
        <f t="shared" si="246"/>
        <v>3798782.4571221769</v>
      </c>
      <c r="J606" s="340">
        <f t="shared" si="247"/>
        <v>1.5707960635526574</v>
      </c>
      <c r="K606" s="348">
        <f t="shared" si="263"/>
        <v>87.257010895918029</v>
      </c>
      <c r="L606" s="349">
        <f t="shared" si="264"/>
        <v>1.559335678749046</v>
      </c>
      <c r="M606" s="337">
        <f t="shared" si="248"/>
        <v>1.1250916207242923</v>
      </c>
      <c r="N606" s="340">
        <f t="shared" si="249"/>
        <v>0.47604023063983142</v>
      </c>
      <c r="O606" s="341">
        <f t="shared" si="250"/>
        <v>1.4518489609246426</v>
      </c>
      <c r="P606" s="342">
        <f t="shared" si="251"/>
        <v>1.0277957728010441</v>
      </c>
      <c r="Q606" s="343">
        <f t="shared" si="252"/>
        <v>-23.158007571649652</v>
      </c>
      <c r="R606" s="344">
        <f t="shared" si="253"/>
        <v>-170.72251851182148</v>
      </c>
      <c r="S606" s="346">
        <f t="shared" si="254"/>
        <v>9.2774814881785233</v>
      </c>
      <c r="U606" s="319">
        <f t="shared" si="260"/>
        <v>524810</v>
      </c>
      <c r="V606" s="319">
        <f t="shared" si="261"/>
        <v>275425536100</v>
      </c>
      <c r="X606" s="345">
        <f t="shared" si="255"/>
        <v>3.906584752478806</v>
      </c>
      <c r="Y606" s="346">
        <f t="shared" si="256"/>
        <v>-27.931727806856092</v>
      </c>
      <c r="AA606" s="345">
        <f t="shared" si="257"/>
        <v>9.7681578339665514</v>
      </c>
      <c r="AB606" s="346">
        <f t="shared" si="258"/>
        <v>-142.79079070496539</v>
      </c>
      <c r="AD606">
        <f t="shared" si="262"/>
        <v>0</v>
      </c>
      <c r="AE606">
        <f t="shared" si="265"/>
        <v>0</v>
      </c>
    </row>
    <row r="607" spans="1:31" x14ac:dyDescent="0.2">
      <c r="A607" s="347">
        <v>575440</v>
      </c>
      <c r="B607" s="364">
        <f t="shared" si="259"/>
        <v>575.44000000000005</v>
      </c>
      <c r="C607" s="337">
        <f t="shared" si="240"/>
        <v>14.54192962247871</v>
      </c>
      <c r="D607" s="338">
        <f t="shared" si="241"/>
        <v>1.5019753484077838</v>
      </c>
      <c r="E607" s="338">
        <f t="shared" si="242"/>
        <v>1.0005773779363192</v>
      </c>
      <c r="F607" s="339">
        <f t="shared" si="243"/>
        <v>3.3973527009193982E-2</v>
      </c>
      <c r="G607" s="338">
        <f t="shared" si="244"/>
        <v>1</v>
      </c>
      <c r="H607" s="339">
        <f t="shared" si="245"/>
        <v>0</v>
      </c>
      <c r="I607" s="337">
        <f t="shared" si="246"/>
        <v>4165262.4323590877</v>
      </c>
      <c r="J607" s="340">
        <f t="shared" si="247"/>
        <v>1.5707960867139854</v>
      </c>
      <c r="K607" s="348">
        <f t="shared" si="263"/>
        <v>95.673900331804276</v>
      </c>
      <c r="L607" s="349">
        <f t="shared" si="264"/>
        <v>1.5603439651225071</v>
      </c>
      <c r="M607" s="337">
        <f t="shared" si="248"/>
        <v>1.1487368365260326</v>
      </c>
      <c r="N607" s="340">
        <f t="shared" si="249"/>
        <v>0.51453552054812324</v>
      </c>
      <c r="O607" s="341">
        <f t="shared" si="250"/>
        <v>1.532028082495398</v>
      </c>
      <c r="P607" s="342">
        <f t="shared" si="251"/>
        <v>1.0965309813667945</v>
      </c>
      <c r="Q607" s="343">
        <f t="shared" si="252"/>
        <v>-24.600626613624357</v>
      </c>
      <c r="R607" s="344">
        <f t="shared" si="253"/>
        <v>-177.0164824147069</v>
      </c>
      <c r="S607" s="346">
        <f t="shared" si="254"/>
        <v>2.9835175852931002</v>
      </c>
      <c r="U607" s="319">
        <f t="shared" si="260"/>
        <v>575440</v>
      </c>
      <c r="V607" s="319">
        <f t="shared" si="261"/>
        <v>331131193600</v>
      </c>
      <c r="X607" s="345">
        <f t="shared" si="255"/>
        <v>3.7258356415390717</v>
      </c>
      <c r="Y607" s="346">
        <f t="shared" si="256"/>
        <v>-30.079576225494502</v>
      </c>
      <c r="AA607" s="345">
        <f t="shared" si="257"/>
        <v>8.506287902931577</v>
      </c>
      <c r="AB607" s="346">
        <f t="shared" si="258"/>
        <v>-146.93690618921238</v>
      </c>
      <c r="AD607">
        <f t="shared" si="262"/>
        <v>0</v>
      </c>
      <c r="AE607">
        <f t="shared" si="265"/>
        <v>0</v>
      </c>
    </row>
    <row r="608" spans="1:31" x14ac:dyDescent="0.2">
      <c r="A608" s="347">
        <v>630960</v>
      </c>
      <c r="B608" s="364">
        <f t="shared" si="259"/>
        <v>630.96</v>
      </c>
      <c r="C608" s="337">
        <f t="shared" si="240"/>
        <v>15.938629984470793</v>
      </c>
      <c r="D608" s="338">
        <f t="shared" si="241"/>
        <v>1.5080144421099764</v>
      </c>
      <c r="E608" s="338">
        <f t="shared" si="242"/>
        <v>1.0006941261427527</v>
      </c>
      <c r="F608" s="339">
        <f t="shared" si="243"/>
        <v>3.7248486443873609E-2</v>
      </c>
      <c r="G608" s="338">
        <f t="shared" si="244"/>
        <v>1</v>
      </c>
      <c r="H608" s="339">
        <f t="shared" si="245"/>
        <v>0</v>
      </c>
      <c r="I608" s="337">
        <f t="shared" si="246"/>
        <v>4567138.1626603603</v>
      </c>
      <c r="J608" s="340">
        <f t="shared" si="247"/>
        <v>1.570796107839401</v>
      </c>
      <c r="K608" s="348">
        <f t="shared" si="263"/>
        <v>104.90381165298349</v>
      </c>
      <c r="L608" s="349">
        <f t="shared" si="264"/>
        <v>1.5612636403295044</v>
      </c>
      <c r="M608" s="337">
        <f t="shared" si="248"/>
        <v>1.1765383287890063</v>
      </c>
      <c r="N608" s="340">
        <f t="shared" si="249"/>
        <v>0.55490392909403685</v>
      </c>
      <c r="O608" s="341">
        <f t="shared" si="250"/>
        <v>1.6252794476450823</v>
      </c>
      <c r="P608" s="342">
        <f t="shared" si="251"/>
        <v>1.1667926155704689</v>
      </c>
      <c r="Q608" s="343">
        <f t="shared" si="252"/>
        <v>-26.117209015932769</v>
      </c>
      <c r="R608" s="344">
        <f t="shared" si="253"/>
        <v>-183.46079788902318</v>
      </c>
      <c r="S608" s="346">
        <f t="shared" si="254"/>
        <v>-3.4607978890231834</v>
      </c>
      <c r="U608" s="319">
        <f t="shared" si="260"/>
        <v>630960</v>
      </c>
      <c r="V608" s="319">
        <f t="shared" si="261"/>
        <v>398110521600</v>
      </c>
      <c r="X608" s="345">
        <f t="shared" si="255"/>
        <v>3.5180451724777133</v>
      </c>
      <c r="Y608" s="346">
        <f t="shared" si="256"/>
        <v>-32.339823365931288</v>
      </c>
      <c r="AA608" s="345">
        <f t="shared" si="257"/>
        <v>7.1974959696845264</v>
      </c>
      <c r="AB608" s="346">
        <f t="shared" si="258"/>
        <v>-151.12097452309192</v>
      </c>
      <c r="AD608">
        <f t="shared" si="262"/>
        <v>0</v>
      </c>
      <c r="AE608">
        <f t="shared" si="265"/>
        <v>0</v>
      </c>
    </row>
    <row r="609" spans="1:31" x14ac:dyDescent="0.2">
      <c r="A609" s="347">
        <v>691830</v>
      </c>
      <c r="B609" s="364">
        <f t="shared" si="259"/>
        <v>691.83</v>
      </c>
      <c r="C609" s="337">
        <f t="shared" si="240"/>
        <v>17.47047476977167</v>
      </c>
      <c r="D609" s="338">
        <f t="shared" si="241"/>
        <v>1.5135255955440055</v>
      </c>
      <c r="E609" s="338">
        <f t="shared" si="242"/>
        <v>1.0008344552788659</v>
      </c>
      <c r="F609" s="339">
        <f t="shared" si="243"/>
        <v>4.083810545905877E-2</v>
      </c>
      <c r="G609" s="338">
        <f t="shared" si="244"/>
        <v>1</v>
      </c>
      <c r="H609" s="339">
        <f t="shared" si="245"/>
        <v>0</v>
      </c>
      <c r="I609" s="337">
        <f t="shared" si="246"/>
        <v>5007739.3100565867</v>
      </c>
      <c r="J609" s="340">
        <f t="shared" si="247"/>
        <v>1.5707961271039905</v>
      </c>
      <c r="K609" s="348">
        <f t="shared" si="263"/>
        <v>115.02321746879947</v>
      </c>
      <c r="L609" s="349">
        <f t="shared" si="264"/>
        <v>1.5621023203174034</v>
      </c>
      <c r="M609" s="337">
        <f t="shared" si="248"/>
        <v>1.2091136562321503</v>
      </c>
      <c r="N609" s="340">
        <f t="shared" si="249"/>
        <v>0.59695324386505888</v>
      </c>
      <c r="O609" s="341">
        <f t="shared" si="250"/>
        <v>1.7335629550628009</v>
      </c>
      <c r="P609" s="342">
        <f t="shared" si="251"/>
        <v>1.2382827021593164</v>
      </c>
      <c r="Q609" s="343">
        <f t="shared" si="252"/>
        <v>-27.710584239874443</v>
      </c>
      <c r="R609" s="344">
        <f t="shared" si="253"/>
        <v>-190.02817049538982</v>
      </c>
      <c r="S609" s="346">
        <f t="shared" si="254"/>
        <v>-10.028170495389816</v>
      </c>
      <c r="U609" s="319">
        <f t="shared" si="260"/>
        <v>691830</v>
      </c>
      <c r="V609" s="319">
        <f t="shared" si="261"/>
        <v>478628748900</v>
      </c>
      <c r="X609" s="345">
        <f t="shared" si="255"/>
        <v>3.2807578570761247</v>
      </c>
      <c r="Y609" s="346">
        <f t="shared" si="256"/>
        <v>-34.701019916537007</v>
      </c>
      <c r="AA609" s="345">
        <f t="shared" si="257"/>
        <v>5.8414080611444383</v>
      </c>
      <c r="AB609" s="346">
        <f t="shared" si="258"/>
        <v>-155.32715057885284</v>
      </c>
      <c r="AD609">
        <f t="shared" si="262"/>
        <v>0</v>
      </c>
      <c r="AE609">
        <f t="shared" si="265"/>
        <v>0</v>
      </c>
    </row>
    <row r="610" spans="1:31" x14ac:dyDescent="0.2">
      <c r="A610" s="347">
        <v>758580</v>
      </c>
      <c r="B610" s="364">
        <f t="shared" si="259"/>
        <v>758.58</v>
      </c>
      <c r="C610" s="337">
        <f t="shared" si="240"/>
        <v>19.150802386400358</v>
      </c>
      <c r="D610" s="338">
        <f t="shared" si="241"/>
        <v>1.5185554349264465</v>
      </c>
      <c r="E610" s="338">
        <f t="shared" si="242"/>
        <v>1.0010031605501968</v>
      </c>
      <c r="F610" s="339">
        <f t="shared" si="243"/>
        <v>4.4773265643780022E-2</v>
      </c>
      <c r="G610" s="338">
        <f t="shared" si="244"/>
        <v>1</v>
      </c>
      <c r="H610" s="339">
        <f t="shared" si="245"/>
        <v>0</v>
      </c>
      <c r="I610" s="337">
        <f t="shared" si="246"/>
        <v>5490902.2242786707</v>
      </c>
      <c r="J610" s="340">
        <f t="shared" si="247"/>
        <v>1.5707961446754635</v>
      </c>
      <c r="K610" s="348">
        <f t="shared" si="263"/>
        <v>126.1202282643771</v>
      </c>
      <c r="L610" s="349">
        <f t="shared" si="264"/>
        <v>1.5628673015141865</v>
      </c>
      <c r="M610" s="337">
        <f t="shared" si="248"/>
        <v>1.2471560363465077</v>
      </c>
      <c r="N610" s="340">
        <f t="shared" si="249"/>
        <v>0.64045443710641592</v>
      </c>
      <c r="O610" s="341">
        <f t="shared" si="250"/>
        <v>1.8592163742493379</v>
      </c>
      <c r="P610" s="342">
        <f t="shared" si="251"/>
        <v>1.3107477352904575</v>
      </c>
      <c r="Q610" s="343">
        <f t="shared" si="252"/>
        <v>-29.383700498471658</v>
      </c>
      <c r="R610" s="344">
        <f t="shared" si="253"/>
        <v>-196.69143715094538</v>
      </c>
      <c r="S610" s="346">
        <f t="shared" si="254"/>
        <v>-16.691437150945376</v>
      </c>
      <c r="U610" s="319">
        <f t="shared" si="260"/>
        <v>758580</v>
      </c>
      <c r="V610" s="319">
        <f t="shared" si="261"/>
        <v>575443616400</v>
      </c>
      <c r="X610" s="345">
        <f t="shared" si="255"/>
        <v>3.0116292939275713</v>
      </c>
      <c r="Y610" s="346">
        <f t="shared" si="256"/>
        <v>-37.149625508636419</v>
      </c>
      <c r="AA610" s="345">
        <f t="shared" si="257"/>
        <v>4.4374203656957745</v>
      </c>
      <c r="AB610" s="346">
        <f t="shared" si="258"/>
        <v>-159.54181164230897</v>
      </c>
      <c r="AD610">
        <f t="shared" si="262"/>
        <v>0</v>
      </c>
      <c r="AE610">
        <f t="shared" si="265"/>
        <v>0</v>
      </c>
    </row>
    <row r="611" spans="1:31" x14ac:dyDescent="0.2">
      <c r="A611" s="347">
        <v>831760</v>
      </c>
      <c r="B611" s="364">
        <f t="shared" si="259"/>
        <v>831.76</v>
      </c>
      <c r="C611" s="337">
        <f t="shared" si="240"/>
        <v>20.993458600157126</v>
      </c>
      <c r="D611" s="338">
        <f t="shared" si="241"/>
        <v>1.5231444095856466</v>
      </c>
      <c r="E611" s="338">
        <f t="shared" si="242"/>
        <v>1.0012059234077053</v>
      </c>
      <c r="F611" s="339">
        <f t="shared" si="243"/>
        <v>4.9085899756038415E-2</v>
      </c>
      <c r="G611" s="338">
        <f t="shared" si="244"/>
        <v>1</v>
      </c>
      <c r="H611" s="339">
        <f t="shared" si="245"/>
        <v>0</v>
      </c>
      <c r="I611" s="337">
        <f t="shared" si="246"/>
        <v>6020608.0229718871</v>
      </c>
      <c r="J611" s="340">
        <f t="shared" si="247"/>
        <v>1.5707961606987155</v>
      </c>
      <c r="K611" s="348">
        <f t="shared" si="263"/>
        <v>138.28628008264246</v>
      </c>
      <c r="L611" s="349">
        <f t="shared" si="264"/>
        <v>1.563564888397158</v>
      </c>
      <c r="M611" s="337">
        <f t="shared" si="248"/>
        <v>1.2914043339493244</v>
      </c>
      <c r="N611" s="340">
        <f t="shared" si="249"/>
        <v>0.68510783835766065</v>
      </c>
      <c r="O611" s="341">
        <f t="shared" si="250"/>
        <v>2.0049389295944646</v>
      </c>
      <c r="P611" s="342">
        <f t="shared" si="251"/>
        <v>1.3839220494470261</v>
      </c>
      <c r="Q611" s="343">
        <f t="shared" si="252"/>
        <v>-31.138180747628859</v>
      </c>
      <c r="R611" s="344">
        <f t="shared" si="253"/>
        <v>-203.41833324204313</v>
      </c>
      <c r="S611" s="346">
        <f t="shared" si="254"/>
        <v>-23.418333242043133</v>
      </c>
      <c r="U611" s="319">
        <f t="shared" si="260"/>
        <v>831760</v>
      </c>
      <c r="V611" s="319">
        <f t="shared" si="261"/>
        <v>691824697600</v>
      </c>
      <c r="X611" s="345">
        <f t="shared" si="255"/>
        <v>2.7087544335513662</v>
      </c>
      <c r="Y611" s="346">
        <f t="shared" si="256"/>
        <v>-39.668109077941494</v>
      </c>
      <c r="AA611" s="345">
        <f t="shared" si="257"/>
        <v>2.9858149769147815</v>
      </c>
      <c r="AB611" s="346">
        <f t="shared" si="258"/>
        <v>-163.75022416410164</v>
      </c>
      <c r="AD611">
        <f t="shared" si="262"/>
        <v>0</v>
      </c>
      <c r="AE611">
        <f t="shared" si="265"/>
        <v>0</v>
      </c>
    </row>
    <row r="612" spans="1:31" x14ac:dyDescent="0.2">
      <c r="A612" s="347">
        <v>912010</v>
      </c>
      <c r="B612" s="364">
        <f t="shared" si="259"/>
        <v>912.01</v>
      </c>
      <c r="C612" s="337">
        <f t="shared" si="240"/>
        <v>23.014558755690864</v>
      </c>
      <c r="D612" s="338">
        <f t="shared" si="241"/>
        <v>1.527331885888944</v>
      </c>
      <c r="E612" s="338">
        <f t="shared" si="242"/>
        <v>1.0014496727301805</v>
      </c>
      <c r="F612" s="339">
        <f t="shared" si="243"/>
        <v>5.381307650326133E-2</v>
      </c>
      <c r="G612" s="338">
        <f t="shared" si="244"/>
        <v>1</v>
      </c>
      <c r="H612" s="339">
        <f t="shared" si="245"/>
        <v>0</v>
      </c>
      <c r="I612" s="337">
        <f t="shared" si="246"/>
        <v>6601489.279396194</v>
      </c>
      <c r="J612" s="340">
        <f t="shared" si="247"/>
        <v>1.5707961753139266</v>
      </c>
      <c r="K612" s="348">
        <f t="shared" si="263"/>
        <v>151.62777184629519</v>
      </c>
      <c r="L612" s="349">
        <f t="shared" si="264"/>
        <v>1.5642011810825729</v>
      </c>
      <c r="M612" s="337">
        <f t="shared" si="248"/>
        <v>1.342679413051443</v>
      </c>
      <c r="N612" s="340">
        <f t="shared" si="249"/>
        <v>0.73059209121407531</v>
      </c>
      <c r="O612" s="341">
        <f t="shared" si="250"/>
        <v>2.1740190263839976</v>
      </c>
      <c r="P612" s="342">
        <f t="shared" si="251"/>
        <v>1.4575993665089921</v>
      </c>
      <c r="Q612" s="343">
        <f t="shared" si="252"/>
        <v>-32.975923431249292</v>
      </c>
      <c r="R612" s="344">
        <f t="shared" si="253"/>
        <v>-210.17840968058624</v>
      </c>
      <c r="S612" s="346">
        <f t="shared" si="254"/>
        <v>-30.178409680586242</v>
      </c>
      <c r="U612" s="319">
        <f t="shared" si="260"/>
        <v>912010</v>
      </c>
      <c r="V612" s="319">
        <f t="shared" si="261"/>
        <v>831762240100</v>
      </c>
      <c r="X612" s="345">
        <f t="shared" si="255"/>
        <v>2.370514415137269</v>
      </c>
      <c r="Y612" s="346">
        <f t="shared" si="256"/>
        <v>-42.237708755836678</v>
      </c>
      <c r="AA612" s="345">
        <f t="shared" si="257"/>
        <v>1.4863123117084456</v>
      </c>
      <c r="AB612" s="346">
        <f t="shared" si="258"/>
        <v>-167.94070092474954</v>
      </c>
      <c r="AD612">
        <f t="shared" si="262"/>
        <v>0</v>
      </c>
      <c r="AE612">
        <f t="shared" si="265"/>
        <v>0</v>
      </c>
    </row>
    <row r="613" spans="1:31" x14ac:dyDescent="0.2">
      <c r="A613" s="347">
        <v>1000000</v>
      </c>
      <c r="B613" s="364">
        <f t="shared" si="259"/>
        <v>1000</v>
      </c>
      <c r="C613" s="337">
        <f t="shared" si="240"/>
        <v>25.230977112529793</v>
      </c>
      <c r="D613" s="338">
        <f t="shared" si="241"/>
        <v>1.5311521232672558</v>
      </c>
      <c r="E613" s="338">
        <f t="shared" si="242"/>
        <v>1.0017426380920147</v>
      </c>
      <c r="F613" s="339">
        <f t="shared" si="243"/>
        <v>5.8993409687243287E-2</v>
      </c>
      <c r="G613" s="338">
        <f t="shared" si="244"/>
        <v>1</v>
      </c>
      <c r="H613" s="339">
        <f t="shared" si="245"/>
        <v>0</v>
      </c>
      <c r="I613" s="337">
        <f t="shared" si="246"/>
        <v>7238395.7186831078</v>
      </c>
      <c r="J613" s="340">
        <f t="shared" si="247"/>
        <v>1.5707961886427371</v>
      </c>
      <c r="K613" s="348">
        <f t="shared" si="263"/>
        <v>166.25609047382335</v>
      </c>
      <c r="L613" s="349">
        <f t="shared" si="264"/>
        <v>1.5647814732823471</v>
      </c>
      <c r="M613" s="337">
        <f t="shared" si="248"/>
        <v>1.4018435165813361</v>
      </c>
      <c r="N613" s="340">
        <f t="shared" si="249"/>
        <v>0.77653463916332777</v>
      </c>
      <c r="O613" s="341">
        <f t="shared" si="250"/>
        <v>2.3703346675017181</v>
      </c>
      <c r="P613" s="342">
        <f t="shared" si="251"/>
        <v>1.5315637335741983</v>
      </c>
      <c r="Q613" s="343">
        <f t="shared" si="252"/>
        <v>-34.897513640047656</v>
      </c>
      <c r="R613" s="344">
        <f t="shared" si="253"/>
        <v>-216.93739457342664</v>
      </c>
      <c r="S613" s="346">
        <f t="shared" si="254"/>
        <v>-36.937394573426644</v>
      </c>
      <c r="U613" s="319">
        <f t="shared" si="260"/>
        <v>1000000</v>
      </c>
      <c r="V613" s="319">
        <f t="shared" si="261"/>
        <v>1000000000000</v>
      </c>
      <c r="X613" s="345">
        <f t="shared" si="255"/>
        <v>1.9959384882344577</v>
      </c>
      <c r="Y613" s="346">
        <f t="shared" si="256"/>
        <v>-44.836775326129313</v>
      </c>
      <c r="AA613" s="345">
        <f t="shared" si="257"/>
        <v>-6.0701970187101516E-2</v>
      </c>
      <c r="AB613" s="346">
        <f t="shared" si="258"/>
        <v>-172.10061924729735</v>
      </c>
      <c r="AD613">
        <f t="shared" si="262"/>
        <v>0</v>
      </c>
      <c r="AE613">
        <f t="shared" si="265"/>
        <v>0</v>
      </c>
    </row>
    <row r="614" spans="1:31" x14ac:dyDescent="0.2">
      <c r="A614" s="350"/>
      <c r="B614" s="350"/>
      <c r="C614" s="351"/>
      <c r="D614" s="351"/>
      <c r="E614" s="351"/>
      <c r="F614" s="351"/>
      <c r="G614" s="338"/>
      <c r="H614" s="339"/>
      <c r="I614" s="351"/>
      <c r="J614" s="351"/>
      <c r="K614" s="351"/>
      <c r="L614" s="351"/>
      <c r="M614" s="351"/>
      <c r="N614" s="351"/>
      <c r="O614" s="351"/>
      <c r="P614" s="352"/>
      <c r="Q614" s="428"/>
      <c r="R614" s="344"/>
      <c r="S614" s="353"/>
      <c r="AA614" s="345"/>
      <c r="AB614" s="346"/>
    </row>
    <row r="615" spans="1:31" x14ac:dyDescent="0.2">
      <c r="A615" s="350"/>
      <c r="B615" s="350"/>
      <c r="C615" s="351"/>
      <c r="D615" s="351"/>
      <c r="E615" s="351"/>
      <c r="F615" s="351"/>
      <c r="G615" s="338"/>
      <c r="H615" s="339"/>
      <c r="I615" s="351"/>
      <c r="J615" s="351"/>
      <c r="K615" s="351"/>
      <c r="L615" s="351"/>
      <c r="M615" s="351"/>
      <c r="N615" s="351"/>
      <c r="O615" s="351"/>
      <c r="P615" s="352"/>
      <c r="Q615" s="353"/>
      <c r="R615" s="344"/>
      <c r="S615" s="353"/>
      <c r="AA615" s="345"/>
      <c r="AB615" s="346"/>
    </row>
    <row r="616" spans="1:31" x14ac:dyDescent="0.2">
      <c r="A616" s="319" t="s">
        <v>362</v>
      </c>
      <c r="G616" s="338"/>
      <c r="H616" s="339"/>
      <c r="Q616" s="343"/>
      <c r="R616" s="344"/>
      <c r="S616" s="353"/>
      <c r="AA616" s="345"/>
      <c r="AB616" s="346"/>
    </row>
    <row r="617" spans="1:31" x14ac:dyDescent="0.2">
      <c r="A617" s="354">
        <f>Q4*1000</f>
        <v>44928.25</v>
      </c>
      <c r="B617" s="354"/>
      <c r="C617" s="355">
        <f t="shared" ref="C617:C626" si="266">SQRT(1+(A617/pole1)^2)</f>
        <v>1.5109577552438798</v>
      </c>
      <c r="D617" s="348">
        <f t="shared" ref="D617:D626" si="267">ATAN(A617/pole1)</f>
        <v>0.84753656457324267</v>
      </c>
      <c r="E617" s="348">
        <f t="shared" ref="E617:E626" si="268">SQRT(1+(A617/Zero1)^2)</f>
        <v>1.0000035206567748</v>
      </c>
      <c r="F617" s="349">
        <f t="shared" ref="F617:F626" si="269">ATAN(A617/Zero1)</f>
        <v>2.6535434594313076E-3</v>
      </c>
      <c r="G617" s="338">
        <f>IF(VIN_nom&gt;Vout, 1, SQRT(1+(A617/z_RHP)^2))</f>
        <v>1</v>
      </c>
      <c r="H617" s="339">
        <f>IF(VIN_nom&gt;Vout, 0, -ATAN(A617/z_RHP))</f>
        <v>0</v>
      </c>
      <c r="I617" s="355">
        <f t="shared" ref="I617:I626" si="270">SQRT(1+(A617/Pole2)^2)</f>
        <v>325208.45244945871</v>
      </c>
      <c r="J617" s="356">
        <f t="shared" ref="J617:J626" si="271">ATAN(A617/Pole2)</f>
        <v>1.570793251844069</v>
      </c>
      <c r="K617" s="348">
        <f t="shared" ref="K617:K626" si="272">SQRT(1+(A617/Zero2)^2)</f>
        <v>7.5361020333369968</v>
      </c>
      <c r="L617" s="349">
        <f t="shared" ref="L617:L626" si="273">ATAN(A617/Zero2)</f>
        <v>1.4377092033029788</v>
      </c>
      <c r="M617" s="355">
        <f t="shared" ref="M617:M626" si="274">SQRT(1+(A617/pole4)^2)</f>
        <v>1.0009736420282247</v>
      </c>
      <c r="N617" s="356">
        <f t="shared" ref="N617:N626" si="275">ATAN(A617/pole4)</f>
        <v>4.4110150797430366E-2</v>
      </c>
      <c r="O617" s="355">
        <f t="shared" ref="O617:O626" si="276">SQRT((1-(A617^2/(pole3^2)))^2+(A617/(Q*pole3))^2)</f>
        <v>1.0038253448270149</v>
      </c>
      <c r="P617" s="420">
        <f t="shared" ref="P617:P626" si="277">ATAN((A617/(Q*pole3))/(1-A617^2/pole3^2))</f>
        <v>0.10620708108884794</v>
      </c>
      <c r="Q617" s="343">
        <f>20*LOG10(((E617*K617*G617)/(C617*I617*O617*M617))*Adc)</f>
        <v>6.5909174789485613E-3</v>
      </c>
      <c r="R617" s="344">
        <f>((F617+L617+H617)-(D617+J617+P617+N617))*radconv</f>
        <v>-64.645928643044272</v>
      </c>
      <c r="S617" s="346">
        <f t="shared" ref="S617:S626" si="278">IF(R617&gt;0,R617,R617+180)</f>
        <v>115.35407135695573</v>
      </c>
      <c r="T617" s="319" t="s">
        <v>363</v>
      </c>
      <c r="X617" s="345">
        <f t="shared" ref="X617:X626" si="279">20*LOG10((K617/(I617*M617))*AEA)</f>
        <v>4.9984704697201678</v>
      </c>
      <c r="Y617" s="346">
        <f t="shared" ref="Y617:Y626" si="280">(L617-(J617+N617))*radconv</f>
        <v>-10.152479787897935</v>
      </c>
      <c r="AA617" s="345">
        <f>20*LOG10((E617*G617/(C617*O617))*Acs*Am)</f>
        <v>31.840870605853794</v>
      </c>
      <c r="AB617" s="346">
        <f>(F617+H617-(D617+P617))*radconv</f>
        <v>-54.493448855146333</v>
      </c>
    </row>
    <row r="618" spans="1:31" x14ac:dyDescent="0.2">
      <c r="A618" s="354">
        <f>A617</f>
        <v>44928.25</v>
      </c>
      <c r="B618" s="354"/>
      <c r="C618" s="355"/>
      <c r="D618" s="348"/>
      <c r="E618" s="348"/>
      <c r="F618" s="349"/>
      <c r="G618" s="338"/>
      <c r="H618" s="339"/>
      <c r="I618" s="355"/>
      <c r="J618" s="356"/>
      <c r="K618" s="348"/>
      <c r="L618" s="349"/>
      <c r="M618" s="337"/>
      <c r="N618" s="340"/>
      <c r="O618" s="355"/>
      <c r="P618" s="342"/>
      <c r="Q618" s="343"/>
      <c r="R618" s="344">
        <v>-135</v>
      </c>
      <c r="S618" s="346"/>
      <c r="X618" s="345"/>
      <c r="Y618" s="346"/>
      <c r="AA618" s="345"/>
      <c r="AB618" s="346"/>
    </row>
    <row r="619" spans="1:31" x14ac:dyDescent="0.2">
      <c r="A619" s="319">
        <f>A618</f>
        <v>44928.25</v>
      </c>
      <c r="B619" s="354"/>
      <c r="C619" s="355"/>
      <c r="D619" s="348"/>
      <c r="E619" s="348"/>
      <c r="F619" s="349"/>
      <c r="G619" s="338"/>
      <c r="H619" s="339"/>
      <c r="I619" s="355"/>
      <c r="J619" s="356"/>
      <c r="K619" s="348"/>
      <c r="L619" s="349"/>
      <c r="M619" s="337"/>
      <c r="N619" s="340"/>
      <c r="O619" s="355"/>
      <c r="P619" s="342"/>
      <c r="Q619" s="343"/>
      <c r="R619" s="344"/>
      <c r="S619" s="346"/>
      <c r="X619" s="345"/>
      <c r="Y619" s="346"/>
      <c r="AA619" s="345"/>
      <c r="AB619" s="346"/>
    </row>
    <row r="620" spans="1:31" x14ac:dyDescent="0.2">
      <c r="A620" s="354">
        <v>1000000</v>
      </c>
      <c r="B620" s="354"/>
      <c r="C620" s="355"/>
      <c r="D620" s="348"/>
      <c r="E620" s="348"/>
      <c r="F620" s="349"/>
      <c r="G620" s="338"/>
      <c r="H620" s="339"/>
      <c r="I620" s="355"/>
      <c r="J620" s="356"/>
      <c r="K620" s="348"/>
      <c r="L620" s="349"/>
      <c r="M620" s="337"/>
      <c r="N620" s="340"/>
      <c r="O620" s="355"/>
      <c r="P620" s="342"/>
      <c r="Q620" s="343"/>
      <c r="R620" s="344">
        <f>R617</f>
        <v>-64.645928643044272</v>
      </c>
      <c r="S620" s="346"/>
      <c r="X620" s="345"/>
      <c r="Y620" s="346"/>
      <c r="AA620" s="345"/>
      <c r="AB620" s="346"/>
    </row>
    <row r="621" spans="1:31" x14ac:dyDescent="0.2">
      <c r="A621" s="354"/>
      <c r="B621" s="354"/>
      <c r="C621" s="355"/>
      <c r="D621" s="348"/>
      <c r="E621" s="348"/>
      <c r="F621" s="349"/>
      <c r="G621" s="338"/>
      <c r="H621" s="339"/>
      <c r="I621" s="355"/>
      <c r="J621" s="356"/>
      <c r="K621" s="348"/>
      <c r="L621" s="349"/>
      <c r="M621" s="337"/>
      <c r="N621" s="340"/>
      <c r="O621" s="355"/>
      <c r="P621" s="342"/>
      <c r="Q621" s="343"/>
      <c r="R621" s="344"/>
      <c r="S621" s="346"/>
      <c r="X621" s="345"/>
      <c r="Y621" s="346"/>
      <c r="AA621" s="345"/>
      <c r="AB621" s="346"/>
    </row>
    <row r="622" spans="1:31" x14ac:dyDescent="0.2">
      <c r="A622" s="429">
        <f>pole1</f>
        <v>39664.985700375459</v>
      </c>
      <c r="B622" s="354"/>
      <c r="C622" s="355">
        <f t="shared" si="266"/>
        <v>1.4142135623730951</v>
      </c>
      <c r="D622" s="348">
        <f t="shared" si="267"/>
        <v>0.78539816339744828</v>
      </c>
      <c r="E622" s="348">
        <f t="shared" si="268"/>
        <v>1.0000027440969779</v>
      </c>
      <c r="F622" s="349">
        <f t="shared" si="269"/>
        <v>2.3426867920206024E-3</v>
      </c>
      <c r="G622" s="338">
        <f t="shared" ref="G622:G628" si="281">IF(VIN_nom&gt;Vout, 1, SQRT(1+(A622/z_RHP)^2))</f>
        <v>1</v>
      </c>
      <c r="H622" s="339">
        <f t="shared" ref="H622:H628" si="282">IF(VIN_nom&gt;Vout, 0, -ATAN(A622/z_RHP))</f>
        <v>0</v>
      </c>
      <c r="I622" s="355">
        <f t="shared" si="270"/>
        <v>287110.86267696321</v>
      </c>
      <c r="J622" s="356">
        <f t="shared" si="271"/>
        <v>1.5707928438197467</v>
      </c>
      <c r="K622" s="348">
        <f t="shared" si="272"/>
        <v>6.6698168188818592</v>
      </c>
      <c r="L622" s="349">
        <f t="shared" si="273"/>
        <v>1.420299709290157</v>
      </c>
      <c r="M622" s="337">
        <f t="shared" si="274"/>
        <v>1.0007589645784849</v>
      </c>
      <c r="N622" s="340">
        <f t="shared" si="275"/>
        <v>3.8948295635966801E-2</v>
      </c>
      <c r="O622" s="355">
        <f t="shared" si="276"/>
        <v>1.00298254493561</v>
      </c>
      <c r="P622" s="342">
        <f t="shared" si="277"/>
        <v>9.380508595090345E-2</v>
      </c>
      <c r="Q622" s="343">
        <f t="shared" ref="Q622:Q628" si="283">20*LOG10(((E622*K622*G622)/(C622*I622*O622*M622))*Adc)</f>
        <v>0.61207608866541174</v>
      </c>
      <c r="R622" s="344">
        <f t="shared" ref="R622:R628" si="284">((F622+L622+H622)-(D622+J622+P622+N622))*radconv</f>
        <v>-61.094603939164323</v>
      </c>
      <c r="S622" s="346">
        <f t="shared" si="278"/>
        <v>118.90539606083567</v>
      </c>
      <c r="T622" s="319" t="s">
        <v>337</v>
      </c>
      <c r="X622" s="345">
        <f t="shared" si="279"/>
        <v>5.0219202672682766</v>
      </c>
      <c r="Y622" s="346">
        <f t="shared" si="280"/>
        <v>-10.85419442581143</v>
      </c>
      <c r="AA622" s="345">
        <f t="shared" ref="AA622:AA628" si="285">20*LOG10((E622*G622/(C622*O622))*Acs*Am)</f>
        <v>32.422905979492143</v>
      </c>
      <c r="AB622" s="346">
        <f t="shared" ref="AB622:AB628" si="286">(F622+H622-(D622+P622))*radconv</f>
        <v>-50.240409513352908</v>
      </c>
    </row>
    <row r="623" spans="1:31" x14ac:dyDescent="0.2">
      <c r="A623" s="429">
        <f>Zero1</f>
        <v>16931376.944016635</v>
      </c>
      <c r="B623" s="354"/>
      <c r="C623" s="355">
        <f t="shared" si="266"/>
        <v>426.86069606213596</v>
      </c>
      <c r="D623" s="348">
        <f t="shared" si="267"/>
        <v>1.5684536400028761</v>
      </c>
      <c r="E623" s="348">
        <f t="shared" si="268"/>
        <v>1.4142135623730951</v>
      </c>
      <c r="F623" s="349">
        <f t="shared" si="269"/>
        <v>0.78539816339744828</v>
      </c>
      <c r="G623" s="338">
        <f t="shared" si="281"/>
        <v>1</v>
      </c>
      <c r="H623" s="339">
        <f t="shared" si="282"/>
        <v>0</v>
      </c>
      <c r="I623" s="355">
        <f t="shared" si="270"/>
        <v>122556006.38297874</v>
      </c>
      <c r="J623" s="356">
        <f t="shared" si="271"/>
        <v>1.5707963186353617</v>
      </c>
      <c r="K623" s="348">
        <f t="shared" si="272"/>
        <v>2814.8937946478773</v>
      </c>
      <c r="L623" s="349">
        <f t="shared" si="273"/>
        <v>1.5704410735974454</v>
      </c>
      <c r="M623" s="337">
        <f t="shared" si="274"/>
        <v>16.663894888903961</v>
      </c>
      <c r="N623" s="340">
        <f t="shared" si="275"/>
        <v>1.5107502702741611</v>
      </c>
      <c r="O623" s="355">
        <f t="shared" si="276"/>
        <v>262.10550555766105</v>
      </c>
      <c r="P623" s="342">
        <f t="shared" si="277"/>
        <v>-0.15360332609374253</v>
      </c>
      <c r="Q623" s="343">
        <f t="shared" si="283"/>
        <v>-118.84440452254782</v>
      </c>
      <c r="R623" s="344">
        <f t="shared" si="284"/>
        <v>-122.64492019621869</v>
      </c>
      <c r="S623" s="346">
        <f t="shared" si="278"/>
        <v>57.355079803781308</v>
      </c>
      <c r="T623" s="319" t="s">
        <v>332</v>
      </c>
      <c r="X623" s="345">
        <f t="shared" si="279"/>
        <v>-19.505757688571979</v>
      </c>
      <c r="Y623" s="346">
        <f t="shared" si="280"/>
        <v>-86.579968525255467</v>
      </c>
      <c r="AA623" s="345">
        <f t="shared" si="285"/>
        <v>-62.505896675880848</v>
      </c>
      <c r="AB623" s="346">
        <f t="shared" si="286"/>
        <v>-36.064951670963239</v>
      </c>
    </row>
    <row r="624" spans="1:31" x14ac:dyDescent="0.2">
      <c r="A624" s="429">
        <f>Pole2</f>
        <v>0.13815215952049953</v>
      </c>
      <c r="B624" s="354"/>
      <c r="C624" s="355">
        <f t="shared" si="266"/>
        <v>1.0000000000060656</v>
      </c>
      <c r="D624" s="348">
        <f t="shared" si="267"/>
        <v>3.4829751500107859E-6</v>
      </c>
      <c r="E624" s="348">
        <f t="shared" si="268"/>
        <v>1</v>
      </c>
      <c r="F624" s="349">
        <f t="shared" si="269"/>
        <v>8.1595348079071027E-9</v>
      </c>
      <c r="G624" s="338">
        <f t="shared" si="281"/>
        <v>1</v>
      </c>
      <c r="H624" s="339">
        <f t="shared" si="282"/>
        <v>0</v>
      </c>
      <c r="I624" s="355">
        <f t="shared" si="270"/>
        <v>1.4142135623730951</v>
      </c>
      <c r="J624" s="356">
        <f t="shared" si="271"/>
        <v>0.78539816339744828</v>
      </c>
      <c r="K624" s="348">
        <f t="shared" si="272"/>
        <v>1.0000000002637697</v>
      </c>
      <c r="L624" s="349">
        <f t="shared" si="273"/>
        <v>2.2968222444601754E-5</v>
      </c>
      <c r="M624" s="337">
        <f t="shared" si="274"/>
        <v>1.0000000000000093</v>
      </c>
      <c r="N624" s="340">
        <f t="shared" si="275"/>
        <v>1.3572458280558582E-7</v>
      </c>
      <c r="O624" s="355">
        <f t="shared" si="276"/>
        <v>1.0000000000000362</v>
      </c>
      <c r="P624" s="342">
        <f t="shared" si="277"/>
        <v>3.2721486752949322E-7</v>
      </c>
      <c r="Q624" s="343">
        <f t="shared" si="283"/>
        <v>93.323223889182557</v>
      </c>
      <c r="R624" s="344">
        <f t="shared" si="284"/>
        <v>-44.998909685955759</v>
      </c>
      <c r="S624" s="346">
        <f t="shared" si="278"/>
        <v>135.00109031404423</v>
      </c>
      <c r="T624" s="319" t="s">
        <v>340</v>
      </c>
      <c r="W624" s="319">
        <f>Pole2</f>
        <v>0.13815215952049953</v>
      </c>
      <c r="X624" s="345">
        <f t="shared" si="279"/>
        <v>94.696924446281429</v>
      </c>
      <c r="Y624" s="346">
        <f t="shared" si="280"/>
        <v>-44.998691845655273</v>
      </c>
      <c r="AA624" s="345">
        <f t="shared" si="285"/>
        <v>35.459049600996138</v>
      </c>
      <c r="AB624" s="346">
        <f t="shared" si="286"/>
        <v>-2.1784030048957077E-4</v>
      </c>
    </row>
    <row r="625" spans="1:28" x14ac:dyDescent="0.2">
      <c r="A625" s="429">
        <f>Zero2</f>
        <v>6014.9260496506558</v>
      </c>
      <c r="B625" s="354"/>
      <c r="C625" s="355">
        <f t="shared" si="266"/>
        <v>1.0114324818705487</v>
      </c>
      <c r="D625" s="348">
        <f t="shared" si="267"/>
        <v>0.15049661750473953</v>
      </c>
      <c r="E625" s="348">
        <f t="shared" si="268"/>
        <v>1.0000000631024206</v>
      </c>
      <c r="F625" s="349">
        <f t="shared" si="269"/>
        <v>3.5525319745117844E-4</v>
      </c>
      <c r="G625" s="338">
        <f t="shared" si="281"/>
        <v>1</v>
      </c>
      <c r="H625" s="339">
        <f t="shared" si="282"/>
        <v>0</v>
      </c>
      <c r="I625" s="355">
        <f t="shared" si="270"/>
        <v>43538.4149774705</v>
      </c>
      <c r="J625" s="356">
        <f t="shared" si="271"/>
        <v>1.5707733585724519</v>
      </c>
      <c r="K625" s="348">
        <f t="shared" si="272"/>
        <v>1.4142135623730951</v>
      </c>
      <c r="L625" s="349">
        <f t="shared" si="273"/>
        <v>0.78539816339744828</v>
      </c>
      <c r="M625" s="337">
        <f t="shared" si="274"/>
        <v>1.0000174593661344</v>
      </c>
      <c r="N625" s="340">
        <f t="shared" si="275"/>
        <v>5.9091644271381874E-3</v>
      </c>
      <c r="O625" s="355">
        <f t="shared" si="276"/>
        <v>1.0000686626516417</v>
      </c>
      <c r="P625" s="342">
        <f t="shared" si="277"/>
        <v>1.4245920410415239E-2</v>
      </c>
      <c r="Q625" s="343">
        <f t="shared" si="283"/>
        <v>6.4668860997192947</v>
      </c>
      <c r="R625" s="344">
        <f t="shared" si="284"/>
        <v>-54.755951882422494</v>
      </c>
      <c r="S625" s="346">
        <f t="shared" si="278"/>
        <v>125.24404811757751</v>
      </c>
      <c r="T625" s="319" t="s">
        <v>335</v>
      </c>
      <c r="W625" s="319">
        <f>Zero2</f>
        <v>6014.9260496506558</v>
      </c>
      <c r="X625" s="345">
        <f t="shared" si="279"/>
        <v>7.9399204197247268</v>
      </c>
      <c r="Y625" s="346">
        <f t="shared" si="280"/>
        <v>-45.337254251720232</v>
      </c>
      <c r="AA625" s="345">
        <f t="shared" si="285"/>
        <v>35.359715838089578</v>
      </c>
      <c r="AB625" s="346">
        <f t="shared" si="286"/>
        <v>-9.4186976307022618</v>
      </c>
    </row>
    <row r="626" spans="1:28" x14ac:dyDescent="0.2">
      <c r="A626" s="429">
        <f>pole3</f>
        <v>1050000</v>
      </c>
      <c r="B626" s="354"/>
      <c r="C626" s="355">
        <f t="shared" si="266"/>
        <v>26.490591389650685</v>
      </c>
      <c r="D626" s="348">
        <f t="shared" si="267"/>
        <v>1.5330381039332539</v>
      </c>
      <c r="E626" s="348">
        <f t="shared" si="268"/>
        <v>1.0019210872374793</v>
      </c>
      <c r="F626" s="349">
        <f t="shared" si="269"/>
        <v>6.1935721367190132E-2</v>
      </c>
      <c r="G626" s="338">
        <f t="shared" si="281"/>
        <v>1</v>
      </c>
      <c r="H626" s="339">
        <f t="shared" si="282"/>
        <v>0</v>
      </c>
      <c r="I626" s="355">
        <f t="shared" si="270"/>
        <v>7600315.504617257</v>
      </c>
      <c r="J626" s="356">
        <f t="shared" si="271"/>
        <v>1.5707961952214113</v>
      </c>
      <c r="K626" s="348">
        <f t="shared" si="272"/>
        <v>174.56860141690214</v>
      </c>
      <c r="L626" s="349">
        <f t="shared" si="273"/>
        <v>1.5650678884556308</v>
      </c>
      <c r="M626" s="337">
        <f t="shared" si="274"/>
        <v>1.4366957515743173</v>
      </c>
      <c r="N626" s="340">
        <f t="shared" si="275"/>
        <v>0.80092676003556129</v>
      </c>
      <c r="O626" s="355">
        <f t="shared" si="276"/>
        <v>2.4869362310257133</v>
      </c>
      <c r="P626" s="342" t="e">
        <f t="shared" si="277"/>
        <v>#DIV/0!</v>
      </c>
      <c r="Q626" s="343">
        <f t="shared" si="283"/>
        <v>-35.949537799190658</v>
      </c>
      <c r="R626" s="344" t="e">
        <f t="shared" si="284"/>
        <v>#DIV/0!</v>
      </c>
      <c r="S626" s="346" t="e">
        <f t="shared" si="278"/>
        <v>#DIV/0!</v>
      </c>
      <c r="T626" s="319" t="s">
        <v>333</v>
      </c>
      <c r="X626" s="345">
        <f t="shared" si="279"/>
        <v>1.7826184783140306</v>
      </c>
      <c r="Y626" s="346">
        <f t="shared" si="280"/>
        <v>-46.217930903372064</v>
      </c>
      <c r="AA626" s="345">
        <f t="shared" si="285"/>
        <v>-0.89940611940968085</v>
      </c>
      <c r="AB626" s="346" t="e">
        <f t="shared" si="286"/>
        <v>#DIV/0!</v>
      </c>
    </row>
    <row r="627" spans="1:28" ht="13.5" thickBot="1" x14ac:dyDescent="0.25">
      <c r="A627" s="406">
        <f>Fp2_u</f>
        <v>1017886.0502993048</v>
      </c>
      <c r="C627" s="355">
        <f>SQRT(1+(A627/pole1)^2)</f>
        <v>25.681556964402823</v>
      </c>
      <c r="D627" s="348">
        <f>ATAN(A627/pole1)</f>
        <v>1.5318480311589298</v>
      </c>
      <c r="E627" s="348">
        <f>SQRT(1+(A627/Zero1)^2)</f>
        <v>1.0018054767284235</v>
      </c>
      <c r="F627" s="349">
        <f>ATAN(A627/Zero1)</f>
        <v>6.0046056520735559E-2</v>
      </c>
      <c r="G627" s="338">
        <f t="shared" si="281"/>
        <v>1</v>
      </c>
      <c r="H627" s="339">
        <f t="shared" si="282"/>
        <v>0</v>
      </c>
      <c r="I627" s="355">
        <f>SQRT(1+(A627/Pole2)^2)</f>
        <v>7367862.0285937442</v>
      </c>
      <c r="J627" s="356">
        <f>ATAN(A627/Pole2)</f>
        <v>1.5707961910703139</v>
      </c>
      <c r="K627" s="348">
        <f>SQRT(1+(A627/Zero2)^2)</f>
        <v>169.22964863444318</v>
      </c>
      <c r="L627" s="349">
        <f>ATAN(A627/Zero2)</f>
        <v>1.5648871623677585</v>
      </c>
      <c r="M627" s="337">
        <f>SQRT(1+(A627/pole4)^2)</f>
        <v>1.4142135623730951</v>
      </c>
      <c r="N627" s="340">
        <f>ATAN(A627/pole4)</f>
        <v>0.78539816339744828</v>
      </c>
      <c r="O627" s="355">
        <f>SQRT((1-(A627^2/(pole3^2)))^2+(A627/(Q*pole3))^2)</f>
        <v>2.4116263325300493</v>
      </c>
      <c r="P627" s="342">
        <f>ATAN((A627/(Q*pole3))/(1-A627^2/pole3^2))</f>
        <v>1.5458172216964878</v>
      </c>
      <c r="Q627" s="343">
        <f t="shared" si="283"/>
        <v>-35.277036057252182</v>
      </c>
      <c r="R627" s="344">
        <f t="shared" si="284"/>
        <v>-218.23540678268498</v>
      </c>
      <c r="S627" s="346">
        <f>IF(R627&gt;0,R627,R627+180)</f>
        <v>-38.235406782684976</v>
      </c>
      <c r="T627" s="319" t="s">
        <v>345</v>
      </c>
      <c r="X627" s="357"/>
      <c r="Y627" s="358"/>
      <c r="AA627" s="345">
        <f t="shared" si="285"/>
        <v>-0.36390970550037155</v>
      </c>
      <c r="AB627" s="346">
        <f t="shared" si="286"/>
        <v>-172.89684432520005</v>
      </c>
    </row>
    <row r="628" spans="1:28" x14ac:dyDescent="0.2">
      <c r="A628" s="406">
        <f>z_RHP</f>
        <v>0</v>
      </c>
      <c r="C628" s="355">
        <f>SQRT(1+(A628/pole1)^2)</f>
        <v>1</v>
      </c>
      <c r="D628" s="348">
        <f>ATAN(A628/pole1)</f>
        <v>0</v>
      </c>
      <c r="E628" s="348">
        <f>SQRT(1+(A628/Zero1)^2)</f>
        <v>1</v>
      </c>
      <c r="F628" s="349">
        <f>ATAN(A628/Zero1)</f>
        <v>0</v>
      </c>
      <c r="G628" s="338">
        <f t="shared" si="281"/>
        <v>1</v>
      </c>
      <c r="H628" s="339">
        <f t="shared" si="282"/>
        <v>0</v>
      </c>
      <c r="I628" s="355">
        <f>SQRT(1+(A628/Pole2)^2)</f>
        <v>1</v>
      </c>
      <c r="J628" s="356">
        <f>ATAN(A628/Pole2)</f>
        <v>0</v>
      </c>
      <c r="K628" s="348">
        <f>SQRT(1+(A628/Zero2)^2)</f>
        <v>1</v>
      </c>
      <c r="L628" s="349">
        <f>ATAN(A628/Zero2)</f>
        <v>0</v>
      </c>
      <c r="M628" s="337">
        <f>SQRT(1+(A628/pole4)^2)</f>
        <v>1</v>
      </c>
      <c r="N628" s="340">
        <f>ATAN(A628/pole4)</f>
        <v>0</v>
      </c>
      <c r="O628" s="355">
        <f>SQRT((1-(A628^2/(pole3^2)))^2+(A628/(Q*pole3))^2)</f>
        <v>1</v>
      </c>
      <c r="P628" s="342">
        <f>ATAN((A628/(Q*pole3))/(1-A628^2/pole3^2))</f>
        <v>0</v>
      </c>
      <c r="Q628" s="343">
        <f t="shared" si="283"/>
        <v>96.333523843584373</v>
      </c>
      <c r="R628" s="344">
        <f t="shared" si="284"/>
        <v>0</v>
      </c>
      <c r="S628" s="346">
        <f>IF(R628&gt;0,R628,R628+180)</f>
        <v>180</v>
      </c>
      <c r="T628" s="319" t="s">
        <v>439</v>
      </c>
      <c r="X628" s="353"/>
      <c r="Y628" s="353"/>
      <c r="AA628" s="345">
        <f t="shared" si="285"/>
        <v>35.459049601049138</v>
      </c>
      <c r="AB628" s="346">
        <f t="shared" si="286"/>
        <v>0</v>
      </c>
    </row>
    <row r="629" spans="1:28" x14ac:dyDescent="0.2">
      <c r="A629" s="406">
        <f>Fp2_u</f>
        <v>1017886.0502993048</v>
      </c>
      <c r="Q629" s="343">
        <v>-25</v>
      </c>
    </row>
    <row r="631" spans="1:28" x14ac:dyDescent="0.2">
      <c r="D631" s="319" t="s">
        <v>364</v>
      </c>
      <c r="E631" s="319" t="s">
        <v>365</v>
      </c>
    </row>
    <row r="632" spans="1:28" x14ac:dyDescent="0.2">
      <c r="A632" s="319" t="s">
        <v>337</v>
      </c>
      <c r="B632" s="319" t="s">
        <v>436</v>
      </c>
      <c r="C632" s="359">
        <f>pole1</f>
        <v>39664.985700375459</v>
      </c>
      <c r="D632" s="359">
        <f>Q622</f>
        <v>0.61207608866541174</v>
      </c>
      <c r="E632" s="359">
        <f>AA622</f>
        <v>32.422905979492143</v>
      </c>
    </row>
    <row r="633" spans="1:28" x14ac:dyDescent="0.2">
      <c r="A633" s="319" t="s">
        <v>332</v>
      </c>
      <c r="B633" s="319" t="s">
        <v>446</v>
      </c>
      <c r="C633" s="359">
        <f>Zero1</f>
        <v>16931376.944016635</v>
      </c>
      <c r="D633" s="359">
        <f>Q623</f>
        <v>-118.84440452254782</v>
      </c>
      <c r="E633" s="359">
        <f>AA623</f>
        <v>-62.505896675880848</v>
      </c>
    </row>
    <row r="634" spans="1:28" x14ac:dyDescent="0.2">
      <c r="A634" s="319" t="s">
        <v>340</v>
      </c>
      <c r="B634" s="319" t="s">
        <v>447</v>
      </c>
      <c r="C634" s="359">
        <f>Pole2</f>
        <v>0.13815215952049953</v>
      </c>
      <c r="D634" s="359">
        <f>Q624</f>
        <v>93.323223889182557</v>
      </c>
      <c r="E634" s="359">
        <f>AA624</f>
        <v>35.459049600996138</v>
      </c>
    </row>
    <row r="635" spans="1:28" x14ac:dyDescent="0.2">
      <c r="A635" s="319" t="s">
        <v>335</v>
      </c>
      <c r="B635" s="319" t="s">
        <v>448</v>
      </c>
      <c r="C635" s="359">
        <f>Zero2</f>
        <v>6014.9260496506558</v>
      </c>
      <c r="D635" s="359">
        <f>Q625</f>
        <v>6.4668860997192947</v>
      </c>
      <c r="E635" s="359">
        <f>AA625</f>
        <v>35.359715838089578</v>
      </c>
    </row>
    <row r="636" spans="1:28" x14ac:dyDescent="0.2">
      <c r="A636" s="319" t="s">
        <v>333</v>
      </c>
      <c r="B636" s="319" t="s">
        <v>445</v>
      </c>
      <c r="C636" s="319">
        <f>pole3</f>
        <v>1050000</v>
      </c>
      <c r="D636" s="359">
        <f>Q626</f>
        <v>-35.949537799190658</v>
      </c>
      <c r="E636" s="359">
        <f>AA626</f>
        <v>-0.89940611940968085</v>
      </c>
    </row>
    <row r="637" spans="1:28" x14ac:dyDescent="0.2">
      <c r="C637" s="406"/>
      <c r="D637" s="359"/>
      <c r="E637" s="359"/>
    </row>
    <row r="639" spans="1:28" x14ac:dyDescent="0.2">
      <c r="A639" s="359">
        <f>Q4*1000</f>
        <v>44928.25</v>
      </c>
    </row>
    <row r="640" spans="1:28" x14ac:dyDescent="0.2">
      <c r="A640" s="359">
        <f>Q4*1000</f>
        <v>44928.25</v>
      </c>
    </row>
    <row r="687" spans="30:31" x14ac:dyDescent="0.2">
      <c r="AD687" t="s">
        <v>44</v>
      </c>
      <c r="AE687" s="4">
        <f>SUM(AE689:AE1306)</f>
        <v>0</v>
      </c>
    </row>
  </sheetData>
  <mergeCells count="20">
    <mergeCell ref="X10:Y10"/>
    <mergeCell ref="AA10:AB10"/>
    <mergeCell ref="C11:D11"/>
    <mergeCell ref="E11:F11"/>
    <mergeCell ref="I11:J11"/>
    <mergeCell ref="K11:L11"/>
    <mergeCell ref="M11:N11"/>
    <mergeCell ref="O11:P11"/>
    <mergeCell ref="B10:B11"/>
    <mergeCell ref="A2:D2"/>
    <mergeCell ref="J2:L2"/>
    <mergeCell ref="M2:O2"/>
    <mergeCell ref="A10:A12"/>
    <mergeCell ref="O10:P10"/>
    <mergeCell ref="P2:R2"/>
    <mergeCell ref="G11:H11"/>
    <mergeCell ref="E2:G2"/>
    <mergeCell ref="C10:H10"/>
    <mergeCell ref="I10:N10"/>
    <mergeCell ref="Q10:S10"/>
  </mergeCells>
  <pageMargins left="0.75" right="0.75" top="1" bottom="1" header="0.5" footer="0.5"/>
  <pageSetup scale="48" orientation="portrait" horizontalDpi="300" verticalDpi="300" r:id="rId1"/>
  <headerFooter alignWithMargins="0"/>
  <colBreaks count="1" manualBreakCount="1">
    <brk id="19" max="1048575" man="1"/>
  </colBreaks>
  <ignoredErrors>
    <ignoredError sqref="F13 A628" 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A1:AE687"/>
  <sheetViews>
    <sheetView zoomScaleNormal="100" workbookViewId="0">
      <pane ySplit="11" topLeftCell="A606" activePane="bottomLeft" state="frozen"/>
      <selection activeCell="A93" sqref="A93"/>
      <selection pane="bottomLeft" activeCell="F5" sqref="F5"/>
    </sheetView>
  </sheetViews>
  <sheetFormatPr defaultColWidth="9.140625" defaultRowHeight="12.75" x14ac:dyDescent="0.2"/>
  <cols>
    <col min="1" max="1" width="16.140625" style="319" customWidth="1"/>
    <col min="2" max="2" width="15.7109375" style="319" customWidth="1"/>
    <col min="3" max="3" width="10" style="319" customWidth="1"/>
    <col min="4" max="4" width="10.85546875" style="319" customWidth="1"/>
    <col min="5" max="5" width="10.140625" style="319" customWidth="1"/>
    <col min="6" max="8" width="11.85546875" style="319" customWidth="1"/>
    <col min="9" max="9" width="14.28515625" style="319" customWidth="1"/>
    <col min="10" max="10" width="11" style="319" customWidth="1"/>
    <col min="11" max="11" width="12" style="319" customWidth="1"/>
    <col min="12" max="12" width="11.42578125" style="319" customWidth="1"/>
    <col min="13" max="13" width="10.85546875" style="319" customWidth="1"/>
    <col min="14" max="14" width="11.42578125" style="319" customWidth="1"/>
    <col min="15" max="15" width="12.28515625" style="319" customWidth="1"/>
    <col min="16" max="16" width="12.140625" style="319" customWidth="1"/>
    <col min="17" max="17" width="9.42578125" style="319" customWidth="1"/>
    <col min="18" max="18" width="16.140625" style="319" bestFit="1" customWidth="1"/>
    <col min="19" max="19" width="15.28515625" style="359" customWidth="1"/>
    <col min="20" max="20" width="9.140625" style="319"/>
    <col min="21" max="21" width="13.42578125" style="319" bestFit="1" customWidth="1"/>
    <col min="22" max="22" width="9.28515625" style="319" bestFit="1" customWidth="1"/>
    <col min="23" max="23" width="9.140625" style="319"/>
    <col min="24" max="24" width="13.5703125" style="319" customWidth="1"/>
    <col min="25" max="25" width="10.5703125" style="319" customWidth="1"/>
    <col min="26" max="26" width="9.140625" style="319"/>
    <col min="27" max="27" width="9.28515625" style="319" bestFit="1" customWidth="1"/>
    <col min="28" max="28" width="11.28515625" style="319" bestFit="1" customWidth="1"/>
    <col min="29" max="29" width="9.140625" style="319"/>
    <col min="30" max="30" width="12.28515625" customWidth="1"/>
    <col min="31" max="31" width="8.85546875" customWidth="1"/>
    <col min="32" max="16384" width="9.140625" style="319"/>
  </cols>
  <sheetData>
    <row r="1" spans="1:31" ht="13.5" thickBot="1" x14ac:dyDescent="0.25"/>
    <row r="2" spans="1:31" x14ac:dyDescent="0.2">
      <c r="A2" s="733" t="s">
        <v>422</v>
      </c>
      <c r="B2" s="734"/>
      <c r="C2" s="735"/>
      <c r="D2" s="736"/>
      <c r="E2" s="733" t="s">
        <v>328</v>
      </c>
      <c r="F2" s="734"/>
      <c r="G2" s="734"/>
      <c r="H2" s="401"/>
      <c r="I2" s="417"/>
      <c r="J2" s="733" t="s">
        <v>420</v>
      </c>
      <c r="K2" s="735"/>
      <c r="L2" s="736"/>
      <c r="M2" s="733" t="s">
        <v>421</v>
      </c>
      <c r="N2" s="735"/>
      <c r="O2" s="736"/>
      <c r="P2" s="733" t="s">
        <v>329</v>
      </c>
      <c r="Q2" s="734"/>
      <c r="R2" s="742"/>
      <c r="AD2" s="114"/>
      <c r="AE2" s="114"/>
    </row>
    <row r="3" spans="1:31" x14ac:dyDescent="0.2">
      <c r="B3" s="320" t="s">
        <v>330</v>
      </c>
      <c r="C3" s="404">
        <f>Afb_Ch2</f>
        <v>0.03</v>
      </c>
      <c r="D3" s="322" t="s">
        <v>28</v>
      </c>
      <c r="E3" s="323" t="s">
        <v>331</v>
      </c>
      <c r="F3" s="321">
        <f>Acs_Ch2</f>
        <v>8.3333333333333339</v>
      </c>
      <c r="G3" s="322" t="s">
        <v>419</v>
      </c>
      <c r="H3" s="415" t="s">
        <v>347</v>
      </c>
      <c r="I3" s="427">
        <f>gm</f>
        <v>1.1999999999999999E-3</v>
      </c>
      <c r="J3" s="323" t="s">
        <v>438</v>
      </c>
      <c r="K3" s="324">
        <f>Fesr_Ch2</f>
        <v>16931376.944016635</v>
      </c>
      <c r="L3" s="322" t="s">
        <v>9</v>
      </c>
      <c r="M3" s="323" t="s">
        <v>333</v>
      </c>
      <c r="N3" s="324">
        <f>Fsw/2</f>
        <v>1050000</v>
      </c>
      <c r="O3" s="322" t="s">
        <v>9</v>
      </c>
      <c r="P3" s="325" t="s">
        <v>334</v>
      </c>
      <c r="Q3" s="324">
        <f>Am_Ch2*Afb_Ch2*AEA</f>
        <v>72078.377481142932</v>
      </c>
      <c r="R3" s="322" t="s">
        <v>28</v>
      </c>
    </row>
    <row r="4" spans="1:31" x14ac:dyDescent="0.2">
      <c r="B4" s="320" t="s">
        <v>443</v>
      </c>
      <c r="C4" s="324">
        <f>Fz1_u_Ch2</f>
        <v>5739.4498115310626</v>
      </c>
      <c r="D4" s="322" t="s">
        <v>9</v>
      </c>
      <c r="E4" s="323" t="s">
        <v>336</v>
      </c>
      <c r="F4" s="329">
        <f>Am_Ch2</f>
        <v>31.284018003968288</v>
      </c>
      <c r="G4" s="322" t="s">
        <v>28</v>
      </c>
      <c r="H4" s="416"/>
      <c r="I4" s="416"/>
      <c r="J4" s="323" t="s">
        <v>437</v>
      </c>
      <c r="K4" s="324">
        <f>Fp_dominant_Ch2</f>
        <v>9020.2484763247376</v>
      </c>
      <c r="L4" s="322" t="s">
        <v>9</v>
      </c>
      <c r="M4" s="323" t="s">
        <v>338</v>
      </c>
      <c r="N4" s="402">
        <f>Q_Ch2*pole3</f>
        <v>4417445.3065120419</v>
      </c>
      <c r="O4" s="322"/>
      <c r="P4" s="325" t="s">
        <v>339</v>
      </c>
      <c r="Q4" s="365">
        <f>AE7</f>
        <v>59.57</v>
      </c>
      <c r="R4" s="322" t="s">
        <v>2</v>
      </c>
    </row>
    <row r="5" spans="1:31" x14ac:dyDescent="0.2">
      <c r="B5" s="320" t="s">
        <v>442</v>
      </c>
      <c r="C5" s="329">
        <f>Fp1_u_Ch2</f>
        <v>0.52905675708072641</v>
      </c>
      <c r="D5" s="322" t="s">
        <v>9</v>
      </c>
      <c r="E5" s="323" t="s">
        <v>27</v>
      </c>
      <c r="F5" s="404">
        <f>Q_Ch2</f>
        <v>4.2070907681067062</v>
      </c>
      <c r="G5" s="322"/>
      <c r="H5" s="416"/>
      <c r="I5" s="416"/>
      <c r="J5" s="323"/>
      <c r="K5" s="324"/>
      <c r="L5" s="322"/>
      <c r="M5" s="323" t="s">
        <v>341</v>
      </c>
      <c r="N5" s="321">
        <f>pole3^2</f>
        <v>1102500000000</v>
      </c>
      <c r="O5" s="322"/>
      <c r="P5" s="325" t="s">
        <v>342</v>
      </c>
      <c r="Q5" s="329">
        <f>AE9</f>
        <v>89.454120115522016</v>
      </c>
      <c r="R5" s="388" t="s">
        <v>399</v>
      </c>
    </row>
    <row r="6" spans="1:31" x14ac:dyDescent="0.2">
      <c r="B6" s="320" t="s">
        <v>343</v>
      </c>
      <c r="C6" s="321">
        <f>AEA</f>
        <v>76800</v>
      </c>
      <c r="D6" s="322" t="s">
        <v>28</v>
      </c>
      <c r="E6" s="323" t="s">
        <v>371</v>
      </c>
      <c r="F6" s="404">
        <f>mc_Ch2</f>
        <v>12.200000000000001</v>
      </c>
      <c r="G6" s="415"/>
      <c r="H6" s="418"/>
      <c r="I6" s="328"/>
      <c r="J6" s="326"/>
      <c r="K6" s="327"/>
      <c r="L6" s="328"/>
      <c r="M6" s="326"/>
      <c r="N6" s="430"/>
      <c r="O6" s="328"/>
      <c r="P6" s="400" t="s">
        <v>344</v>
      </c>
      <c r="Q6" s="327">
        <f>180/Pi</f>
        <v>57.295779578552292</v>
      </c>
      <c r="R6" s="328"/>
      <c r="AD6" s="5" t="s">
        <v>46</v>
      </c>
      <c r="AE6" s="5"/>
    </row>
    <row r="7" spans="1:31" ht="13.5" thickBot="1" x14ac:dyDescent="0.25">
      <c r="B7" s="396" t="s">
        <v>441</v>
      </c>
      <c r="C7" s="403">
        <f>Fp2_u_Ch2</f>
        <v>1107083.4445347821</v>
      </c>
      <c r="D7" s="398" t="s">
        <v>9</v>
      </c>
      <c r="E7" s="397" t="s">
        <v>346</v>
      </c>
      <c r="F7" s="399">
        <f>k_Ch2</f>
        <v>0.57566033254156768</v>
      </c>
      <c r="G7" s="399"/>
      <c r="H7" s="419"/>
      <c r="I7" s="398"/>
      <c r="J7" s="397"/>
      <c r="K7" s="397"/>
      <c r="L7" s="398"/>
      <c r="M7" s="397"/>
      <c r="N7" s="397"/>
      <c r="O7" s="398"/>
      <c r="P7" s="397"/>
      <c r="Q7" s="397"/>
      <c r="R7" s="398"/>
      <c r="AD7" t="s">
        <v>43</v>
      </c>
      <c r="AE7">
        <f>SUM(AD12:AD613)/1000</f>
        <v>59.57</v>
      </c>
    </row>
    <row r="8" spans="1:31" x14ac:dyDescent="0.2">
      <c r="B8" s="405"/>
      <c r="C8" s="406"/>
      <c r="F8" s="407"/>
      <c r="G8" s="407"/>
      <c r="H8" s="407"/>
    </row>
    <row r="9" spans="1:31" ht="13.5" thickBot="1" x14ac:dyDescent="0.25">
      <c r="AD9" t="s">
        <v>44</v>
      </c>
      <c r="AE9" s="4">
        <f>SUM(AE13:AE613)</f>
        <v>89.454120115522016</v>
      </c>
    </row>
    <row r="10" spans="1:31" ht="15" x14ac:dyDescent="0.25">
      <c r="A10" s="737" t="s">
        <v>450</v>
      </c>
      <c r="B10" s="731"/>
      <c r="C10" s="745" t="s">
        <v>348</v>
      </c>
      <c r="D10" s="746"/>
      <c r="E10" s="746"/>
      <c r="F10" s="746"/>
      <c r="G10" s="746"/>
      <c r="H10" s="747"/>
      <c r="I10" s="745" t="s">
        <v>349</v>
      </c>
      <c r="J10" s="746"/>
      <c r="K10" s="746"/>
      <c r="L10" s="746"/>
      <c r="M10" s="746"/>
      <c r="N10" s="747"/>
      <c r="O10" s="740" t="s">
        <v>350</v>
      </c>
      <c r="P10" s="741"/>
      <c r="Q10" s="740" t="s">
        <v>351</v>
      </c>
      <c r="R10" s="748"/>
      <c r="S10" s="749"/>
      <c r="X10" s="750" t="s">
        <v>352</v>
      </c>
      <c r="Y10" s="751"/>
      <c r="AA10" s="750" t="s">
        <v>353</v>
      </c>
      <c r="AB10" s="751"/>
    </row>
    <row r="11" spans="1:31" x14ac:dyDescent="0.2">
      <c r="A11" s="738"/>
      <c r="B11" s="732"/>
      <c r="C11" s="752" t="s">
        <v>437</v>
      </c>
      <c r="D11" s="753"/>
      <c r="E11" s="753" t="s">
        <v>438</v>
      </c>
      <c r="F11" s="754"/>
      <c r="G11" s="743" t="s">
        <v>439</v>
      </c>
      <c r="H11" s="744"/>
      <c r="I11" s="752" t="s">
        <v>337</v>
      </c>
      <c r="J11" s="753"/>
      <c r="K11" s="753" t="s">
        <v>332</v>
      </c>
      <c r="L11" s="754"/>
      <c r="M11" s="743" t="s">
        <v>340</v>
      </c>
      <c r="N11" s="744"/>
      <c r="O11" s="752" t="s">
        <v>333</v>
      </c>
      <c r="P11" s="754"/>
      <c r="Q11" s="323"/>
      <c r="R11" s="321"/>
      <c r="S11" s="366"/>
      <c r="X11" s="323"/>
      <c r="Y11" s="322"/>
      <c r="AA11" s="323"/>
      <c r="AB11" s="322"/>
    </row>
    <row r="12" spans="1:31" ht="13.5" thickBot="1" x14ac:dyDescent="0.25">
      <c r="A12" s="739"/>
      <c r="B12" s="363"/>
      <c r="C12" s="330" t="s">
        <v>354</v>
      </c>
      <c r="D12" s="331" t="s">
        <v>355</v>
      </c>
      <c r="E12" s="331" t="s">
        <v>354</v>
      </c>
      <c r="F12" s="332" t="s">
        <v>355</v>
      </c>
      <c r="G12" s="331" t="s">
        <v>354</v>
      </c>
      <c r="H12" s="332" t="s">
        <v>355</v>
      </c>
      <c r="I12" s="330" t="s">
        <v>354</v>
      </c>
      <c r="J12" s="331" t="s">
        <v>355</v>
      </c>
      <c r="K12" s="331" t="s">
        <v>354</v>
      </c>
      <c r="L12" s="332" t="s">
        <v>355</v>
      </c>
      <c r="M12" s="330" t="s">
        <v>354</v>
      </c>
      <c r="N12" s="331" t="s">
        <v>355</v>
      </c>
      <c r="O12" s="330" t="s">
        <v>354</v>
      </c>
      <c r="P12" s="332" t="s">
        <v>355</v>
      </c>
      <c r="Q12" s="330" t="s">
        <v>356</v>
      </c>
      <c r="R12" s="331" t="s">
        <v>358</v>
      </c>
      <c r="S12" s="367" t="s">
        <v>357</v>
      </c>
      <c r="V12" s="333" t="s">
        <v>359</v>
      </c>
      <c r="X12" s="334" t="s">
        <v>360</v>
      </c>
      <c r="Y12" s="335" t="s">
        <v>361</v>
      </c>
      <c r="AA12" s="334" t="s">
        <v>360</v>
      </c>
      <c r="AB12" s="335" t="s">
        <v>361</v>
      </c>
    </row>
    <row r="13" spans="1:31" x14ac:dyDescent="0.2">
      <c r="A13" s="336">
        <v>1</v>
      </c>
      <c r="B13" s="364">
        <f>A13/1000</f>
        <v>1E-3</v>
      </c>
      <c r="C13" s="337">
        <f t="shared" ref="C13:C76" si="0">SQRT(1+(A13/pole1)^2)</f>
        <v>1.0000000061451573</v>
      </c>
      <c r="D13" s="338">
        <f t="shared" ref="D13:D76" si="1">ATAN(A13/pole1)</f>
        <v>1.1086169062059745E-4</v>
      </c>
      <c r="E13" s="338">
        <f t="shared" ref="E13:E76" si="2">SQRT(1+(A13/Zero1)^2)</f>
        <v>1.0000000000000018</v>
      </c>
      <c r="F13" s="339">
        <f t="shared" ref="F13:F76" si="3">ATAN(A13/Zero1)</f>
        <v>5.9061941819999938E-8</v>
      </c>
      <c r="G13" s="338">
        <f t="shared" ref="G13:G76" si="4">IF(VIN_nom&gt;Vout, 1, SQRT(1+(A13/z_RHP)^2))</f>
        <v>1</v>
      </c>
      <c r="H13" s="339">
        <f t="shared" ref="H13:H76" si="5">IF(VIN_nom&gt;Vout, 0, -ATAN(A13/z_RHP))</f>
        <v>0</v>
      </c>
      <c r="I13" s="337">
        <f t="shared" ref="I13:I76" si="6">SQRT(1+(A13/Pole2)^2)</f>
        <v>2.1383851633212188</v>
      </c>
      <c r="J13" s="340">
        <f t="shared" ref="J13:J76" si="7">ATAN(A13/Pole2)</f>
        <v>1.0841744254284016</v>
      </c>
      <c r="K13" s="338">
        <f t="shared" ref="K13:K76" si="8">SQRT(1+(A13/Zero2)^2)</f>
        <v>1.0000000151785216</v>
      </c>
      <c r="L13" s="339">
        <f t="shared" ref="L13:L76" si="9">ATAN(A13/Zero2)</f>
        <v>1.7423272660593655E-4</v>
      </c>
      <c r="M13" s="337">
        <f t="shared" ref="M13:M76" si="10">SQRT(1+(A13/pole4)^2)</f>
        <v>1.0000000000004081</v>
      </c>
      <c r="N13" s="340">
        <f t="shared" ref="N13:N76" si="11">ATAN(A13/pole4)</f>
        <v>9.0327427885975429E-7</v>
      </c>
      <c r="O13" s="341">
        <f t="shared" ref="O13:O76" si="12">SQRT((1-(V13/pterm2))^2+(A13/pterm1)^2)</f>
        <v>0.99999999999911859</v>
      </c>
      <c r="P13" s="342">
        <f t="shared" ref="P13:P76" si="13">IF((ATAN((A13/pterm1)/(1-A13^2/pterm2))&gt;0),ATAN((A13/pterm1)/(1-A13^2/pterm2)),PI()+ATAN((A13/pterm1)/(1-A13^2/pterm2)))</f>
        <v>2.2637518534224414E-7</v>
      </c>
      <c r="Q13" s="343">
        <f t="shared" ref="Q13:Q76" si="14">20*LOG10(((E13*K13*G13)/(C13*I13*O13*M13))*Adc)</f>
        <v>90.554381466353362</v>
      </c>
      <c r="R13" s="344">
        <f t="shared" ref="R13:R76" si="15">((F13+L13+H13)-(D13+J13+P13+N13))*radconv</f>
        <v>-62.115049351286508</v>
      </c>
      <c r="S13" s="600">
        <f t="shared" ref="S13:S76" si="16">IF(R13&gt;0,R13,R13+180)</f>
        <v>117.8849506487135</v>
      </c>
      <c r="U13" s="319">
        <f>IF(Q13&lt;0,A13,1000000000)</f>
        <v>1000000000</v>
      </c>
      <c r="V13" s="319">
        <f>A13^2</f>
        <v>1</v>
      </c>
      <c r="X13" s="345">
        <f t="shared" ref="X13:X76" si="17">20*LOG10((K13/(I13*M13))*AEA)</f>
        <v>91.105505882274173</v>
      </c>
      <c r="Y13" s="346">
        <f t="shared" ref="Y13:Y76" si="18">(L13-(J13+N13))*radconv</f>
        <v>-62.10868785795428</v>
      </c>
      <c r="AA13" s="345">
        <f t="shared" ref="AA13:AA76" si="19">20*LOG10((E13*G13/(C13*O13))*Acs*Am)</f>
        <v>35.45904954768065</v>
      </c>
      <c r="AB13" s="346">
        <f t="shared" ref="AB13:AB76" si="20">(F13+H13-(D13+P13))*radconv</f>
        <v>-6.3614933322248329E-3</v>
      </c>
      <c r="AD13">
        <f>SUM((Q14&lt;0)*(Q13&gt;0))*A13</f>
        <v>0</v>
      </c>
      <c r="AE13">
        <f t="shared" ref="AE13:AE76" si="21">IF(AD13&gt;0,S11,0)</f>
        <v>0</v>
      </c>
    </row>
    <row r="14" spans="1:31" x14ac:dyDescent="0.2">
      <c r="A14" s="347">
        <v>1.0965</v>
      </c>
      <c r="B14" s="364">
        <f t="shared" ref="B14:B77" si="22">A14/1000</f>
        <v>1.0965E-3</v>
      </c>
      <c r="C14" s="337">
        <f t="shared" si="0"/>
        <v>1.0000000073883979</v>
      </c>
      <c r="D14" s="338">
        <f t="shared" si="1"/>
        <v>1.2155984366473301E-4</v>
      </c>
      <c r="E14" s="338">
        <f t="shared" si="2"/>
        <v>1.0000000000000022</v>
      </c>
      <c r="F14" s="339">
        <f t="shared" si="3"/>
        <v>6.4761419205629918E-8</v>
      </c>
      <c r="G14" s="338">
        <f t="shared" si="4"/>
        <v>1</v>
      </c>
      <c r="H14" s="339">
        <f t="shared" si="5"/>
        <v>0</v>
      </c>
      <c r="I14" s="337">
        <f t="shared" si="6"/>
        <v>2.3011932302756053</v>
      </c>
      <c r="J14" s="340">
        <f t="shared" si="7"/>
        <v>1.121249798325439</v>
      </c>
      <c r="K14" s="348">
        <f t="shared" si="8"/>
        <v>1.0000000182493225</v>
      </c>
      <c r="L14" s="349">
        <f t="shared" si="9"/>
        <v>1.9104618433229956E-4</v>
      </c>
      <c r="M14" s="337">
        <f t="shared" si="10"/>
        <v>1.0000000000004905</v>
      </c>
      <c r="N14" s="340">
        <f t="shared" si="11"/>
        <v>9.9044024676966619E-7</v>
      </c>
      <c r="O14" s="341">
        <f t="shared" si="12"/>
        <v>0.99999999999894018</v>
      </c>
      <c r="P14" s="342">
        <f t="shared" si="13"/>
        <v>2.4822039072781541E-7</v>
      </c>
      <c r="Q14" s="343">
        <f t="shared" si="14"/>
        <v>89.91703837774287</v>
      </c>
      <c r="R14" s="344">
        <f t="shared" si="15"/>
        <v>-64.238967282762815</v>
      </c>
      <c r="S14" s="346">
        <f t="shared" si="16"/>
        <v>115.76103271723719</v>
      </c>
      <c r="U14" s="319">
        <f t="shared" ref="U14:U77" si="23">IF(Q14&lt;0,A14,1000000000)</f>
        <v>1000000000</v>
      </c>
      <c r="V14" s="319">
        <f t="shared" ref="V14:V77" si="24">A14^2</f>
        <v>1.2023122500000001</v>
      </c>
      <c r="X14" s="345">
        <f t="shared" si="17"/>
        <v>90.468162804460775</v>
      </c>
      <c r="Y14" s="346">
        <f t="shared" si="18"/>
        <v>-64.231991905329807</v>
      </c>
      <c r="AA14" s="345">
        <f t="shared" si="19"/>
        <v>35.459049536883555</v>
      </c>
      <c r="AB14" s="346">
        <f t="shared" si="20"/>
        <v>-6.9753774330118621E-3</v>
      </c>
      <c r="AD14">
        <f t="shared" ref="AD14:AD77" si="25">SUM((Q15&lt;0)*(Q14&gt;0))*A14</f>
        <v>0</v>
      </c>
      <c r="AE14">
        <f t="shared" si="21"/>
        <v>0</v>
      </c>
    </row>
    <row r="15" spans="1:31" x14ac:dyDescent="0.2">
      <c r="A15" s="347">
        <v>1.2022999999999999</v>
      </c>
      <c r="B15" s="364">
        <f t="shared" si="22"/>
        <v>1.2022999999999999E-3</v>
      </c>
      <c r="C15" s="337">
        <f t="shared" si="0"/>
        <v>1.0000000088829801</v>
      </c>
      <c r="D15" s="338">
        <f t="shared" si="1"/>
        <v>1.3328901038986315E-4</v>
      </c>
      <c r="E15" s="338">
        <f t="shared" si="2"/>
        <v>1.0000000000000027</v>
      </c>
      <c r="F15" s="339">
        <f t="shared" si="3"/>
        <v>7.1010172650185879E-8</v>
      </c>
      <c r="G15" s="338">
        <f t="shared" si="4"/>
        <v>1</v>
      </c>
      <c r="H15" s="339">
        <f t="shared" si="5"/>
        <v>0</v>
      </c>
      <c r="I15" s="337">
        <f t="shared" si="6"/>
        <v>2.4828240670878676</v>
      </c>
      <c r="J15" s="340">
        <f t="shared" si="7"/>
        <v>1.1562582644536012</v>
      </c>
      <c r="K15" s="348">
        <f t="shared" si="8"/>
        <v>1.0000000219409368</v>
      </c>
      <c r="L15" s="349">
        <f t="shared" si="9"/>
        <v>2.0948000625392366E-4</v>
      </c>
      <c r="M15" s="337">
        <f t="shared" si="10"/>
        <v>1.0000000000005898</v>
      </c>
      <c r="N15" s="340">
        <f t="shared" si="11"/>
        <v>1.086006665472951E-6</v>
      </c>
      <c r="O15" s="341">
        <f t="shared" si="12"/>
        <v>0.99999999999872591</v>
      </c>
      <c r="P15" s="342">
        <f t="shared" si="13"/>
        <v>2.7217088533708805E-7</v>
      </c>
      <c r="Q15" s="343">
        <f t="shared" si="14"/>
        <v>89.25718122074241</v>
      </c>
      <c r="R15" s="344">
        <f t="shared" si="15"/>
        <v>-66.244426982766441</v>
      </c>
      <c r="S15" s="346">
        <f t="shared" si="16"/>
        <v>113.75557301723356</v>
      </c>
      <c r="U15" s="319">
        <f t="shared" si="23"/>
        <v>1000000000</v>
      </c>
      <c r="V15" s="319">
        <f t="shared" si="24"/>
        <v>1.4455252899999997</v>
      </c>
      <c r="X15" s="345">
        <f t="shared" si="17"/>
        <v>89.808305660440226</v>
      </c>
      <c r="Y15" s="346">
        <f t="shared" si="18"/>
        <v>-66.236778559347044</v>
      </c>
      <c r="AA15" s="345">
        <f t="shared" si="19"/>
        <v>35.459049523903644</v>
      </c>
      <c r="AB15" s="346">
        <f t="shared" si="20"/>
        <v>-7.6484234193949377E-3</v>
      </c>
      <c r="AD15">
        <f t="shared" si="25"/>
        <v>0</v>
      </c>
      <c r="AE15">
        <f t="shared" si="21"/>
        <v>0</v>
      </c>
    </row>
    <row r="16" spans="1:31" x14ac:dyDescent="0.2">
      <c r="A16" s="347">
        <v>1.3183</v>
      </c>
      <c r="B16" s="364">
        <f t="shared" si="22"/>
        <v>1.3183000000000001E-3</v>
      </c>
      <c r="C16" s="337">
        <f t="shared" si="0"/>
        <v>1.0000000106797602</v>
      </c>
      <c r="D16" s="338">
        <f t="shared" si="1"/>
        <v>1.4614896630331525E-4</v>
      </c>
      <c r="E16" s="338">
        <f t="shared" si="2"/>
        <v>1.0000000000000031</v>
      </c>
      <c r="F16" s="339">
        <f t="shared" si="3"/>
        <v>7.7861357901305852E-8</v>
      </c>
      <c r="G16" s="338">
        <f t="shared" si="4"/>
        <v>1</v>
      </c>
      <c r="H16" s="339">
        <f t="shared" si="5"/>
        <v>0</v>
      </c>
      <c r="I16" s="337">
        <f t="shared" si="6"/>
        <v>2.6849642589289551</v>
      </c>
      <c r="J16" s="340">
        <f t="shared" si="7"/>
        <v>1.1891547574721799</v>
      </c>
      <c r="K16" s="348">
        <f t="shared" si="8"/>
        <v>1.0000000263789788</v>
      </c>
      <c r="L16" s="349">
        <f t="shared" si="9"/>
        <v>2.2969100176951004E-4</v>
      </c>
      <c r="M16" s="337">
        <f t="shared" si="10"/>
        <v>1.000000000000709</v>
      </c>
      <c r="N16" s="340">
        <f t="shared" si="11"/>
        <v>1.1907864818205751E-6</v>
      </c>
      <c r="O16" s="341">
        <f t="shared" si="12"/>
        <v>0.99999999999846823</v>
      </c>
      <c r="P16" s="342">
        <f t="shared" si="13"/>
        <v>2.9843040683687644E-7</v>
      </c>
      <c r="Q16" s="343">
        <f t="shared" si="14"/>
        <v>88.577329995733365</v>
      </c>
      <c r="R16" s="344">
        <f t="shared" si="15"/>
        <v>-68.128843127578605</v>
      </c>
      <c r="S16" s="346">
        <f t="shared" si="16"/>
        <v>111.87115687242139</v>
      </c>
      <c r="U16" s="319">
        <f t="shared" si="23"/>
        <v>1000000000</v>
      </c>
      <c r="V16" s="319">
        <f t="shared" si="24"/>
        <v>1.7379148900000001</v>
      </c>
      <c r="X16" s="345">
        <f t="shared" si="17"/>
        <v>89.12845445103558</v>
      </c>
      <c r="Y16" s="346">
        <f t="shared" si="18"/>
        <v>-68.120456770944045</v>
      </c>
      <c r="AA16" s="345">
        <f t="shared" si="19"/>
        <v>35.459049508299252</v>
      </c>
      <c r="AB16" s="346">
        <f t="shared" si="20"/>
        <v>-8.38635663455768E-3</v>
      </c>
      <c r="AD16">
        <f t="shared" si="25"/>
        <v>0</v>
      </c>
      <c r="AE16">
        <f t="shared" si="21"/>
        <v>0</v>
      </c>
    </row>
    <row r="17" spans="1:31" x14ac:dyDescent="0.2">
      <c r="A17" s="347">
        <v>1.4454</v>
      </c>
      <c r="B17" s="364">
        <f t="shared" si="22"/>
        <v>1.4454000000000001E-3</v>
      </c>
      <c r="C17" s="337">
        <f t="shared" si="0"/>
        <v>1.0000000128383468</v>
      </c>
      <c r="D17" s="338">
        <f t="shared" si="1"/>
        <v>1.6023948690800272E-4</v>
      </c>
      <c r="E17" s="338">
        <f t="shared" si="2"/>
        <v>1.0000000000000036</v>
      </c>
      <c r="F17" s="339">
        <f t="shared" si="3"/>
        <v>8.5368130706627795E-8</v>
      </c>
      <c r="G17" s="338">
        <f t="shared" si="4"/>
        <v>1</v>
      </c>
      <c r="H17" s="339">
        <f t="shared" si="5"/>
        <v>0</v>
      </c>
      <c r="I17" s="337">
        <f t="shared" si="6"/>
        <v>2.9092952670093353</v>
      </c>
      <c r="J17" s="340">
        <f t="shared" si="7"/>
        <v>1.2199146960668288</v>
      </c>
      <c r="K17" s="348">
        <f t="shared" si="8"/>
        <v>1.0000000317106814</v>
      </c>
      <c r="L17" s="349">
        <f t="shared" si="9"/>
        <v>2.518359802606256E-4</v>
      </c>
      <c r="M17" s="337">
        <f t="shared" si="10"/>
        <v>1.0000000000008522</v>
      </c>
      <c r="N17" s="340">
        <f t="shared" si="11"/>
        <v>1.3055926426635021E-6</v>
      </c>
      <c r="O17" s="341">
        <f t="shared" si="12"/>
        <v>0.99999999999815858</v>
      </c>
      <c r="P17" s="342">
        <f t="shared" si="13"/>
        <v>3.2720269289399684E-7</v>
      </c>
      <c r="Q17" s="343">
        <f t="shared" si="14"/>
        <v>87.880344193531826</v>
      </c>
      <c r="R17" s="344">
        <f t="shared" si="15"/>
        <v>-69.890804099036373</v>
      </c>
      <c r="S17" s="346">
        <f t="shared" si="16"/>
        <v>110.10919590096363</v>
      </c>
      <c r="U17" s="319">
        <f t="shared" si="23"/>
        <v>1000000000</v>
      </c>
      <c r="V17" s="319">
        <f t="shared" si="24"/>
        <v>2.0891811599999999</v>
      </c>
      <c r="X17" s="345">
        <f t="shared" si="17"/>
        <v>88.431468667580603</v>
      </c>
      <c r="Y17" s="346">
        <f t="shared" si="18"/>
        <v>-69.881609196614946</v>
      </c>
      <c r="AA17" s="345">
        <f t="shared" si="19"/>
        <v>35.459049489552697</v>
      </c>
      <c r="AB17" s="346">
        <f t="shared" si="20"/>
        <v>-9.194902421430803E-3</v>
      </c>
      <c r="AD17">
        <f t="shared" si="25"/>
        <v>0</v>
      </c>
      <c r="AE17">
        <f t="shared" si="21"/>
        <v>0</v>
      </c>
    </row>
    <row r="18" spans="1:31" x14ac:dyDescent="0.2">
      <c r="A18" s="347">
        <v>1.5849</v>
      </c>
      <c r="B18" s="364">
        <f t="shared" si="22"/>
        <v>1.5849E-3</v>
      </c>
      <c r="C18" s="337">
        <f t="shared" si="0"/>
        <v>1.0000000154360695</v>
      </c>
      <c r="D18" s="338">
        <f t="shared" si="1"/>
        <v>1.7570469237628028E-4</v>
      </c>
      <c r="E18" s="338">
        <f t="shared" si="2"/>
        <v>1.0000000000000044</v>
      </c>
      <c r="F18" s="339">
        <f t="shared" si="3"/>
        <v>9.360727159051773E-8</v>
      </c>
      <c r="G18" s="338">
        <f t="shared" si="4"/>
        <v>1</v>
      </c>
      <c r="H18" s="339">
        <f t="shared" si="5"/>
        <v>0</v>
      </c>
      <c r="I18" s="337">
        <f t="shared" si="6"/>
        <v>3.1582069926156566</v>
      </c>
      <c r="J18" s="340">
        <f t="shared" si="7"/>
        <v>1.2486161025237987</v>
      </c>
      <c r="K18" s="348">
        <f t="shared" si="8"/>
        <v>1.0000000381270497</v>
      </c>
      <c r="L18" s="349">
        <f t="shared" si="9"/>
        <v>2.7614144417305574E-4</v>
      </c>
      <c r="M18" s="337">
        <f t="shared" si="10"/>
        <v>1.0000000000010247</v>
      </c>
      <c r="N18" s="340">
        <f t="shared" si="11"/>
        <v>1.4315994045642357E-6</v>
      </c>
      <c r="O18" s="341">
        <f t="shared" si="12"/>
        <v>0.99999999999778599</v>
      </c>
      <c r="P18" s="342">
        <f t="shared" si="13"/>
        <v>3.5878203124940546E-7</v>
      </c>
      <c r="Q18" s="343">
        <f t="shared" si="14"/>
        <v>87.167288419613953</v>
      </c>
      <c r="R18" s="344">
        <f t="shared" si="15"/>
        <v>-71.534775604440597</v>
      </c>
      <c r="S18" s="346">
        <f t="shared" si="16"/>
        <v>108.4652243955594</v>
      </c>
      <c r="U18" s="319">
        <f t="shared" si="23"/>
        <v>1000000000</v>
      </c>
      <c r="V18" s="319">
        <f t="shared" si="24"/>
        <v>2.51190801</v>
      </c>
      <c r="X18" s="345">
        <f t="shared" si="17"/>
        <v>87.718412916223016</v>
      </c>
      <c r="Y18" s="346">
        <f t="shared" si="18"/>
        <v>-71.524693273720715</v>
      </c>
      <c r="AA18" s="345">
        <f t="shared" si="19"/>
        <v>35.459049466992411</v>
      </c>
      <c r="AB18" s="346">
        <f t="shared" si="20"/>
        <v>-1.0082330719887903E-2</v>
      </c>
      <c r="AD18">
        <f t="shared" si="25"/>
        <v>0</v>
      </c>
      <c r="AE18">
        <f t="shared" si="21"/>
        <v>0</v>
      </c>
    </row>
    <row r="19" spans="1:31" x14ac:dyDescent="0.2">
      <c r="A19" s="347">
        <v>1.7378</v>
      </c>
      <c r="B19" s="364">
        <f t="shared" si="22"/>
        <v>1.7378000000000001E-3</v>
      </c>
      <c r="C19" s="337">
        <f t="shared" si="0"/>
        <v>1.0000000185580604</v>
      </c>
      <c r="D19" s="338">
        <f t="shared" si="1"/>
        <v>1.9265544436619867E-4</v>
      </c>
      <c r="E19" s="338">
        <f t="shared" si="2"/>
        <v>1.0000000000000053</v>
      </c>
      <c r="F19" s="339">
        <f t="shared" si="3"/>
        <v>1.0263784249479565E-7</v>
      </c>
      <c r="G19" s="338">
        <f t="shared" si="4"/>
        <v>1</v>
      </c>
      <c r="H19" s="339">
        <f t="shared" si="5"/>
        <v>0</v>
      </c>
      <c r="I19" s="337">
        <f t="shared" si="6"/>
        <v>3.4335614692901855</v>
      </c>
      <c r="J19" s="340">
        <f t="shared" si="7"/>
        <v>1.2752706447802975</v>
      </c>
      <c r="K19" s="348">
        <f t="shared" si="8"/>
        <v>1.0000000458383582</v>
      </c>
      <c r="L19" s="349">
        <f t="shared" si="9"/>
        <v>3.0278162610697319E-4</v>
      </c>
      <c r="M19" s="337">
        <f t="shared" si="10"/>
        <v>1.0000000000012319</v>
      </c>
      <c r="N19" s="340">
        <f t="shared" si="11"/>
        <v>1.5697100418016187E-6</v>
      </c>
      <c r="O19" s="341">
        <f t="shared" si="12"/>
        <v>0.99999999999733824</v>
      </c>
      <c r="P19" s="342">
        <f t="shared" si="13"/>
        <v>3.9339479708845908E-7</v>
      </c>
      <c r="Q19" s="343">
        <f t="shared" si="14"/>
        <v>86.441203740019716</v>
      </c>
      <c r="R19" s="344">
        <f t="shared" si="15"/>
        <v>-73.061422597802292</v>
      </c>
      <c r="S19" s="346">
        <f t="shared" si="16"/>
        <v>106.93857740219771</v>
      </c>
      <c r="U19" s="319">
        <f t="shared" si="23"/>
        <v>1000000000</v>
      </c>
      <c r="V19" s="319">
        <f t="shared" si="24"/>
        <v>3.0199488400000001</v>
      </c>
      <c r="X19" s="345">
        <f t="shared" si="17"/>
        <v>86.992328263742152</v>
      </c>
      <c r="Y19" s="346">
        <f t="shared" si="18"/>
        <v>-73.05036759478088</v>
      </c>
      <c r="AA19" s="345">
        <f t="shared" si="19"/>
        <v>35.459049439879038</v>
      </c>
      <c r="AB19" s="346">
        <f t="shared" si="20"/>
        <v>-1.1055003021395093E-2</v>
      </c>
      <c r="AD19">
        <f t="shared" si="25"/>
        <v>0</v>
      </c>
      <c r="AE19">
        <f t="shared" si="21"/>
        <v>0</v>
      </c>
    </row>
    <row r="20" spans="1:31" x14ac:dyDescent="0.2">
      <c r="A20" s="347">
        <v>1.9055</v>
      </c>
      <c r="B20" s="364">
        <f t="shared" si="22"/>
        <v>1.9055000000000001E-3</v>
      </c>
      <c r="C20" s="337">
        <f t="shared" si="0"/>
        <v>1.0000000223126371</v>
      </c>
      <c r="D20" s="338">
        <f t="shared" si="1"/>
        <v>2.1124694920066124E-4</v>
      </c>
      <c r="E20" s="338">
        <f t="shared" si="2"/>
        <v>1.0000000000000062</v>
      </c>
      <c r="F20" s="339">
        <f t="shared" si="3"/>
        <v>1.1254253013800953E-7</v>
      </c>
      <c r="G20" s="338">
        <f t="shared" si="4"/>
        <v>1</v>
      </c>
      <c r="H20" s="339">
        <f t="shared" si="5"/>
        <v>0</v>
      </c>
      <c r="I20" s="337">
        <f t="shared" si="6"/>
        <v>3.7379395678993697</v>
      </c>
      <c r="J20" s="340">
        <f t="shared" si="7"/>
        <v>1.2999706960895594</v>
      </c>
      <c r="K20" s="348">
        <f t="shared" si="8"/>
        <v>1.0000000551121526</v>
      </c>
      <c r="L20" s="349">
        <f t="shared" si="9"/>
        <v>3.3200045170895658E-4</v>
      </c>
      <c r="M20" s="337">
        <f t="shared" si="10"/>
        <v>1.0000000000014813</v>
      </c>
      <c r="N20" s="340">
        <f t="shared" si="11"/>
        <v>1.7211891383660302E-6</v>
      </c>
      <c r="O20" s="341">
        <f t="shared" si="12"/>
        <v>0.99999999999679967</v>
      </c>
      <c r="P20" s="342">
        <f t="shared" si="13"/>
        <v>4.313579156706562E-7</v>
      </c>
      <c r="Q20" s="343">
        <f t="shared" si="14"/>
        <v>85.703454807704702</v>
      </c>
      <c r="R20" s="344">
        <f t="shared" si="15"/>
        <v>-74.476032679311061</v>
      </c>
      <c r="S20" s="346">
        <f t="shared" si="16"/>
        <v>105.52396732068894</v>
      </c>
      <c r="U20" s="319">
        <f t="shared" si="23"/>
        <v>1000000000</v>
      </c>
      <c r="V20" s="319">
        <f t="shared" si="24"/>
        <v>3.63093025</v>
      </c>
      <c r="X20" s="345">
        <f t="shared" si="17"/>
        <v>86.254579364034285</v>
      </c>
      <c r="Y20" s="346">
        <f t="shared" si="18"/>
        <v>-74.463910853896977</v>
      </c>
      <c r="AA20" s="345">
        <f t="shared" si="19"/>
        <v>35.459049407271891</v>
      </c>
      <c r="AB20" s="346">
        <f t="shared" si="20"/>
        <v>-1.2121825414098451E-2</v>
      </c>
      <c r="AD20">
        <f t="shared" si="25"/>
        <v>0</v>
      </c>
      <c r="AE20">
        <f t="shared" si="21"/>
        <v>0</v>
      </c>
    </row>
    <row r="21" spans="1:31" x14ac:dyDescent="0.2">
      <c r="A21" s="347">
        <v>2.0893000000000002</v>
      </c>
      <c r="B21" s="364">
        <f t="shared" si="22"/>
        <v>2.0893000000000001E-3</v>
      </c>
      <c r="C21" s="337">
        <f t="shared" si="0"/>
        <v>1.0000000268246834</v>
      </c>
      <c r="D21" s="338">
        <f t="shared" si="1"/>
        <v>2.3162332702037384E-4</v>
      </c>
      <c r="E21" s="338">
        <f t="shared" si="2"/>
        <v>1.0000000000000075</v>
      </c>
      <c r="F21" s="339">
        <f t="shared" si="3"/>
        <v>1.233981150445254E-7</v>
      </c>
      <c r="G21" s="338">
        <f t="shared" si="4"/>
        <v>1</v>
      </c>
      <c r="H21" s="339">
        <f t="shared" si="5"/>
        <v>0</v>
      </c>
      <c r="I21" s="337">
        <f t="shared" si="6"/>
        <v>4.0737476701031046</v>
      </c>
      <c r="J21" s="340">
        <f t="shared" si="7"/>
        <v>1.3227874849724985</v>
      </c>
      <c r="K21" s="348">
        <f t="shared" si="8"/>
        <v>1.000000066256894</v>
      </c>
      <c r="L21" s="349">
        <f t="shared" si="9"/>
        <v>3.6402442330193339E-4</v>
      </c>
      <c r="M21" s="337">
        <f t="shared" si="10"/>
        <v>1.0000000000017808</v>
      </c>
      <c r="N21" s="340">
        <f t="shared" si="11"/>
        <v>1.8872109508199576E-6</v>
      </c>
      <c r="O21" s="341">
        <f t="shared" si="12"/>
        <v>0.99999999999615241</v>
      </c>
      <c r="P21" s="342">
        <f t="shared" si="13"/>
        <v>4.7296567473696717E-7</v>
      </c>
      <c r="Q21" s="343">
        <f t="shared" si="14"/>
        <v>84.956217878851731</v>
      </c>
      <c r="R21" s="344">
        <f t="shared" si="15"/>
        <v>-75.78268230219183</v>
      </c>
      <c r="S21" s="346">
        <f t="shared" si="16"/>
        <v>104.21731769780817</v>
      </c>
      <c r="U21" s="319">
        <f t="shared" si="23"/>
        <v>1000000000</v>
      </c>
      <c r="V21" s="319">
        <f t="shared" si="24"/>
        <v>4.3651744900000002</v>
      </c>
      <c r="X21" s="345">
        <f t="shared" si="17"/>
        <v>85.507342474366808</v>
      </c>
      <c r="Y21" s="346">
        <f t="shared" si="18"/>
        <v>-75.76939123435578</v>
      </c>
      <c r="AA21" s="345">
        <f t="shared" si="19"/>
        <v>35.459049368086383</v>
      </c>
      <c r="AB21" s="346">
        <f t="shared" si="20"/>
        <v>-1.3291067836058225E-2</v>
      </c>
      <c r="AD21">
        <f t="shared" si="25"/>
        <v>0</v>
      </c>
      <c r="AE21">
        <f t="shared" si="21"/>
        <v>0</v>
      </c>
    </row>
    <row r="22" spans="1:31" x14ac:dyDescent="0.2">
      <c r="A22" s="347">
        <v>2.2909000000000002</v>
      </c>
      <c r="B22" s="364">
        <f t="shared" si="22"/>
        <v>2.2909000000000002E-3</v>
      </c>
      <c r="C22" s="337">
        <f t="shared" si="0"/>
        <v>1.000000032251154</v>
      </c>
      <c r="D22" s="338">
        <f t="shared" si="1"/>
        <v>2.5397304262258044E-4</v>
      </c>
      <c r="E22" s="338">
        <f t="shared" si="2"/>
        <v>1.0000000000000091</v>
      </c>
      <c r="F22" s="339">
        <f t="shared" si="3"/>
        <v>1.3530500251543719E-7</v>
      </c>
      <c r="G22" s="338">
        <f t="shared" si="4"/>
        <v>1</v>
      </c>
      <c r="H22" s="339">
        <f t="shared" si="5"/>
        <v>0</v>
      </c>
      <c r="I22" s="337">
        <f t="shared" si="6"/>
        <v>4.4441285939238666</v>
      </c>
      <c r="J22" s="340">
        <f t="shared" si="7"/>
        <v>1.3438368786950872</v>
      </c>
      <c r="K22" s="348">
        <f t="shared" si="8"/>
        <v>1.0000000796602613</v>
      </c>
      <c r="L22" s="349">
        <f t="shared" si="9"/>
        <v>3.9914973622296075E-4</v>
      </c>
      <c r="M22" s="337">
        <f t="shared" si="10"/>
        <v>1.000000000002141</v>
      </c>
      <c r="N22" s="340">
        <f t="shared" si="11"/>
        <v>2.0693110454374205E-6</v>
      </c>
      <c r="O22" s="341">
        <f t="shared" si="12"/>
        <v>0.99999999999537414</v>
      </c>
      <c r="P22" s="342">
        <f t="shared" si="13"/>
        <v>5.186029121025078E-7</v>
      </c>
      <c r="Q22" s="343">
        <f t="shared" si="14"/>
        <v>84.200368108673715</v>
      </c>
      <c r="R22" s="344">
        <f t="shared" si="15"/>
        <v>-76.988004103549031</v>
      </c>
      <c r="S22" s="346">
        <f t="shared" si="16"/>
        <v>103.01199589645097</v>
      </c>
      <c r="U22" s="319">
        <f t="shared" si="23"/>
        <v>1000000000</v>
      </c>
      <c r="V22" s="319">
        <f t="shared" si="24"/>
        <v>5.2482228100000006</v>
      </c>
      <c r="X22" s="345">
        <f t="shared" si="17"/>
        <v>84.751492751315737</v>
      </c>
      <c r="Y22" s="346">
        <f t="shared" si="18"/>
        <v>-76.9734305587275</v>
      </c>
      <c r="AA22" s="345">
        <f t="shared" si="19"/>
        <v>35.459049320959437</v>
      </c>
      <c r="AB22" s="346">
        <f t="shared" si="20"/>
        <v>-1.4573544821538253E-2</v>
      </c>
      <c r="AD22">
        <f t="shared" si="25"/>
        <v>0</v>
      </c>
      <c r="AE22">
        <f t="shared" si="21"/>
        <v>0</v>
      </c>
    </row>
    <row r="23" spans="1:31" x14ac:dyDescent="0.2">
      <c r="A23" s="347">
        <v>2.5118999999999998</v>
      </c>
      <c r="B23" s="364">
        <f t="shared" si="22"/>
        <v>2.5118999999999996E-3</v>
      </c>
      <c r="C23" s="337">
        <f t="shared" si="0"/>
        <v>1.0000000387737393</v>
      </c>
      <c r="D23" s="338">
        <f t="shared" si="1"/>
        <v>2.7847347461241567E-4</v>
      </c>
      <c r="E23" s="338">
        <f t="shared" si="2"/>
        <v>1.0000000000000111</v>
      </c>
      <c r="F23" s="339">
        <f t="shared" si="3"/>
        <v>1.4835769165765692E-7</v>
      </c>
      <c r="G23" s="338">
        <f t="shared" si="4"/>
        <v>1</v>
      </c>
      <c r="H23" s="339">
        <f t="shared" si="5"/>
        <v>0</v>
      </c>
      <c r="I23" s="337">
        <f t="shared" si="6"/>
        <v>4.8520511607555186</v>
      </c>
      <c r="J23" s="340">
        <f t="shared" si="7"/>
        <v>1.3632102493276743</v>
      </c>
      <c r="K23" s="348">
        <f t="shared" si="8"/>
        <v>1.0000000957710282</v>
      </c>
      <c r="L23" s="349">
        <f t="shared" si="9"/>
        <v>4.3765516244696794E-4</v>
      </c>
      <c r="M23" s="337">
        <f t="shared" si="10"/>
        <v>1.0000000000025739</v>
      </c>
      <c r="N23" s="340">
        <f t="shared" si="11"/>
        <v>2.2689346610645404E-6</v>
      </c>
      <c r="O23" s="341">
        <f t="shared" si="12"/>
        <v>0.99999999999443867</v>
      </c>
      <c r="P23" s="342">
        <f t="shared" si="13"/>
        <v>5.6863182806386998E-7</v>
      </c>
      <c r="Q23" s="343">
        <f t="shared" si="14"/>
        <v>83.437593103478804</v>
      </c>
      <c r="R23" s="344">
        <f t="shared" si="15"/>
        <v>-78.09722760611713</v>
      </c>
      <c r="S23" s="346">
        <f t="shared" si="16"/>
        <v>101.90277239388287</v>
      </c>
      <c r="U23" s="319">
        <f t="shared" si="23"/>
        <v>1000000000</v>
      </c>
      <c r="V23" s="319">
        <f t="shared" si="24"/>
        <v>6.309641609999999</v>
      </c>
      <c r="X23" s="345">
        <f t="shared" si="17"/>
        <v>83.988717802767155</v>
      </c>
      <c r="Y23" s="346">
        <f t="shared" si="18"/>
        <v>-78.081248171362986</v>
      </c>
      <c r="AA23" s="345">
        <f t="shared" si="19"/>
        <v>35.459049264313123</v>
      </c>
      <c r="AB23" s="346">
        <f t="shared" si="20"/>
        <v>-1.5979434754148644E-2</v>
      </c>
      <c r="AD23">
        <f t="shared" si="25"/>
        <v>0</v>
      </c>
      <c r="AE23">
        <f t="shared" si="21"/>
        <v>0</v>
      </c>
    </row>
    <row r="24" spans="1:31" x14ac:dyDescent="0.2">
      <c r="A24" s="347">
        <v>2.7542</v>
      </c>
      <c r="B24" s="364">
        <f t="shared" si="22"/>
        <v>2.7542000000000001E-3</v>
      </c>
      <c r="C24" s="337">
        <f t="shared" si="0"/>
        <v>1.0000000466148125</v>
      </c>
      <c r="D24" s="338">
        <f t="shared" si="1"/>
        <v>3.053352600693744E-4</v>
      </c>
      <c r="E24" s="338">
        <f t="shared" si="2"/>
        <v>1.0000000000000133</v>
      </c>
      <c r="F24" s="339">
        <f t="shared" si="3"/>
        <v>1.6266840016064258E-7</v>
      </c>
      <c r="G24" s="338">
        <f t="shared" si="4"/>
        <v>1</v>
      </c>
      <c r="H24" s="339">
        <f t="shared" si="5"/>
        <v>0</v>
      </c>
      <c r="I24" s="337">
        <f t="shared" si="6"/>
        <v>5.3010441123752283</v>
      </c>
      <c r="J24" s="340">
        <f t="shared" si="7"/>
        <v>1.381017107943576</v>
      </c>
      <c r="K24" s="348">
        <f t="shared" si="8"/>
        <v>1.0000001151384563</v>
      </c>
      <c r="L24" s="349">
        <f t="shared" si="9"/>
        <v>4.7987174363943881E-4</v>
      </c>
      <c r="M24" s="337">
        <f t="shared" si="10"/>
        <v>1.0000000000030944</v>
      </c>
      <c r="N24" s="340">
        <f t="shared" si="11"/>
        <v>2.487798018831079E-6</v>
      </c>
      <c r="O24" s="341">
        <f t="shared" si="12"/>
        <v>0.99999999999331401</v>
      </c>
      <c r="P24" s="342">
        <f t="shared" si="13"/>
        <v>6.2348253547326294E-7</v>
      </c>
      <c r="Q24" s="343">
        <f t="shared" si="14"/>
        <v>82.668872269269599</v>
      </c>
      <c r="R24" s="344">
        <f t="shared" si="15"/>
        <v>-79.116620550085884</v>
      </c>
      <c r="S24" s="346">
        <f t="shared" si="16"/>
        <v>100.88337944991412</v>
      </c>
      <c r="U24" s="319">
        <f t="shared" si="23"/>
        <v>1000000000</v>
      </c>
      <c r="V24" s="319">
        <f t="shared" si="24"/>
        <v>7.5856176399999997</v>
      </c>
      <c r="X24" s="345">
        <f t="shared" si="17"/>
        <v>83.219997036654846</v>
      </c>
      <c r="Y24" s="346">
        <f t="shared" si="18"/>
        <v>-79.099099725622281</v>
      </c>
      <c r="AA24" s="345">
        <f t="shared" si="19"/>
        <v>35.45904919621622</v>
      </c>
      <c r="AB24" s="346">
        <f t="shared" si="20"/>
        <v>-1.752082446361837E-2</v>
      </c>
      <c r="AD24">
        <f t="shared" si="25"/>
        <v>0</v>
      </c>
      <c r="AE24">
        <f t="shared" si="21"/>
        <v>0</v>
      </c>
    </row>
    <row r="25" spans="1:31" x14ac:dyDescent="0.2">
      <c r="A25" s="347">
        <v>3.02</v>
      </c>
      <c r="B25" s="364">
        <f t="shared" si="22"/>
        <v>3.0200000000000001E-3</v>
      </c>
      <c r="C25" s="337">
        <f t="shared" si="0"/>
        <v>1.0000000560462907</v>
      </c>
      <c r="D25" s="338">
        <f t="shared" si="1"/>
        <v>3.34802294536195E-4</v>
      </c>
      <c r="E25" s="338">
        <f t="shared" si="2"/>
        <v>1.000000000000016</v>
      </c>
      <c r="F25" s="339">
        <f t="shared" si="3"/>
        <v>1.7836706429639813E-7</v>
      </c>
      <c r="G25" s="338">
        <f t="shared" si="4"/>
        <v>1</v>
      </c>
      <c r="H25" s="339">
        <f t="shared" si="5"/>
        <v>0</v>
      </c>
      <c r="I25" s="337">
        <f t="shared" si="6"/>
        <v>5.7952024960012407</v>
      </c>
      <c r="J25" s="340">
        <f t="shared" si="7"/>
        <v>1.3973717874485017</v>
      </c>
      <c r="K25" s="348">
        <f t="shared" si="8"/>
        <v>1.0000001384341808</v>
      </c>
      <c r="L25" s="349">
        <f t="shared" si="9"/>
        <v>5.2618279111325784E-4</v>
      </c>
      <c r="M25" s="337">
        <f t="shared" si="10"/>
        <v>1.0000000000037206</v>
      </c>
      <c r="N25" s="340">
        <f t="shared" si="11"/>
        <v>2.7278883221504334E-6</v>
      </c>
      <c r="O25" s="341">
        <f t="shared" si="12"/>
        <v>0.99999999999196121</v>
      </c>
      <c r="P25" s="342">
        <f t="shared" si="13"/>
        <v>6.8365305973851785E-7</v>
      </c>
      <c r="Q25" s="343">
        <f t="shared" si="14"/>
        <v>81.894728440023556</v>
      </c>
      <c r="R25" s="344">
        <f t="shared" si="15"/>
        <v>-80.0527258754325</v>
      </c>
      <c r="S25" s="346">
        <f t="shared" si="16"/>
        <v>99.9472741245675</v>
      </c>
      <c r="U25" s="319">
        <f t="shared" si="23"/>
        <v>1000000000</v>
      </c>
      <c r="V25" s="319">
        <f t="shared" si="24"/>
        <v>9.1204000000000001</v>
      </c>
      <c r="X25" s="345">
        <f t="shared" si="17"/>
        <v>82.445853289317824</v>
      </c>
      <c r="Y25" s="346">
        <f t="shared" si="18"/>
        <v>-80.033514166207354</v>
      </c>
      <c r="AA25" s="345">
        <f t="shared" si="19"/>
        <v>35.45904911430722</v>
      </c>
      <c r="AB25" s="346">
        <f t="shared" si="20"/>
        <v>-1.9211709225158351E-2</v>
      </c>
      <c r="AD25">
        <f t="shared" si="25"/>
        <v>0</v>
      </c>
      <c r="AE25">
        <f t="shared" si="21"/>
        <v>0</v>
      </c>
    </row>
    <row r="26" spans="1:31" x14ac:dyDescent="0.2">
      <c r="A26" s="347">
        <v>3.3113000000000001</v>
      </c>
      <c r="B26" s="364">
        <f t="shared" si="22"/>
        <v>3.3113000000000001E-3</v>
      </c>
      <c r="C26" s="337">
        <f t="shared" si="0"/>
        <v>1.000000067379851</v>
      </c>
      <c r="D26" s="338">
        <f t="shared" si="1"/>
        <v>3.6709630116596475E-4</v>
      </c>
      <c r="E26" s="338">
        <f t="shared" si="2"/>
        <v>1.0000000000000191</v>
      </c>
      <c r="F26" s="339">
        <f t="shared" si="3"/>
        <v>1.9557180794856354E-7</v>
      </c>
      <c r="G26" s="338">
        <f t="shared" si="4"/>
        <v>1</v>
      </c>
      <c r="H26" s="339">
        <f t="shared" si="5"/>
        <v>0</v>
      </c>
      <c r="I26" s="337">
        <f t="shared" si="6"/>
        <v>6.3382579350925088</v>
      </c>
      <c r="J26" s="340">
        <f t="shared" si="7"/>
        <v>1.4123622819733823</v>
      </c>
      <c r="K26" s="348">
        <f t="shared" si="8"/>
        <v>1.0000001664280411</v>
      </c>
      <c r="L26" s="349">
        <f t="shared" si="9"/>
        <v>5.769367694359659E-4</v>
      </c>
      <c r="M26" s="337">
        <f t="shared" si="10"/>
        <v>1.0000000000044731</v>
      </c>
      <c r="N26" s="340">
        <f t="shared" si="11"/>
        <v>2.9910121195801988E-6</v>
      </c>
      <c r="O26" s="341">
        <f t="shared" si="12"/>
        <v>0.99999999999033573</v>
      </c>
      <c r="P26" s="342">
        <f t="shared" si="13"/>
        <v>7.4959615123042049E-7</v>
      </c>
      <c r="Q26" s="343">
        <f t="shared" si="14"/>
        <v>81.116702722318323</v>
      </c>
      <c r="R26" s="344">
        <f t="shared" si="15"/>
        <v>-80.910578135419129</v>
      </c>
      <c r="S26" s="346">
        <f t="shared" si="16"/>
        <v>99.089421864580871</v>
      </c>
      <c r="U26" s="319">
        <f t="shared" si="23"/>
        <v>1000000000</v>
      </c>
      <c r="V26" s="319">
        <f t="shared" si="24"/>
        <v>10.964707690000001</v>
      </c>
      <c r="X26" s="345">
        <f t="shared" si="17"/>
        <v>81.667827670040481</v>
      </c>
      <c r="Y26" s="346">
        <f t="shared" si="18"/>
        <v>-80.889513323406788</v>
      </c>
      <c r="AA26" s="345">
        <f t="shared" si="19"/>
        <v>35.459049015879316</v>
      </c>
      <c r="AB26" s="346">
        <f t="shared" si="20"/>
        <v>-2.1064812012360792E-2</v>
      </c>
      <c r="AD26">
        <f t="shared" si="25"/>
        <v>0</v>
      </c>
      <c r="AE26">
        <f t="shared" si="21"/>
        <v>0</v>
      </c>
    </row>
    <row r="27" spans="1:31" x14ac:dyDescent="0.2">
      <c r="A27" s="347">
        <v>3.6307999999999998</v>
      </c>
      <c r="B27" s="364">
        <f t="shared" si="22"/>
        <v>3.6308E-3</v>
      </c>
      <c r="C27" s="337">
        <f t="shared" si="0"/>
        <v>1.0000000810098146</v>
      </c>
      <c r="D27" s="338">
        <f t="shared" si="1"/>
        <v>4.0251660621575344E-4</v>
      </c>
      <c r="E27" s="338">
        <f t="shared" si="2"/>
        <v>1.0000000000000231</v>
      </c>
      <c r="F27" s="339">
        <f t="shared" si="3"/>
        <v>2.1444209836005274E-7</v>
      </c>
      <c r="G27" s="338">
        <f t="shared" si="4"/>
        <v>1</v>
      </c>
      <c r="H27" s="339">
        <f t="shared" si="5"/>
        <v>0</v>
      </c>
      <c r="I27" s="337">
        <f t="shared" si="6"/>
        <v>6.9352538468687372</v>
      </c>
      <c r="J27" s="340">
        <f t="shared" si="7"/>
        <v>1.4261011195393398</v>
      </c>
      <c r="K27" s="348">
        <f t="shared" si="8"/>
        <v>1.0000002000940107</v>
      </c>
      <c r="L27" s="349">
        <f t="shared" si="9"/>
        <v>6.3260410577530403E-4</v>
      </c>
      <c r="M27" s="337">
        <f t="shared" si="10"/>
        <v>1.0000000000053779</v>
      </c>
      <c r="N27" s="340">
        <f t="shared" si="11"/>
        <v>3.2796082516731289E-6</v>
      </c>
      <c r="O27" s="341">
        <f t="shared" si="12"/>
        <v>0.99999999998838063</v>
      </c>
      <c r="P27" s="342">
        <f t="shared" si="13"/>
        <v>8.2192302294953123E-7</v>
      </c>
      <c r="Q27" s="343">
        <f t="shared" si="14"/>
        <v>80.334853834156362</v>
      </c>
      <c r="R27" s="344">
        <f t="shared" si="15"/>
        <v>-81.696615072998767</v>
      </c>
      <c r="S27" s="346">
        <f t="shared" si="16"/>
        <v>98.303384927001233</v>
      </c>
      <c r="U27" s="319">
        <f t="shared" si="23"/>
        <v>1000000000</v>
      </c>
      <c r="V27" s="319">
        <f t="shared" si="24"/>
        <v>13.182708639999998</v>
      </c>
      <c r="X27" s="345">
        <f t="shared" si="17"/>
        <v>80.885978900249853</v>
      </c>
      <c r="Y27" s="346">
        <f t="shared" si="18"/>
        <v>-81.673517764159158</v>
      </c>
      <c r="AA27" s="345">
        <f t="shared" si="19"/>
        <v>35.459048897507984</v>
      </c>
      <c r="AB27" s="346">
        <f t="shared" si="20"/>
        <v>-2.3097308839598197E-2</v>
      </c>
      <c r="AD27">
        <f t="shared" si="25"/>
        <v>0</v>
      </c>
      <c r="AE27">
        <f t="shared" si="21"/>
        <v>0</v>
      </c>
    </row>
    <row r="28" spans="1:31" x14ac:dyDescent="0.2">
      <c r="A28" s="347">
        <v>3.9811000000000001</v>
      </c>
      <c r="B28" s="364">
        <f t="shared" si="22"/>
        <v>3.9811000000000004E-3</v>
      </c>
      <c r="C28" s="337">
        <f t="shared" si="0"/>
        <v>1.000000097395559</v>
      </c>
      <c r="D28" s="338">
        <f t="shared" si="1"/>
        <v>4.4135144968066264E-4</v>
      </c>
      <c r="E28" s="338">
        <f t="shared" si="2"/>
        <v>1.0000000000000275</v>
      </c>
      <c r="F28" s="339">
        <f t="shared" si="3"/>
        <v>2.3513149657959769E-7</v>
      </c>
      <c r="G28" s="338">
        <f t="shared" si="4"/>
        <v>1</v>
      </c>
      <c r="H28" s="339">
        <f t="shared" si="5"/>
        <v>0</v>
      </c>
      <c r="I28" s="337">
        <f t="shared" si="6"/>
        <v>7.5910567784105254</v>
      </c>
      <c r="J28" s="340">
        <f t="shared" si="7"/>
        <v>1.4386783413463997</v>
      </c>
      <c r="K28" s="348">
        <f t="shared" si="8"/>
        <v>1.0000002405667496</v>
      </c>
      <c r="L28" s="349">
        <f t="shared" si="9"/>
        <v>6.9363780366569908E-4</v>
      </c>
      <c r="M28" s="337">
        <f t="shared" si="10"/>
        <v>1.0000000000064657</v>
      </c>
      <c r="N28" s="340">
        <f t="shared" si="11"/>
        <v>3.5960252315540452E-6</v>
      </c>
      <c r="O28" s="341">
        <f t="shared" si="12"/>
        <v>0.99999999998603051</v>
      </c>
      <c r="P28" s="342">
        <f t="shared" si="13"/>
        <v>9.012222503779177E-7</v>
      </c>
      <c r="Q28" s="343">
        <f t="shared" si="14"/>
        <v>79.550056485582516</v>
      </c>
      <c r="R28" s="344">
        <f t="shared" si="15"/>
        <v>-82.41598638814996</v>
      </c>
      <c r="S28" s="346">
        <f t="shared" si="16"/>
        <v>97.58401361185004</v>
      </c>
      <c r="U28" s="319">
        <f t="shared" si="23"/>
        <v>1000000000</v>
      </c>
      <c r="V28" s="319">
        <f t="shared" si="24"/>
        <v>15.849157210000001</v>
      </c>
      <c r="X28" s="345">
        <f t="shared" si="17"/>
        <v>80.101181693980294</v>
      </c>
      <c r="Y28" s="346">
        <f t="shared" si="18"/>
        <v>-82.390660648583378</v>
      </c>
      <c r="AA28" s="345">
        <f t="shared" si="19"/>
        <v>35.459048755203682</v>
      </c>
      <c r="AB28" s="346">
        <f t="shared" si="20"/>
        <v>-2.5325739566586701E-2</v>
      </c>
      <c r="AD28">
        <f t="shared" si="25"/>
        <v>0</v>
      </c>
      <c r="AE28">
        <f t="shared" si="21"/>
        <v>0</v>
      </c>
    </row>
    <row r="29" spans="1:31" x14ac:dyDescent="0.2">
      <c r="A29" s="347">
        <v>4.3651999999999997</v>
      </c>
      <c r="B29" s="364">
        <f t="shared" si="22"/>
        <v>4.3651999999999996E-3</v>
      </c>
      <c r="C29" s="337">
        <f t="shared" si="0"/>
        <v>1.0000001170957871</v>
      </c>
      <c r="D29" s="338">
        <f t="shared" si="1"/>
        <v>4.8393341610188735E-4</v>
      </c>
      <c r="E29" s="338">
        <f t="shared" si="2"/>
        <v>1.0000000000000333</v>
      </c>
      <c r="F29" s="339">
        <f t="shared" si="3"/>
        <v>2.5781718843265827E-7</v>
      </c>
      <c r="G29" s="338">
        <f t="shared" si="4"/>
        <v>1</v>
      </c>
      <c r="H29" s="339">
        <f t="shared" si="5"/>
        <v>0</v>
      </c>
      <c r="I29" s="337">
        <f t="shared" si="6"/>
        <v>8.311289044021315</v>
      </c>
      <c r="J29" s="340">
        <f t="shared" si="7"/>
        <v>1.4501858418022844</v>
      </c>
      <c r="K29" s="348">
        <f t="shared" si="8"/>
        <v>1.0000002892262518</v>
      </c>
      <c r="L29" s="349">
        <f t="shared" si="9"/>
        <v>7.6056055922697373E-4</v>
      </c>
      <c r="M29" s="337">
        <f t="shared" si="10"/>
        <v>1.0000000000077736</v>
      </c>
      <c r="N29" s="340">
        <f t="shared" si="11"/>
        <v>3.942972882059238E-6</v>
      </c>
      <c r="O29" s="341">
        <f t="shared" si="12"/>
        <v>0.99999999998320477</v>
      </c>
      <c r="P29" s="342">
        <f t="shared" si="13"/>
        <v>9.8817295907184192E-7</v>
      </c>
      <c r="Q29" s="343">
        <f t="shared" si="14"/>
        <v>78.762733810191619</v>
      </c>
      <c r="R29" s="344">
        <f t="shared" si="15"/>
        <v>-83.073946534031435</v>
      </c>
      <c r="S29" s="346">
        <f t="shared" si="16"/>
        <v>96.926053465968565</v>
      </c>
      <c r="U29" s="319">
        <f t="shared" si="23"/>
        <v>1000000000</v>
      </c>
      <c r="V29" s="319">
        <f t="shared" si="24"/>
        <v>19.054971039999998</v>
      </c>
      <c r="X29" s="345">
        <f t="shared" si="17"/>
        <v>79.313859189678794</v>
      </c>
      <c r="Y29" s="346">
        <f t="shared" si="18"/>
        <v>-83.046177345388514</v>
      </c>
      <c r="AA29" s="345">
        <f t="shared" si="19"/>
        <v>35.459048584114285</v>
      </c>
      <c r="AB29" s="346">
        <f t="shared" si="20"/>
        <v>-2.7769188642918032E-2</v>
      </c>
      <c r="AD29">
        <f t="shared" si="25"/>
        <v>0</v>
      </c>
      <c r="AE29">
        <f t="shared" si="21"/>
        <v>0</v>
      </c>
    </row>
    <row r="30" spans="1:31" x14ac:dyDescent="0.2">
      <c r="A30" s="347">
        <v>4.7862999999999998</v>
      </c>
      <c r="B30" s="364">
        <f t="shared" si="22"/>
        <v>4.7862999999999994E-3</v>
      </c>
      <c r="C30" s="337">
        <f t="shared" si="0"/>
        <v>1.000000140777356</v>
      </c>
      <c r="D30" s="338">
        <f t="shared" si="1"/>
        <v>5.3061726219192013E-4</v>
      </c>
      <c r="E30" s="338">
        <f t="shared" si="2"/>
        <v>1.00000000000004</v>
      </c>
      <c r="F30" s="339">
        <f t="shared" si="3"/>
        <v>2.8268817213305849E-7</v>
      </c>
      <c r="G30" s="338">
        <f t="shared" si="4"/>
        <v>1</v>
      </c>
      <c r="H30" s="339">
        <f t="shared" si="5"/>
        <v>0</v>
      </c>
      <c r="I30" s="337">
        <f t="shared" si="6"/>
        <v>9.1019554669692155</v>
      </c>
      <c r="J30" s="340">
        <f t="shared" si="7"/>
        <v>1.4607075898177355</v>
      </c>
      <c r="K30" s="348">
        <f t="shared" si="8"/>
        <v>1.000000347719652</v>
      </c>
      <c r="L30" s="349">
        <f t="shared" si="9"/>
        <v>8.3392991447666731E-4</v>
      </c>
      <c r="M30" s="337">
        <f t="shared" si="10"/>
        <v>1.0000000000093456</v>
      </c>
      <c r="N30" s="340">
        <f t="shared" si="11"/>
        <v>4.3233416808806807E-6</v>
      </c>
      <c r="O30" s="341">
        <f t="shared" si="12"/>
        <v>0.99999999997980815</v>
      </c>
      <c r="P30" s="342">
        <f t="shared" si="13"/>
        <v>1.0834995496247089E-6</v>
      </c>
      <c r="Q30" s="343">
        <f t="shared" si="14"/>
        <v>77.97340770948891</v>
      </c>
      <c r="R30" s="344">
        <f t="shared" si="15"/>
        <v>-83.675295152390817</v>
      </c>
      <c r="S30" s="346">
        <f t="shared" si="16"/>
        <v>96.324704847609183</v>
      </c>
      <c r="U30" s="319">
        <f t="shared" si="23"/>
        <v>1000000000</v>
      </c>
      <c r="V30" s="319">
        <f t="shared" si="24"/>
        <v>22.908667689999998</v>
      </c>
      <c r="X30" s="345">
        <f t="shared" si="17"/>
        <v>78.524533294641998</v>
      </c>
      <c r="Y30" s="346">
        <f t="shared" si="18"/>
        <v>-83.644847139583533</v>
      </c>
      <c r="AA30" s="345">
        <f t="shared" si="19"/>
        <v>35.459048378448379</v>
      </c>
      <c r="AB30" s="346">
        <f t="shared" si="20"/>
        <v>-3.04480128072919E-2</v>
      </c>
      <c r="AD30">
        <f t="shared" si="25"/>
        <v>0</v>
      </c>
      <c r="AE30">
        <f t="shared" si="21"/>
        <v>0</v>
      </c>
    </row>
    <row r="31" spans="1:31" x14ac:dyDescent="0.2">
      <c r="A31" s="347">
        <v>5.2481</v>
      </c>
      <c r="B31" s="364">
        <f t="shared" si="22"/>
        <v>5.2481000000000003E-3</v>
      </c>
      <c r="C31" s="337">
        <f t="shared" si="0"/>
        <v>1.0000001692533094</v>
      </c>
      <c r="D31" s="338">
        <f t="shared" si="1"/>
        <v>5.8181317528031016E-4</v>
      </c>
      <c r="E31" s="338">
        <f t="shared" si="2"/>
        <v>1.000000000000048</v>
      </c>
      <c r="F31" s="339">
        <f t="shared" si="3"/>
        <v>3.0996297686553209E-7</v>
      </c>
      <c r="G31" s="338">
        <f t="shared" si="4"/>
        <v>1</v>
      </c>
      <c r="H31" s="339">
        <f t="shared" si="5"/>
        <v>0</v>
      </c>
      <c r="I31" s="337">
        <f t="shared" si="6"/>
        <v>9.9700068374396924</v>
      </c>
      <c r="J31" s="340">
        <f t="shared" si="7"/>
        <v>1.4703265515674078</v>
      </c>
      <c r="K31" s="348">
        <f t="shared" si="8"/>
        <v>1.0000004180551634</v>
      </c>
      <c r="L31" s="349">
        <f t="shared" si="9"/>
        <v>9.1439052690956519E-4</v>
      </c>
      <c r="M31" s="337">
        <f t="shared" si="10"/>
        <v>1.0000000000112359</v>
      </c>
      <c r="N31" s="340">
        <f t="shared" si="11"/>
        <v>4.7404737428496558E-6</v>
      </c>
      <c r="O31" s="341">
        <f t="shared" si="12"/>
        <v>0.99999999997572386</v>
      </c>
      <c r="P31" s="342">
        <f t="shared" si="13"/>
        <v>1.1880396102226945E-6</v>
      </c>
      <c r="Q31" s="343">
        <f t="shared" si="14"/>
        <v>77.182193076230291</v>
      </c>
      <c r="R31" s="344">
        <f t="shared" si="15"/>
        <v>-84.224772647691239</v>
      </c>
      <c r="S31" s="346">
        <f t="shared" si="16"/>
        <v>95.775227352308761</v>
      </c>
      <c r="U31" s="319">
        <f t="shared" si="23"/>
        <v>1000000000</v>
      </c>
      <c r="V31" s="319">
        <f t="shared" si="24"/>
        <v>27.542553609999999</v>
      </c>
      <c r="X31" s="345">
        <f t="shared" si="17"/>
        <v>77.733318908686783</v>
      </c>
      <c r="Y31" s="346">
        <f t="shared" si="18"/>
        <v>-84.191386898159237</v>
      </c>
      <c r="AA31" s="345">
        <f t="shared" si="19"/>
        <v>35.459048131144975</v>
      </c>
      <c r="AB31" s="346">
        <f t="shared" si="20"/>
        <v>-3.3385749531996169E-2</v>
      </c>
      <c r="AD31">
        <f t="shared" si="25"/>
        <v>0</v>
      </c>
      <c r="AE31">
        <f t="shared" si="21"/>
        <v>0</v>
      </c>
    </row>
    <row r="32" spans="1:31" x14ac:dyDescent="0.2">
      <c r="A32" s="347">
        <v>5.7544000000000004</v>
      </c>
      <c r="B32" s="364">
        <f t="shared" si="22"/>
        <v>5.7544000000000007E-3</v>
      </c>
      <c r="C32" s="337">
        <f t="shared" si="0"/>
        <v>1.0000002034853055</v>
      </c>
      <c r="D32" s="338">
        <f t="shared" si="1"/>
        <v>6.3794242857939795E-4</v>
      </c>
      <c r="E32" s="338">
        <f t="shared" si="2"/>
        <v>1.0000000000000577</v>
      </c>
      <c r="F32" s="339">
        <f t="shared" si="3"/>
        <v>3.3986603800899497E-7</v>
      </c>
      <c r="G32" s="338">
        <f t="shared" si="4"/>
        <v>1</v>
      </c>
      <c r="H32" s="339">
        <f t="shared" si="5"/>
        <v>0</v>
      </c>
      <c r="I32" s="337">
        <f t="shared" si="6"/>
        <v>10.922588843903968</v>
      </c>
      <c r="J32" s="340">
        <f t="shared" si="7"/>
        <v>1.4791145548364248</v>
      </c>
      <c r="K32" s="348">
        <f t="shared" si="8"/>
        <v>1.0000005026080783</v>
      </c>
      <c r="L32" s="349">
        <f t="shared" si="9"/>
        <v>1.0026044761818399E-3</v>
      </c>
      <c r="M32" s="337">
        <f t="shared" si="10"/>
        <v>1.0000000000135085</v>
      </c>
      <c r="N32" s="340">
        <f t="shared" si="11"/>
        <v>5.1978015102251746E-6</v>
      </c>
      <c r="O32" s="341">
        <f t="shared" si="12"/>
        <v>0.9999999999708139</v>
      </c>
      <c r="P32" s="342">
        <f t="shared" si="13"/>
        <v>1.3026533665706381E-6</v>
      </c>
      <c r="Q32" s="343">
        <f t="shared" si="14"/>
        <v>76.389590917760174</v>
      </c>
      <c r="R32" s="344">
        <f t="shared" si="15"/>
        <v>-84.726480884776379</v>
      </c>
      <c r="S32" s="346">
        <f t="shared" si="16"/>
        <v>95.273519115223621</v>
      </c>
      <c r="U32" s="319">
        <f t="shared" si="23"/>
        <v>1000000000</v>
      </c>
      <c r="V32" s="319">
        <f t="shared" si="24"/>
        <v>33.113119360000006</v>
      </c>
      <c r="X32" s="345">
        <f t="shared" si="17"/>
        <v>76.940717047509224</v>
      </c>
      <c r="Y32" s="346">
        <f t="shared" si="18"/>
        <v>-84.689874312354135</v>
      </c>
      <c r="AA32" s="345">
        <f t="shared" si="19"/>
        <v>35.459047833852416</v>
      </c>
      <c r="AB32" s="346">
        <f t="shared" si="20"/>
        <v>-3.6606572422249808E-2</v>
      </c>
      <c r="AD32">
        <f t="shared" si="25"/>
        <v>0</v>
      </c>
      <c r="AE32">
        <f t="shared" si="21"/>
        <v>0</v>
      </c>
    </row>
    <row r="33" spans="1:31" x14ac:dyDescent="0.2">
      <c r="A33" s="347">
        <v>6.3095999999999997</v>
      </c>
      <c r="B33" s="364">
        <f t="shared" si="22"/>
        <v>6.3095999999999994E-3</v>
      </c>
      <c r="C33" s="337">
        <f t="shared" si="0"/>
        <v>1.0000002446451468</v>
      </c>
      <c r="D33" s="338">
        <f t="shared" si="1"/>
        <v>6.9949281192037069E-4</v>
      </c>
      <c r="E33" s="338">
        <f t="shared" si="2"/>
        <v>1.0000000000000693</v>
      </c>
      <c r="F33" s="339">
        <f t="shared" si="3"/>
        <v>3.7265722810745476E-7</v>
      </c>
      <c r="G33" s="338">
        <f t="shared" si="4"/>
        <v>1</v>
      </c>
      <c r="H33" s="339">
        <f t="shared" si="5"/>
        <v>0</v>
      </c>
      <c r="I33" s="337">
        <f t="shared" si="6"/>
        <v>11.967981951895322</v>
      </c>
      <c r="J33" s="340">
        <f t="shared" si="7"/>
        <v>1.487142517524128</v>
      </c>
      <c r="K33" s="348">
        <f t="shared" si="8"/>
        <v>1.0000006042727412</v>
      </c>
      <c r="L33" s="349">
        <f t="shared" si="9"/>
        <v>1.0993383800502405E-3</v>
      </c>
      <c r="M33" s="337">
        <f t="shared" si="10"/>
        <v>1.000000000016241</v>
      </c>
      <c r="N33" s="340">
        <f t="shared" si="11"/>
        <v>5.6992993898333475E-6</v>
      </c>
      <c r="O33" s="341">
        <f t="shared" si="12"/>
        <v>0.99999999996491029</v>
      </c>
      <c r="P33" s="342">
        <f t="shared" si="13"/>
        <v>1.428336869484758E-6</v>
      </c>
      <c r="Q33" s="343">
        <f t="shared" si="14"/>
        <v>75.595684650111991</v>
      </c>
      <c r="R33" s="344">
        <f t="shared" si="15"/>
        <v>-85.184467454208374</v>
      </c>
      <c r="S33" s="346">
        <f t="shared" si="16"/>
        <v>94.815532545791626</v>
      </c>
      <c r="U33" s="319">
        <f t="shared" si="23"/>
        <v>1000000000</v>
      </c>
      <c r="V33" s="319">
        <f t="shared" si="24"/>
        <v>39.811052159999996</v>
      </c>
      <c r="X33" s="345">
        <f t="shared" si="17"/>
        <v>76.146811137319418</v>
      </c>
      <c r="Y33" s="346">
        <f t="shared" si="18"/>
        <v>-85.144328982251764</v>
      </c>
      <c r="AA33" s="345">
        <f t="shared" si="19"/>
        <v>35.459047476394041</v>
      </c>
      <c r="AB33" s="346">
        <f t="shared" si="20"/>
        <v>-4.013847195660921E-2</v>
      </c>
      <c r="AD33">
        <f t="shared" si="25"/>
        <v>0</v>
      </c>
      <c r="AE33">
        <f t="shared" si="21"/>
        <v>0</v>
      </c>
    </row>
    <row r="34" spans="1:31" x14ac:dyDescent="0.2">
      <c r="A34" s="347">
        <v>6.9183000000000003</v>
      </c>
      <c r="B34" s="364">
        <f t="shared" si="22"/>
        <v>6.9183000000000005E-3</v>
      </c>
      <c r="C34" s="337">
        <f t="shared" si="0"/>
        <v>1.0000002941248505</v>
      </c>
      <c r="D34" s="338">
        <f t="shared" si="1"/>
        <v>7.6697428697180148E-4</v>
      </c>
      <c r="E34" s="338">
        <f t="shared" si="2"/>
        <v>1.0000000000000835</v>
      </c>
      <c r="F34" s="339">
        <f t="shared" si="3"/>
        <v>4.0860823209328331E-7</v>
      </c>
      <c r="G34" s="338">
        <f t="shared" si="4"/>
        <v>1</v>
      </c>
      <c r="H34" s="339">
        <f t="shared" si="5"/>
        <v>0</v>
      </c>
      <c r="I34" s="337">
        <f t="shared" si="6"/>
        <v>13.114849120793851</v>
      </c>
      <c r="J34" s="340">
        <f t="shared" si="7"/>
        <v>1.4944727998416214</v>
      </c>
      <c r="K34" s="348">
        <f t="shared" si="8"/>
        <v>1.0000007264874269</v>
      </c>
      <c r="L34" s="349">
        <f t="shared" si="9"/>
        <v>1.2053937008730219E-3</v>
      </c>
      <c r="M34" s="337">
        <f t="shared" si="10"/>
        <v>1.0000000000195257</v>
      </c>
      <c r="N34" s="340">
        <f t="shared" si="11"/>
        <v>6.2491224433557922E-6</v>
      </c>
      <c r="O34" s="341">
        <f t="shared" si="12"/>
        <v>0.9999999999578133</v>
      </c>
      <c r="P34" s="342">
        <f t="shared" si="13"/>
        <v>1.5661314448185638E-6</v>
      </c>
      <c r="Q34" s="343">
        <f t="shared" si="14"/>
        <v>74.80083782106108</v>
      </c>
      <c r="R34" s="344">
        <f t="shared" si="15"/>
        <v>-85.602288913302516</v>
      </c>
      <c r="S34" s="346">
        <f t="shared" si="16"/>
        <v>94.397711086697484</v>
      </c>
      <c r="U34" s="319">
        <f t="shared" si="23"/>
        <v>1000000000</v>
      </c>
      <c r="V34" s="319">
        <f t="shared" si="24"/>
        <v>47.862874890000008</v>
      </c>
      <c r="X34" s="345">
        <f t="shared" si="17"/>
        <v>75.351964737981874</v>
      </c>
      <c r="Y34" s="346">
        <f t="shared" si="18"/>
        <v>-85.558278202418919</v>
      </c>
      <c r="AA34" s="345">
        <f t="shared" si="19"/>
        <v>35.459047046680674</v>
      </c>
      <c r="AB34" s="346">
        <f t="shared" si="20"/>
        <v>-4.4010710883607015E-2</v>
      </c>
      <c r="AD34">
        <f t="shared" si="25"/>
        <v>0</v>
      </c>
      <c r="AE34">
        <f t="shared" si="21"/>
        <v>0</v>
      </c>
    </row>
    <row r="35" spans="1:31" x14ac:dyDescent="0.2">
      <c r="A35" s="347">
        <v>7.5857999999999999</v>
      </c>
      <c r="B35" s="364">
        <f t="shared" si="22"/>
        <v>7.5858000000000002E-3</v>
      </c>
      <c r="C35" s="337">
        <f t="shared" si="0"/>
        <v>1.00000035361909</v>
      </c>
      <c r="D35" s="338">
        <f t="shared" si="1"/>
        <v>8.4097441789860556E-4</v>
      </c>
      <c r="E35" s="338">
        <f t="shared" si="2"/>
        <v>1.0000000000001004</v>
      </c>
      <c r="F35" s="339">
        <f t="shared" si="3"/>
        <v>4.4803207825812608E-7</v>
      </c>
      <c r="G35" s="338">
        <f t="shared" si="4"/>
        <v>1</v>
      </c>
      <c r="H35" s="339">
        <f t="shared" si="5"/>
        <v>0</v>
      </c>
      <c r="I35" s="337">
        <f t="shared" si="6"/>
        <v>14.37317741742115</v>
      </c>
      <c r="J35" s="340">
        <f t="shared" si="7"/>
        <v>1.5011660362099364</v>
      </c>
      <c r="K35" s="348">
        <f t="shared" si="8"/>
        <v>1.0000008734379673</v>
      </c>
      <c r="L35" s="349">
        <f t="shared" si="9"/>
        <v>1.3216938612498497E-3</v>
      </c>
      <c r="M35" s="337">
        <f t="shared" si="10"/>
        <v>1.0000000000234754</v>
      </c>
      <c r="N35" s="340">
        <f t="shared" si="11"/>
        <v>6.8520580244689515E-6</v>
      </c>
      <c r="O35" s="341">
        <f t="shared" si="12"/>
        <v>0.99999999994927991</v>
      </c>
      <c r="P35" s="342">
        <f t="shared" si="13"/>
        <v>1.7172368810556097E-6</v>
      </c>
      <c r="Q35" s="343">
        <f t="shared" si="14"/>
        <v>74.00504882563294</v>
      </c>
      <c r="R35" s="344">
        <f t="shared" si="15"/>
        <v>-85.983400440313048</v>
      </c>
      <c r="S35" s="346">
        <f t="shared" si="16"/>
        <v>94.016599559686952</v>
      </c>
      <c r="U35" s="319">
        <f t="shared" si="23"/>
        <v>1000000000</v>
      </c>
      <c r="V35" s="319">
        <f t="shared" si="24"/>
        <v>57.544361639999998</v>
      </c>
      <c r="X35" s="345">
        <f t="shared" si="17"/>
        <v>74.556176259239692</v>
      </c>
      <c r="Y35" s="346">
        <f t="shared" si="18"/>
        <v>-85.9351434353553</v>
      </c>
      <c r="AA35" s="345">
        <f t="shared" si="19"/>
        <v>35.459046529994708</v>
      </c>
      <c r="AB35" s="346">
        <f t="shared" si="20"/>
        <v>-4.8257004957740948E-2</v>
      </c>
      <c r="AD35">
        <f t="shared" si="25"/>
        <v>0</v>
      </c>
      <c r="AE35">
        <f t="shared" si="21"/>
        <v>0</v>
      </c>
    </row>
    <row r="36" spans="1:31" x14ac:dyDescent="0.2">
      <c r="A36" s="347">
        <v>8.3176000000000005</v>
      </c>
      <c r="B36" s="364">
        <f t="shared" si="22"/>
        <v>8.3176000000000014E-3</v>
      </c>
      <c r="C36" s="337">
        <f t="shared" si="0"/>
        <v>1.0000004251370669</v>
      </c>
      <c r="D36" s="338">
        <f t="shared" si="1"/>
        <v>9.221029403367715E-4</v>
      </c>
      <c r="E36" s="338">
        <f t="shared" si="2"/>
        <v>1.0000000000001208</v>
      </c>
      <c r="F36" s="339">
        <f t="shared" si="3"/>
        <v>4.9125360728199253E-7</v>
      </c>
      <c r="G36" s="338">
        <f t="shared" si="4"/>
        <v>1</v>
      </c>
      <c r="H36" s="339">
        <f t="shared" si="5"/>
        <v>0</v>
      </c>
      <c r="I36" s="337">
        <f t="shared" si="6"/>
        <v>15.753335978514068</v>
      </c>
      <c r="J36" s="340">
        <f t="shared" si="7"/>
        <v>1.5072749995508359</v>
      </c>
      <c r="K36" s="348">
        <f t="shared" si="8"/>
        <v>1.0000010500870753</v>
      </c>
      <c r="L36" s="349">
        <f t="shared" si="9"/>
        <v>1.449197126959915E-3</v>
      </c>
      <c r="M36" s="337">
        <f t="shared" si="10"/>
        <v>1.0000000000282232</v>
      </c>
      <c r="N36" s="340">
        <f t="shared" si="11"/>
        <v>7.5130741417045741E-6</v>
      </c>
      <c r="O36" s="341">
        <f t="shared" si="12"/>
        <v>0.99999999993902211</v>
      </c>
      <c r="P36" s="342">
        <f t="shared" si="13"/>
        <v>1.8828982417169021E-6</v>
      </c>
      <c r="Q36" s="343">
        <f t="shared" si="14"/>
        <v>73.20865475660365</v>
      </c>
      <c r="R36" s="344">
        <f t="shared" si="15"/>
        <v>-86.330806068997504</v>
      </c>
      <c r="S36" s="346">
        <f t="shared" si="16"/>
        <v>93.669193931002496</v>
      </c>
      <c r="U36" s="319">
        <f t="shared" si="23"/>
        <v>1000000000</v>
      </c>
      <c r="V36" s="319">
        <f t="shared" si="24"/>
        <v>69.182469760000004</v>
      </c>
      <c r="X36" s="345">
        <f t="shared" si="17"/>
        <v>73.759782811318146</v>
      </c>
      <c r="Y36" s="346">
        <f t="shared" si="18"/>
        <v>-86.277893726815009</v>
      </c>
      <c r="AA36" s="345">
        <f t="shared" si="19"/>
        <v>35.459045908886971</v>
      </c>
      <c r="AB36" s="346">
        <f t="shared" si="20"/>
        <v>-5.2912342182496873E-2</v>
      </c>
      <c r="AD36">
        <f t="shared" si="25"/>
        <v>0</v>
      </c>
      <c r="AE36">
        <f t="shared" si="21"/>
        <v>0</v>
      </c>
    </row>
    <row r="37" spans="1:31" x14ac:dyDescent="0.2">
      <c r="A37" s="347">
        <v>9.1201000000000008</v>
      </c>
      <c r="B37" s="364">
        <f t="shared" si="22"/>
        <v>9.1201000000000008E-3</v>
      </c>
      <c r="C37" s="337">
        <f t="shared" si="0"/>
        <v>1.0000005111308474</v>
      </c>
      <c r="D37" s="338">
        <f t="shared" si="1"/>
        <v>1.0110693642452109E-3</v>
      </c>
      <c r="E37" s="338">
        <f t="shared" si="2"/>
        <v>1.0000000000001452</v>
      </c>
      <c r="F37" s="339">
        <f t="shared" si="3"/>
        <v>5.3865081559252995E-7</v>
      </c>
      <c r="G37" s="338">
        <f t="shared" si="4"/>
        <v>1</v>
      </c>
      <c r="H37" s="339">
        <f t="shared" si="5"/>
        <v>0</v>
      </c>
      <c r="I37" s="337">
        <f t="shared" si="6"/>
        <v>17.267395744884013</v>
      </c>
      <c r="J37" s="340">
        <f t="shared" si="7"/>
        <v>1.5128512933599967</v>
      </c>
      <c r="K37" s="348">
        <f t="shared" si="8"/>
        <v>1.0000012624913339</v>
      </c>
      <c r="L37" s="349">
        <f t="shared" si="9"/>
        <v>1.5890185685833922E-3</v>
      </c>
      <c r="M37" s="337">
        <f t="shared" si="10"/>
        <v>1.000000000033932</v>
      </c>
      <c r="N37" s="340">
        <f t="shared" si="11"/>
        <v>8.2379517504447341E-6</v>
      </c>
      <c r="O37" s="341">
        <f t="shared" si="12"/>
        <v>0.99999999992668798</v>
      </c>
      <c r="P37" s="342">
        <f t="shared" si="13"/>
        <v>2.064564327990788E-6</v>
      </c>
      <c r="Q37" s="343">
        <f t="shared" si="14"/>
        <v>72.411569713603186</v>
      </c>
      <c r="R37" s="344">
        <f t="shared" si="15"/>
        <v>-86.647439617534701</v>
      </c>
      <c r="S37" s="346">
        <f t="shared" si="16"/>
        <v>93.352560382465299</v>
      </c>
      <c r="U37" s="319">
        <f t="shared" si="23"/>
        <v>1000000000</v>
      </c>
      <c r="V37" s="319">
        <f t="shared" si="24"/>
        <v>83.176224010000013</v>
      </c>
      <c r="X37" s="345">
        <f t="shared" si="17"/>
        <v>72.962698515142478</v>
      </c>
      <c r="Y37" s="346">
        <f t="shared" si="18"/>
        <v>-86.589422181698012</v>
      </c>
      <c r="AA37" s="345">
        <f t="shared" si="19"/>
        <v>35.459045162062182</v>
      </c>
      <c r="AB37" s="346">
        <f t="shared" si="20"/>
        <v>-5.8017435836682903E-2</v>
      </c>
      <c r="AD37">
        <f t="shared" si="25"/>
        <v>0</v>
      </c>
      <c r="AE37">
        <f t="shared" si="21"/>
        <v>0</v>
      </c>
    </row>
    <row r="38" spans="1:31" x14ac:dyDescent="0.2">
      <c r="A38" s="347">
        <v>10</v>
      </c>
      <c r="B38" s="364">
        <f t="shared" si="22"/>
        <v>0.01</v>
      </c>
      <c r="C38" s="337">
        <f t="shared" si="0"/>
        <v>1.0000006145155387</v>
      </c>
      <c r="D38" s="338">
        <f t="shared" si="1"/>
        <v>1.1086164565730413E-3</v>
      </c>
      <c r="E38" s="338">
        <f t="shared" si="2"/>
        <v>1.0000000000001745</v>
      </c>
      <c r="F38" s="339">
        <f t="shared" si="3"/>
        <v>5.9061941819993136E-7</v>
      </c>
      <c r="G38" s="338">
        <f t="shared" si="4"/>
        <v>1</v>
      </c>
      <c r="H38" s="339">
        <f t="shared" si="5"/>
        <v>0</v>
      </c>
      <c r="I38" s="337">
        <f t="shared" si="6"/>
        <v>18.927998062955087</v>
      </c>
      <c r="J38" s="340">
        <f t="shared" si="7"/>
        <v>1.517939929535717</v>
      </c>
      <c r="K38" s="348">
        <f t="shared" si="8"/>
        <v>1.0000015178510298</v>
      </c>
      <c r="L38" s="349">
        <f t="shared" si="9"/>
        <v>1.7423255206296989E-3</v>
      </c>
      <c r="M38" s="337">
        <f t="shared" si="10"/>
        <v>1.0000000000407954</v>
      </c>
      <c r="N38" s="340">
        <f t="shared" si="11"/>
        <v>9.0327427883543373E-6</v>
      </c>
      <c r="O38" s="341">
        <f t="shared" si="12"/>
        <v>0.99999999991185928</v>
      </c>
      <c r="P38" s="342">
        <f t="shared" si="13"/>
        <v>2.263751853621889E-6</v>
      </c>
      <c r="Q38" s="343">
        <f t="shared" si="14"/>
        <v>71.614014227970188</v>
      </c>
      <c r="R38" s="344">
        <f t="shared" si="15"/>
        <v>-86.935856162777526</v>
      </c>
      <c r="S38" s="346">
        <f t="shared" si="16"/>
        <v>93.064143837222474</v>
      </c>
      <c r="U38" s="319">
        <f t="shared" si="23"/>
        <v>1000000000</v>
      </c>
      <c r="V38" s="319">
        <f t="shared" si="24"/>
        <v>100</v>
      </c>
      <c r="X38" s="345">
        <f t="shared" si="17"/>
        <v>72.165143927367922</v>
      </c>
      <c r="Y38" s="346">
        <f t="shared" si="18"/>
        <v>-86.872241255217347</v>
      </c>
      <c r="AA38" s="345">
        <f t="shared" si="19"/>
        <v>35.459044264203726</v>
      </c>
      <c r="AB38" s="346">
        <f t="shared" si="20"/>
        <v>-6.3614907560190323E-2</v>
      </c>
      <c r="AD38">
        <f t="shared" si="25"/>
        <v>0</v>
      </c>
      <c r="AE38">
        <f t="shared" si="21"/>
        <v>0</v>
      </c>
    </row>
    <row r="39" spans="1:31" x14ac:dyDescent="0.2">
      <c r="A39" s="347">
        <v>10.965</v>
      </c>
      <c r="B39" s="364">
        <f t="shared" si="22"/>
        <v>1.0964999999999999E-2</v>
      </c>
      <c r="C39" s="337">
        <f t="shared" si="0"/>
        <v>1.000000738839514</v>
      </c>
      <c r="D39" s="338">
        <f t="shared" si="1"/>
        <v>1.2155978438804147E-3</v>
      </c>
      <c r="E39" s="338">
        <f t="shared" si="2"/>
        <v>1.0000000000002096</v>
      </c>
      <c r="F39" s="339">
        <f t="shared" si="3"/>
        <v>6.476141920562095E-7</v>
      </c>
      <c r="G39" s="338">
        <f t="shared" si="4"/>
        <v>1</v>
      </c>
      <c r="H39" s="339">
        <f t="shared" si="5"/>
        <v>0</v>
      </c>
      <c r="I39" s="337">
        <f t="shared" si="6"/>
        <v>20.74967537834333</v>
      </c>
      <c r="J39" s="340">
        <f t="shared" si="7"/>
        <v>1.5225841263843842</v>
      </c>
      <c r="K39" s="348">
        <f t="shared" si="8"/>
        <v>1.0000018249306066</v>
      </c>
      <c r="L39" s="349">
        <f t="shared" si="9"/>
        <v>1.9104595422621657E-3</v>
      </c>
      <c r="M39" s="337">
        <f t="shared" si="10"/>
        <v>1.0000000000490485</v>
      </c>
      <c r="N39" s="340">
        <f t="shared" si="11"/>
        <v>9.9044024673760345E-6</v>
      </c>
      <c r="O39" s="341">
        <f t="shared" si="12"/>
        <v>0.99999999989402744</v>
      </c>
      <c r="P39" s="342">
        <f t="shared" si="13"/>
        <v>2.4822039075410923E-6</v>
      </c>
      <c r="Q39" s="343">
        <f t="shared" si="14"/>
        <v>70.815883338011304</v>
      </c>
      <c r="R39" s="344">
        <f t="shared" si="15"/>
        <v>-87.198504447122801</v>
      </c>
      <c r="S39" s="346">
        <f t="shared" si="16"/>
        <v>92.801495552877199</v>
      </c>
      <c r="U39" s="319">
        <f t="shared" si="23"/>
        <v>1000000000</v>
      </c>
      <c r="V39" s="319">
        <f t="shared" si="24"/>
        <v>120.23122499999999</v>
      </c>
      <c r="X39" s="345">
        <f t="shared" si="17"/>
        <v>71.367014117117449</v>
      </c>
      <c r="Y39" s="346">
        <f t="shared" si="18"/>
        <v>-87.12875070675571</v>
      </c>
      <c r="AA39" s="345">
        <f t="shared" si="19"/>
        <v>35.459043184495314</v>
      </c>
      <c r="AB39" s="346">
        <f t="shared" si="20"/>
        <v>-6.9753740367091158E-2</v>
      </c>
      <c r="AD39">
        <f t="shared" si="25"/>
        <v>0</v>
      </c>
      <c r="AE39">
        <f t="shared" si="21"/>
        <v>0</v>
      </c>
    </row>
    <row r="40" spans="1:31" x14ac:dyDescent="0.2">
      <c r="A40" s="347">
        <v>12.023</v>
      </c>
      <c r="B40" s="364">
        <f t="shared" si="22"/>
        <v>1.2022999999999999E-2</v>
      </c>
      <c r="C40" s="337">
        <f t="shared" si="0"/>
        <v>1.0000008882976306</v>
      </c>
      <c r="D40" s="338">
        <f t="shared" si="1"/>
        <v>1.3328893224570613E-3</v>
      </c>
      <c r="E40" s="338">
        <f t="shared" si="2"/>
        <v>1.0000000000002522</v>
      </c>
      <c r="F40" s="339">
        <f t="shared" si="3"/>
        <v>7.1010172650174071E-7</v>
      </c>
      <c r="G40" s="338">
        <f t="shared" si="4"/>
        <v>1</v>
      </c>
      <c r="H40" s="339">
        <f t="shared" si="5"/>
        <v>0</v>
      </c>
      <c r="I40" s="337">
        <f t="shared" si="6"/>
        <v>22.747341269059866</v>
      </c>
      <c r="J40" s="340">
        <f t="shared" si="7"/>
        <v>1.526820973095836</v>
      </c>
      <c r="K40" s="348">
        <f t="shared" si="8"/>
        <v>1.0000021940913082</v>
      </c>
      <c r="L40" s="349">
        <f t="shared" si="9"/>
        <v>2.0947970290634086E-3</v>
      </c>
      <c r="M40" s="337">
        <f t="shared" si="10"/>
        <v>1.0000000000589706</v>
      </c>
      <c r="N40" s="340">
        <f t="shared" si="11"/>
        <v>1.0860066654306829E-5</v>
      </c>
      <c r="O40" s="341">
        <f t="shared" si="12"/>
        <v>0.99999999987259036</v>
      </c>
      <c r="P40" s="342">
        <f t="shared" si="13"/>
        <v>2.721708853717511E-6</v>
      </c>
      <c r="Q40" s="343">
        <f t="shared" si="14"/>
        <v>70.017498516513243</v>
      </c>
      <c r="R40" s="344">
        <f t="shared" si="15"/>
        <v>-87.437481326976609</v>
      </c>
      <c r="S40" s="346">
        <f t="shared" si="16"/>
        <v>92.562518673023391</v>
      </c>
      <c r="U40" s="319">
        <f t="shared" si="23"/>
        <v>1000000000</v>
      </c>
      <c r="V40" s="319">
        <f t="shared" si="24"/>
        <v>144.55252899999999</v>
      </c>
      <c r="X40" s="345">
        <f t="shared" si="17"/>
        <v>70.568630593608475</v>
      </c>
      <c r="Y40" s="346">
        <f t="shared" si="18"/>
        <v>-87.360997137555955</v>
      </c>
      <c r="AA40" s="345">
        <f t="shared" si="19"/>
        <v>35.459041886506235</v>
      </c>
      <c r="AB40" s="346">
        <f t="shared" si="20"/>
        <v>-7.6484189420665302E-2</v>
      </c>
      <c r="AD40">
        <f t="shared" si="25"/>
        <v>0</v>
      </c>
      <c r="AE40">
        <f t="shared" si="21"/>
        <v>0</v>
      </c>
    </row>
    <row r="41" spans="1:31" x14ac:dyDescent="0.2">
      <c r="A41" s="347">
        <v>13.183</v>
      </c>
      <c r="B41" s="364">
        <f t="shared" si="22"/>
        <v>1.3183E-2</v>
      </c>
      <c r="C41" s="337">
        <f t="shared" si="0"/>
        <v>1.0000010679754625</v>
      </c>
      <c r="D41" s="338">
        <f t="shared" si="1"/>
        <v>1.4614886328827631E-3</v>
      </c>
      <c r="E41" s="338">
        <f t="shared" si="2"/>
        <v>1.0000000000003031</v>
      </c>
      <c r="F41" s="339">
        <f t="shared" si="3"/>
        <v>7.7861357901290272E-7</v>
      </c>
      <c r="G41" s="338">
        <f t="shared" si="4"/>
        <v>1</v>
      </c>
      <c r="H41" s="339">
        <f t="shared" si="5"/>
        <v>0</v>
      </c>
      <c r="I41" s="337">
        <f t="shared" si="6"/>
        <v>24.937989236756668</v>
      </c>
      <c r="J41" s="340">
        <f t="shared" si="7"/>
        <v>1.5306861086410755</v>
      </c>
      <c r="K41" s="348">
        <f t="shared" si="8"/>
        <v>1.0000026378944282</v>
      </c>
      <c r="L41" s="349">
        <f t="shared" si="9"/>
        <v>2.2969060187584896E-3</v>
      </c>
      <c r="M41" s="337">
        <f t="shared" si="10"/>
        <v>1.0000000000708986</v>
      </c>
      <c r="N41" s="340">
        <f t="shared" si="11"/>
        <v>1.1907864817648544E-5</v>
      </c>
      <c r="O41" s="341">
        <f t="shared" si="12"/>
        <v>0.99999999984681898</v>
      </c>
      <c r="P41" s="342">
        <f t="shared" si="13"/>
        <v>2.9843040688257168E-6</v>
      </c>
      <c r="Q41" s="343">
        <f t="shared" si="14"/>
        <v>69.218885011698205</v>
      </c>
      <c r="R41" s="344">
        <f t="shared" si="15"/>
        <v>-87.654796641407742</v>
      </c>
      <c r="S41" s="346">
        <f t="shared" si="16"/>
        <v>92.345203358592258</v>
      </c>
      <c r="U41" s="319">
        <f t="shared" si="23"/>
        <v>1000000000</v>
      </c>
      <c r="V41" s="319">
        <f t="shared" si="24"/>
        <v>173.79148899999998</v>
      </c>
      <c r="X41" s="345">
        <f t="shared" si="17"/>
        <v>69.770018649229442</v>
      </c>
      <c r="Y41" s="346">
        <f t="shared" si="18"/>
        <v>-87.570933134085422</v>
      </c>
      <c r="AA41" s="345">
        <f t="shared" si="19"/>
        <v>35.45904032607023</v>
      </c>
      <c r="AB41" s="346">
        <f t="shared" si="20"/>
        <v>-8.3863507322333344E-2</v>
      </c>
      <c r="AD41">
        <f t="shared" si="25"/>
        <v>0</v>
      </c>
      <c r="AE41">
        <f t="shared" si="21"/>
        <v>0</v>
      </c>
    </row>
    <row r="42" spans="1:31" x14ac:dyDescent="0.2">
      <c r="A42" s="347">
        <v>14.454000000000001</v>
      </c>
      <c r="B42" s="364">
        <f t="shared" si="22"/>
        <v>1.4454E-2</v>
      </c>
      <c r="C42" s="337">
        <f t="shared" si="0"/>
        <v>1.0000012838338561</v>
      </c>
      <c r="D42" s="338">
        <f t="shared" si="1"/>
        <v>1.6023935113234594E-3</v>
      </c>
      <c r="E42" s="338">
        <f t="shared" si="2"/>
        <v>1.0000000000003644</v>
      </c>
      <c r="F42" s="339">
        <f t="shared" si="3"/>
        <v>8.5368130706607273E-7</v>
      </c>
      <c r="G42" s="338">
        <f t="shared" si="4"/>
        <v>1</v>
      </c>
      <c r="H42" s="339">
        <f t="shared" si="5"/>
        <v>0</v>
      </c>
      <c r="I42" s="337">
        <f t="shared" si="6"/>
        <v>27.33861545624233</v>
      </c>
      <c r="J42" s="340">
        <f t="shared" si="7"/>
        <v>1.5342098679351048</v>
      </c>
      <c r="K42" s="348">
        <f t="shared" si="8"/>
        <v>1.0000031710631541</v>
      </c>
      <c r="L42" s="349">
        <f t="shared" si="9"/>
        <v>2.5183545319385791E-3</v>
      </c>
      <c r="M42" s="337">
        <f t="shared" si="10"/>
        <v>1.0000000000852287</v>
      </c>
      <c r="N42" s="340">
        <f t="shared" si="11"/>
        <v>1.3055926425900613E-5</v>
      </c>
      <c r="O42" s="341">
        <f t="shared" si="12"/>
        <v>0.99999999981585819</v>
      </c>
      <c r="P42" s="342">
        <f t="shared" si="13"/>
        <v>3.2720269295422404E-6</v>
      </c>
      <c r="Q42" s="343">
        <f t="shared" si="14"/>
        <v>68.420586105786768</v>
      </c>
      <c r="R42" s="344">
        <f t="shared" si="15"/>
        <v>-87.852156330190297</v>
      </c>
      <c r="S42" s="346">
        <f t="shared" si="16"/>
        <v>92.147843669809703</v>
      </c>
      <c r="U42" s="319">
        <f t="shared" si="23"/>
        <v>1000000000</v>
      </c>
      <c r="V42" s="319">
        <f t="shared" si="24"/>
        <v>208.91811600000003</v>
      </c>
      <c r="X42" s="345">
        <f t="shared" si="17"/>
        <v>68.971721617968527</v>
      </c>
      <c r="Y42" s="346">
        <f t="shared" si="18"/>
        <v>-87.760207383769682</v>
      </c>
      <c r="AA42" s="345">
        <f t="shared" si="19"/>
        <v>35.459038451419708</v>
      </c>
      <c r="AB42" s="346">
        <f t="shared" si="20"/>
        <v>-9.1948946420621527E-2</v>
      </c>
      <c r="AD42">
        <f t="shared" si="25"/>
        <v>0</v>
      </c>
      <c r="AE42">
        <f t="shared" si="21"/>
        <v>0</v>
      </c>
    </row>
    <row r="43" spans="1:31" x14ac:dyDescent="0.2">
      <c r="A43" s="347">
        <v>15.849</v>
      </c>
      <c r="B43" s="364">
        <f t="shared" si="22"/>
        <v>1.5848999999999999E-2</v>
      </c>
      <c r="C43" s="337">
        <f t="shared" si="0"/>
        <v>1.0000015436057865</v>
      </c>
      <c r="D43" s="338">
        <f t="shared" si="1"/>
        <v>1.7570451337208044E-3</v>
      </c>
      <c r="E43" s="338">
        <f t="shared" si="2"/>
        <v>1.0000000000004381</v>
      </c>
      <c r="F43" s="339">
        <f t="shared" si="3"/>
        <v>9.3607271590490673E-7</v>
      </c>
      <c r="G43" s="338">
        <f t="shared" si="4"/>
        <v>1</v>
      </c>
      <c r="H43" s="339">
        <f t="shared" si="5"/>
        <v>0</v>
      </c>
      <c r="I43" s="337">
        <f t="shared" si="6"/>
        <v>29.973774217149284</v>
      </c>
      <c r="J43" s="340">
        <f t="shared" si="7"/>
        <v>1.537427636048178</v>
      </c>
      <c r="K43" s="348">
        <f t="shared" si="8"/>
        <v>1.000003812697785</v>
      </c>
      <c r="L43" s="349">
        <f t="shared" si="9"/>
        <v>2.7614074929796857E-3</v>
      </c>
      <c r="M43" s="337">
        <f t="shared" si="10"/>
        <v>1.0000000001024738</v>
      </c>
      <c r="N43" s="340">
        <f t="shared" si="11"/>
        <v>1.4315994044674129E-5</v>
      </c>
      <c r="O43" s="341">
        <f t="shared" si="12"/>
        <v>0.99999999977859888</v>
      </c>
      <c r="P43" s="342">
        <f t="shared" si="13"/>
        <v>3.5878203132880794E-6</v>
      </c>
      <c r="Q43" s="343">
        <f t="shared" si="14"/>
        <v>67.621291116472136</v>
      </c>
      <c r="R43" s="344">
        <f t="shared" si="15"/>
        <v>-88.031541408623099</v>
      </c>
      <c r="S43" s="346">
        <f t="shared" si="16"/>
        <v>91.968458591376901</v>
      </c>
      <c r="U43" s="319">
        <f t="shared" si="23"/>
        <v>1000000000</v>
      </c>
      <c r="V43" s="319">
        <f t="shared" si="24"/>
        <v>251.19080099999999</v>
      </c>
      <c r="X43" s="345">
        <f t="shared" si="17"/>
        <v>68.172428884676762</v>
      </c>
      <c r="Y43" s="346">
        <f t="shared" si="18"/>
        <v>-87.930718203986032</v>
      </c>
      <c r="AA43" s="345">
        <f t="shared" si="19"/>
        <v>35.459036195396848</v>
      </c>
      <c r="AB43" s="346">
        <f t="shared" si="20"/>
        <v>-0.10082320463707277</v>
      </c>
      <c r="AD43">
        <f t="shared" si="25"/>
        <v>0</v>
      </c>
      <c r="AE43">
        <f t="shared" si="21"/>
        <v>0</v>
      </c>
    </row>
    <row r="44" spans="1:31" x14ac:dyDescent="0.2">
      <c r="A44" s="347">
        <v>17.378</v>
      </c>
      <c r="B44" s="364">
        <f t="shared" si="22"/>
        <v>1.7378000000000001E-2</v>
      </c>
      <c r="C44" s="337">
        <f t="shared" si="0"/>
        <v>1.0000018558043362</v>
      </c>
      <c r="D44" s="338">
        <f t="shared" si="1"/>
        <v>1.9265520839617356E-3</v>
      </c>
      <c r="E44" s="338">
        <f t="shared" si="2"/>
        <v>1.0000000000005267</v>
      </c>
      <c r="F44" s="339">
        <f t="shared" si="3"/>
        <v>1.0263784249475996E-6</v>
      </c>
      <c r="G44" s="338">
        <f t="shared" si="4"/>
        <v>1</v>
      </c>
      <c r="H44" s="339">
        <f t="shared" si="5"/>
        <v>0</v>
      </c>
      <c r="I44" s="337">
        <f t="shared" si="6"/>
        <v>32.862355915841121</v>
      </c>
      <c r="J44" s="340">
        <f t="shared" si="7"/>
        <v>1.5403616739275965</v>
      </c>
      <c r="K44" s="348">
        <f t="shared" si="8"/>
        <v>1.0000045838254299</v>
      </c>
      <c r="L44" s="349">
        <f t="shared" si="9"/>
        <v>3.0278071009717722E-3</v>
      </c>
      <c r="M44" s="337">
        <f t="shared" si="10"/>
        <v>1.0000000001231995</v>
      </c>
      <c r="N44" s="340">
        <f t="shared" si="11"/>
        <v>1.569710041673983E-5</v>
      </c>
      <c r="O44" s="341">
        <f t="shared" si="12"/>
        <v>0.9999999997338197</v>
      </c>
      <c r="P44" s="342">
        <f t="shared" si="13"/>
        <v>3.9339479719313036E-6</v>
      </c>
      <c r="Q44" s="343">
        <f t="shared" si="14"/>
        <v>66.822149835227322</v>
      </c>
      <c r="R44" s="344">
        <f t="shared" si="15"/>
        <v>-88.194191644960398</v>
      </c>
      <c r="S44" s="346">
        <f t="shared" si="16"/>
        <v>91.805808355039602</v>
      </c>
      <c r="U44" s="319">
        <f t="shared" si="23"/>
        <v>1000000000</v>
      </c>
      <c r="V44" s="319">
        <f t="shared" si="24"/>
        <v>301.99488400000001</v>
      </c>
      <c r="X44" s="345">
        <f t="shared" si="17"/>
        <v>67.373290314759757</v>
      </c>
      <c r="Y44" s="346">
        <f t="shared" si="18"/>
        <v>-88.083641749947262</v>
      </c>
      <c r="AA44" s="345">
        <f t="shared" si="19"/>
        <v>35.459033484069032</v>
      </c>
      <c r="AB44" s="346">
        <f t="shared" si="20"/>
        <v>-0.11054989501314545</v>
      </c>
      <c r="AD44">
        <f t="shared" si="25"/>
        <v>0</v>
      </c>
      <c r="AE44">
        <f t="shared" si="21"/>
        <v>0</v>
      </c>
    </row>
    <row r="45" spans="1:31" x14ac:dyDescent="0.2">
      <c r="A45" s="347">
        <v>19.055</v>
      </c>
      <c r="B45" s="364">
        <f t="shared" si="22"/>
        <v>1.9054999999999999E-2</v>
      </c>
      <c r="C45" s="337">
        <f t="shared" si="0"/>
        <v>1.0000022312612544</v>
      </c>
      <c r="D45" s="338">
        <f t="shared" si="1"/>
        <v>2.1124663811204311E-3</v>
      </c>
      <c r="E45" s="338">
        <f t="shared" si="2"/>
        <v>1.0000000000006333</v>
      </c>
      <c r="F45" s="339">
        <f t="shared" si="3"/>
        <v>1.125425301379625E-6</v>
      </c>
      <c r="G45" s="338">
        <f t="shared" si="4"/>
        <v>1</v>
      </c>
      <c r="H45" s="339">
        <f t="shared" si="5"/>
        <v>0</v>
      </c>
      <c r="I45" s="337">
        <f t="shared" si="6"/>
        <v>36.030809334884118</v>
      </c>
      <c r="J45" s="340">
        <f t="shared" si="7"/>
        <v>1.5430387369996281</v>
      </c>
      <c r="K45" s="348">
        <f t="shared" si="8"/>
        <v>1.0000055112002151</v>
      </c>
      <c r="L45" s="349">
        <f t="shared" si="9"/>
        <v>3.3199924409781667E-3</v>
      </c>
      <c r="M45" s="337">
        <f t="shared" si="10"/>
        <v>1.0000000001481246</v>
      </c>
      <c r="N45" s="340">
        <f t="shared" si="11"/>
        <v>1.7211891381977628E-5</v>
      </c>
      <c r="O45" s="341">
        <f t="shared" si="12"/>
        <v>0.99999999967996733</v>
      </c>
      <c r="P45" s="342">
        <f t="shared" si="13"/>
        <v>4.313579158086486E-6</v>
      </c>
      <c r="Q45" s="343">
        <f t="shared" si="14"/>
        <v>66.022648178944067</v>
      </c>
      <c r="R45" s="344">
        <f t="shared" si="15"/>
        <v>-88.341590045832831</v>
      </c>
      <c r="S45" s="346">
        <f t="shared" si="16"/>
        <v>91.658409954167169</v>
      </c>
      <c r="U45" s="319">
        <f t="shared" si="23"/>
        <v>1000000000</v>
      </c>
      <c r="V45" s="319">
        <f t="shared" si="24"/>
        <v>363.09302500000001</v>
      </c>
      <c r="X45" s="345">
        <f t="shared" si="17"/>
        <v>66.573791919178518</v>
      </c>
      <c r="Y45" s="346">
        <f t="shared" si="18"/>
        <v>-88.220371969932415</v>
      </c>
      <c r="AA45" s="345">
        <f t="shared" si="19"/>
        <v>35.459030223367016</v>
      </c>
      <c r="AB45" s="346">
        <f t="shared" si="20"/>
        <v>-0.12121807590041467</v>
      </c>
      <c r="AD45">
        <f t="shared" si="25"/>
        <v>0</v>
      </c>
      <c r="AE45">
        <f t="shared" si="21"/>
        <v>0</v>
      </c>
    </row>
    <row r="46" spans="1:31" x14ac:dyDescent="0.2">
      <c r="A46" s="347">
        <v>20.893000000000001</v>
      </c>
      <c r="B46" s="364">
        <f t="shared" si="22"/>
        <v>2.0893000000000002E-2</v>
      </c>
      <c r="C46" s="337">
        <f t="shared" si="0"/>
        <v>1.0000026824647792</v>
      </c>
      <c r="D46" s="338">
        <f t="shared" si="1"/>
        <v>2.3162291694901463E-3</v>
      </c>
      <c r="E46" s="338">
        <f t="shared" si="2"/>
        <v>1.0000000000007614</v>
      </c>
      <c r="F46" s="339">
        <f t="shared" si="3"/>
        <v>1.2339811504446338E-6</v>
      </c>
      <c r="G46" s="338">
        <f t="shared" si="4"/>
        <v>1</v>
      </c>
      <c r="H46" s="339">
        <f t="shared" si="5"/>
        <v>0</v>
      </c>
      <c r="I46" s="337">
        <f t="shared" si="6"/>
        <v>39.50369613045148</v>
      </c>
      <c r="J46" s="340">
        <f t="shared" si="7"/>
        <v>1.5454795354747568</v>
      </c>
      <c r="K46" s="348">
        <f t="shared" si="8"/>
        <v>1.0000066256676736</v>
      </c>
      <c r="L46" s="349">
        <f t="shared" si="9"/>
        <v>3.6402283145216901E-3</v>
      </c>
      <c r="M46" s="337">
        <f t="shared" si="10"/>
        <v>1.0000000001780782</v>
      </c>
      <c r="N46" s="340">
        <f t="shared" si="11"/>
        <v>1.8872109505981504E-5</v>
      </c>
      <c r="O46" s="341">
        <f t="shared" si="12"/>
        <v>0.99999999961525066</v>
      </c>
      <c r="P46" s="342">
        <f t="shared" si="13"/>
        <v>4.7296567491886634E-6</v>
      </c>
      <c r="Q46" s="343">
        <f t="shared" si="14"/>
        <v>65.223379651359437</v>
      </c>
      <c r="R46" s="344">
        <f t="shared" si="15"/>
        <v>-88.474876824234144</v>
      </c>
      <c r="S46" s="346">
        <f t="shared" si="16"/>
        <v>91.525123175765856</v>
      </c>
      <c r="U46" s="319">
        <f t="shared" si="23"/>
        <v>1000000000</v>
      </c>
      <c r="V46" s="319">
        <f t="shared" si="24"/>
        <v>436.51744900000006</v>
      </c>
      <c r="X46" s="345">
        <f t="shared" si="17"/>
        <v>65.774527310125052</v>
      </c>
      <c r="Y46" s="346">
        <f t="shared" si="18"/>
        <v>-88.34196638082706</v>
      </c>
      <c r="AA46" s="345">
        <f t="shared" si="19"/>
        <v>35.459026304835859</v>
      </c>
      <c r="AB46" s="346">
        <f t="shared" si="20"/>
        <v>-0.13291044340710442</v>
      </c>
      <c r="AD46">
        <f t="shared" si="25"/>
        <v>0</v>
      </c>
      <c r="AE46">
        <f t="shared" si="21"/>
        <v>0</v>
      </c>
    </row>
    <row r="47" spans="1:31" x14ac:dyDescent="0.2">
      <c r="A47" s="347">
        <v>22.909000000000002</v>
      </c>
      <c r="B47" s="364">
        <f t="shared" si="22"/>
        <v>2.2909000000000002E-2</v>
      </c>
      <c r="C47" s="337">
        <f t="shared" si="0"/>
        <v>1.0000032251102569</v>
      </c>
      <c r="D47" s="338">
        <f t="shared" si="1"/>
        <v>2.5397250202370742E-3</v>
      </c>
      <c r="E47" s="338">
        <f t="shared" si="2"/>
        <v>1.0000000000009153</v>
      </c>
      <c r="F47" s="339">
        <f t="shared" si="3"/>
        <v>1.3530500251535547E-6</v>
      </c>
      <c r="G47" s="338">
        <f t="shared" si="4"/>
        <v>1</v>
      </c>
      <c r="H47" s="339">
        <f t="shared" si="5"/>
        <v>0</v>
      </c>
      <c r="I47" s="337">
        <f t="shared" si="6"/>
        <v>43.313137682845984</v>
      </c>
      <c r="J47" s="340">
        <f t="shared" si="7"/>
        <v>1.5477065920168385</v>
      </c>
      <c r="K47" s="348">
        <f t="shared" si="8"/>
        <v>1.0000079659947139</v>
      </c>
      <c r="L47" s="349">
        <f t="shared" si="9"/>
        <v>3.9914763768245714E-3</v>
      </c>
      <c r="M47" s="337">
        <f t="shared" si="10"/>
        <v>1.0000000002141025</v>
      </c>
      <c r="N47" s="340">
        <f t="shared" si="11"/>
        <v>2.069311045145011E-5</v>
      </c>
      <c r="O47" s="341">
        <f t="shared" si="12"/>
        <v>0.99999999953741814</v>
      </c>
      <c r="P47" s="342">
        <f t="shared" si="13"/>
        <v>5.1860291234230657E-6</v>
      </c>
      <c r="Q47" s="343">
        <f t="shared" si="14"/>
        <v>64.423748299705622</v>
      </c>
      <c r="R47" s="344">
        <f t="shared" si="15"/>
        <v>-88.595281764160006</v>
      </c>
      <c r="S47" s="346">
        <f t="shared" si="16"/>
        <v>91.404718235839994</v>
      </c>
      <c r="U47" s="319">
        <f t="shared" si="23"/>
        <v>1000000000</v>
      </c>
      <c r="V47" s="319">
        <f t="shared" si="24"/>
        <v>524.82228100000009</v>
      </c>
      <c r="X47" s="345">
        <f t="shared" si="17"/>
        <v>64.974900671138641</v>
      </c>
      <c r="Y47" s="346">
        <f t="shared" si="18"/>
        <v>-88.449546625684818</v>
      </c>
      <c r="AA47" s="345">
        <f t="shared" si="19"/>
        <v>35.459021592168433</v>
      </c>
      <c r="AB47" s="346">
        <f t="shared" si="20"/>
        <v>-0.14573513847518133</v>
      </c>
      <c r="AD47">
        <f t="shared" si="25"/>
        <v>0</v>
      </c>
      <c r="AE47">
        <f t="shared" si="21"/>
        <v>0</v>
      </c>
    </row>
    <row r="48" spans="1:31" x14ac:dyDescent="0.2">
      <c r="A48" s="347">
        <v>25.119</v>
      </c>
      <c r="B48" s="364">
        <f t="shared" si="22"/>
        <v>2.5118999999999999E-2</v>
      </c>
      <c r="C48" s="337">
        <f t="shared" si="0"/>
        <v>1.0000038773664865</v>
      </c>
      <c r="D48" s="338">
        <f t="shared" si="1"/>
        <v>2.784727619835108E-3</v>
      </c>
      <c r="E48" s="338">
        <f t="shared" si="2"/>
        <v>1.0000000000011005</v>
      </c>
      <c r="F48" s="339">
        <f t="shared" si="3"/>
        <v>1.4835769165754917E-6</v>
      </c>
      <c r="G48" s="338">
        <f t="shared" si="4"/>
        <v>1</v>
      </c>
      <c r="H48" s="339">
        <f t="shared" si="5"/>
        <v>0</v>
      </c>
      <c r="I48" s="337">
        <f t="shared" si="6"/>
        <v>47.489367722248083</v>
      </c>
      <c r="J48" s="340">
        <f t="shared" si="7"/>
        <v>1.5497374253043108</v>
      </c>
      <c r="K48" s="348">
        <f t="shared" si="8"/>
        <v>1.0000095770574238</v>
      </c>
      <c r="L48" s="349">
        <f t="shared" si="9"/>
        <v>4.3765239610956373E-3</v>
      </c>
      <c r="M48" s="337">
        <f t="shared" si="10"/>
        <v>1.0000000002574032</v>
      </c>
      <c r="N48" s="340">
        <f t="shared" si="11"/>
        <v>2.2689346606790797E-5</v>
      </c>
      <c r="O48" s="341">
        <f t="shared" si="12"/>
        <v>0.99999999944386397</v>
      </c>
      <c r="P48" s="342">
        <f t="shared" si="13"/>
        <v>5.6863182837997791E-6</v>
      </c>
      <c r="Q48" s="343">
        <f t="shared" si="14"/>
        <v>63.624221799548394</v>
      </c>
      <c r="R48" s="344">
        <f t="shared" si="15"/>
        <v>-88.703751515711105</v>
      </c>
      <c r="S48" s="346">
        <f t="shared" si="16"/>
        <v>91.296248484288895</v>
      </c>
      <c r="U48" s="319">
        <f t="shared" si="23"/>
        <v>1000000000</v>
      </c>
      <c r="V48" s="319">
        <f t="shared" si="24"/>
        <v>630.96416099999999</v>
      </c>
      <c r="X48" s="345">
        <f t="shared" si="17"/>
        <v>64.175379835572727</v>
      </c>
      <c r="Y48" s="346">
        <f t="shared" si="18"/>
        <v>-88.543957576475719</v>
      </c>
      <c r="AA48" s="345">
        <f t="shared" si="19"/>
        <v>35.459015927577141</v>
      </c>
      <c r="AB48" s="346">
        <f t="shared" si="20"/>
        <v>-0.15979393923538107</v>
      </c>
      <c r="AD48">
        <f t="shared" si="25"/>
        <v>0</v>
      </c>
      <c r="AE48">
        <f t="shared" si="21"/>
        <v>0</v>
      </c>
    </row>
    <row r="49" spans="1:31" x14ac:dyDescent="0.2">
      <c r="A49" s="347">
        <v>27.542000000000002</v>
      </c>
      <c r="B49" s="364">
        <f t="shared" si="22"/>
        <v>2.7542000000000001E-2</v>
      </c>
      <c r="C49" s="337">
        <f t="shared" si="0"/>
        <v>1.0000046614704772</v>
      </c>
      <c r="D49" s="338">
        <f t="shared" si="1"/>
        <v>3.0533432068700476E-3</v>
      </c>
      <c r="E49" s="338">
        <f t="shared" si="2"/>
        <v>1.0000000000013229</v>
      </c>
      <c r="F49" s="339">
        <f t="shared" si="3"/>
        <v>1.6266840016050053E-6</v>
      </c>
      <c r="G49" s="338">
        <f t="shared" si="4"/>
        <v>1</v>
      </c>
      <c r="H49" s="339">
        <f t="shared" si="5"/>
        <v>0</v>
      </c>
      <c r="I49" s="337">
        <f t="shared" si="6"/>
        <v>52.068290428386511</v>
      </c>
      <c r="J49" s="340">
        <f t="shared" si="7"/>
        <v>1.5515895989095689</v>
      </c>
      <c r="K49" s="348">
        <f t="shared" si="8"/>
        <v>1.0000115137800012</v>
      </c>
      <c r="L49" s="349">
        <f t="shared" si="9"/>
        <v>4.7986809707818061E-3</v>
      </c>
      <c r="M49" s="337">
        <f t="shared" si="10"/>
        <v>1.0000000003094569</v>
      </c>
      <c r="N49" s="340">
        <f t="shared" si="11"/>
        <v>2.4877980183229676E-5</v>
      </c>
      <c r="O49" s="341">
        <f t="shared" si="12"/>
        <v>0.9999999993313986</v>
      </c>
      <c r="P49" s="342">
        <f t="shared" si="13"/>
        <v>6.2348253588995463E-6</v>
      </c>
      <c r="Q49" s="343">
        <f t="shared" si="14"/>
        <v>62.824693186991773</v>
      </c>
      <c r="R49" s="344">
        <f t="shared" si="15"/>
        <v>-88.801224598006229</v>
      </c>
      <c r="S49" s="346">
        <f t="shared" si="16"/>
        <v>91.198775401993771</v>
      </c>
      <c r="U49" s="319">
        <f t="shared" si="23"/>
        <v>1000000000</v>
      </c>
      <c r="V49" s="319">
        <f t="shared" si="24"/>
        <v>758.56176400000004</v>
      </c>
      <c r="X49" s="345">
        <f t="shared" si="17"/>
        <v>63.375858032648964</v>
      </c>
      <c r="Y49" s="346">
        <f t="shared" si="18"/>
        <v>-88.626016891596251</v>
      </c>
      <c r="AA49" s="345">
        <f t="shared" si="19"/>
        <v>35.459009117944277</v>
      </c>
      <c r="AB49" s="346">
        <f t="shared" si="20"/>
        <v>-0.1752077064099706</v>
      </c>
      <c r="AD49">
        <f t="shared" si="25"/>
        <v>0</v>
      </c>
      <c r="AE49">
        <f t="shared" si="21"/>
        <v>0</v>
      </c>
    </row>
    <row r="50" spans="1:31" x14ac:dyDescent="0.2">
      <c r="A50" s="347">
        <v>30.2</v>
      </c>
      <c r="B50" s="364">
        <f t="shared" si="22"/>
        <v>3.0199999999999998E-2</v>
      </c>
      <c r="C50" s="337">
        <f t="shared" si="0"/>
        <v>1.0000056046135344</v>
      </c>
      <c r="D50" s="338">
        <f t="shared" si="1"/>
        <v>3.3480105609235964E-3</v>
      </c>
      <c r="E50" s="338">
        <f t="shared" si="2"/>
        <v>1.0000000000015907</v>
      </c>
      <c r="F50" s="339">
        <f t="shared" si="3"/>
        <v>1.7836706429621085E-6</v>
      </c>
      <c r="G50" s="338">
        <f t="shared" si="4"/>
        <v>1</v>
      </c>
      <c r="H50" s="339">
        <f t="shared" si="5"/>
        <v>0</v>
      </c>
      <c r="I50" s="337">
        <f t="shared" si="6"/>
        <v>57.09148094913899</v>
      </c>
      <c r="J50" s="340">
        <f t="shared" si="7"/>
        <v>1.5532796829102553</v>
      </c>
      <c r="K50" s="348">
        <f t="shared" si="8"/>
        <v>1.0000138433232195</v>
      </c>
      <c r="L50" s="349">
        <f t="shared" si="9"/>
        <v>5.2617798364202181E-3</v>
      </c>
      <c r="M50" s="337">
        <f t="shared" si="10"/>
        <v>1.0000000003720686</v>
      </c>
      <c r="N50" s="340">
        <f t="shared" si="11"/>
        <v>2.7278883214805581E-5</v>
      </c>
      <c r="O50" s="341">
        <f t="shared" si="12"/>
        <v>0.99999999919612192</v>
      </c>
      <c r="P50" s="342">
        <f t="shared" si="13"/>
        <v>6.8365306028786802E-6</v>
      </c>
      <c r="Q50" s="343">
        <f t="shared" si="14"/>
        <v>62.024745427226236</v>
      </c>
      <c r="R50" s="344">
        <f t="shared" si="15"/>
        <v>-88.888571905726849</v>
      </c>
      <c r="S50" s="346">
        <f t="shared" si="16"/>
        <v>91.111428094273151</v>
      </c>
      <c r="U50" s="319">
        <f t="shared" si="23"/>
        <v>1000000000</v>
      </c>
      <c r="V50" s="319">
        <f t="shared" si="24"/>
        <v>912.04</v>
      </c>
      <c r="X50" s="345">
        <f t="shared" si="17"/>
        <v>62.575918463700553</v>
      </c>
      <c r="Y50" s="346">
        <f t="shared" si="18"/>
        <v>-88.696455523051</v>
      </c>
      <c r="AA50" s="345">
        <f t="shared" si="19"/>
        <v>35.459000927127143</v>
      </c>
      <c r="AB50" s="346">
        <f t="shared" si="20"/>
        <v>-0.19211638267584827</v>
      </c>
      <c r="AD50">
        <f t="shared" si="25"/>
        <v>0</v>
      </c>
      <c r="AE50">
        <f t="shared" si="21"/>
        <v>0</v>
      </c>
    </row>
    <row r="51" spans="1:31" x14ac:dyDescent="0.2">
      <c r="A51" s="347">
        <v>33.113</v>
      </c>
      <c r="B51" s="364">
        <f t="shared" si="22"/>
        <v>3.3112999999999997E-2</v>
      </c>
      <c r="C51" s="337">
        <f t="shared" si="0"/>
        <v>1.0000067379626216</v>
      </c>
      <c r="D51" s="338">
        <f t="shared" si="1"/>
        <v>3.6709466867616029E-3</v>
      </c>
      <c r="E51" s="338">
        <f t="shared" si="2"/>
        <v>1.0000000000019125</v>
      </c>
      <c r="F51" s="339">
        <f t="shared" si="3"/>
        <v>1.9557180794831669E-6</v>
      </c>
      <c r="G51" s="338">
        <f t="shared" si="4"/>
        <v>1</v>
      </c>
      <c r="H51" s="339">
        <f t="shared" si="5"/>
        <v>0</v>
      </c>
      <c r="I51" s="337">
        <f t="shared" si="6"/>
        <v>62.596736058490414</v>
      </c>
      <c r="J51" s="340">
        <f t="shared" si="7"/>
        <v>1.5548203733706334</v>
      </c>
      <c r="K51" s="348">
        <f t="shared" si="8"/>
        <v>1.0000166426670003</v>
      </c>
      <c r="L51" s="349">
        <f t="shared" si="9"/>
        <v>5.7693043234444226E-3</v>
      </c>
      <c r="M51" s="337">
        <f t="shared" si="10"/>
        <v>1.0000000004473075</v>
      </c>
      <c r="N51" s="340">
        <f t="shared" si="11"/>
        <v>2.9910121186971824E-5</v>
      </c>
      <c r="O51" s="341">
        <f t="shared" si="12"/>
        <v>0.99999999903356329</v>
      </c>
      <c r="P51" s="342">
        <f t="shared" si="13"/>
        <v>7.4959615195456296E-6</v>
      </c>
      <c r="Q51" s="343">
        <f t="shared" si="14"/>
        <v>61.225152299530457</v>
      </c>
      <c r="R51" s="344">
        <f t="shared" si="15"/>
        <v>-88.966449516535491</v>
      </c>
      <c r="S51" s="346">
        <f t="shared" si="16"/>
        <v>91.033550483464509</v>
      </c>
      <c r="U51" s="319">
        <f t="shared" si="23"/>
        <v>1000000000</v>
      </c>
      <c r="V51" s="319">
        <f t="shared" si="24"/>
        <v>1096.470769</v>
      </c>
      <c r="X51" s="345">
        <f t="shared" si="17"/>
        <v>61.776335178674358</v>
      </c>
      <c r="Y51" s="346">
        <f t="shared" si="18"/>
        <v>-88.755802331759227</v>
      </c>
      <c r="AA51" s="345">
        <f t="shared" si="19"/>
        <v>35.458991084457566</v>
      </c>
      <c r="AB51" s="346">
        <f t="shared" si="20"/>
        <v>-0.21064718477626299</v>
      </c>
      <c r="AD51">
        <f t="shared" si="25"/>
        <v>0</v>
      </c>
      <c r="AE51">
        <f t="shared" si="21"/>
        <v>0</v>
      </c>
    </row>
    <row r="52" spans="1:31" x14ac:dyDescent="0.2">
      <c r="A52" s="347">
        <v>36.308</v>
      </c>
      <c r="B52" s="364">
        <f t="shared" si="22"/>
        <v>3.6308E-2</v>
      </c>
      <c r="C52" s="337">
        <f t="shared" si="0"/>
        <v>1.0000081009489763</v>
      </c>
      <c r="D52" s="338">
        <f t="shared" si="1"/>
        <v>4.0251445412216747E-3</v>
      </c>
      <c r="E52" s="338">
        <f t="shared" si="2"/>
        <v>1.0000000000022993</v>
      </c>
      <c r="F52" s="339">
        <f t="shared" si="3"/>
        <v>2.1444209835972732E-6</v>
      </c>
      <c r="G52" s="338">
        <f t="shared" si="4"/>
        <v>1</v>
      </c>
      <c r="H52" s="339">
        <f t="shared" si="5"/>
        <v>0</v>
      </c>
      <c r="I52" s="337">
        <f t="shared" si="6"/>
        <v>68.635082807925286</v>
      </c>
      <c r="J52" s="340">
        <f t="shared" si="7"/>
        <v>1.5562260029553463</v>
      </c>
      <c r="K52" s="348">
        <f t="shared" si="8"/>
        <v>1.0000200092028864</v>
      </c>
      <c r="L52" s="349">
        <f t="shared" si="9"/>
        <v>6.3259575167663312E-3</v>
      </c>
      <c r="M52" s="337">
        <f t="shared" si="10"/>
        <v>1.0000000005377914</v>
      </c>
      <c r="N52" s="340">
        <f t="shared" si="11"/>
        <v>3.2796082505090578E-5</v>
      </c>
      <c r="O52" s="341">
        <f t="shared" si="12"/>
        <v>0.99999999883806734</v>
      </c>
      <c r="P52" s="342">
        <f t="shared" si="13"/>
        <v>8.2192302390416199E-6</v>
      </c>
      <c r="Q52" s="343">
        <f t="shared" si="14"/>
        <v>60.425280235989476</v>
      </c>
      <c r="R52" s="344">
        <f t="shared" si="15"/>
        <v>-89.035582304689044</v>
      </c>
      <c r="S52" s="346">
        <f t="shared" si="16"/>
        <v>90.964417695310956</v>
      </c>
      <c r="U52" s="319">
        <f t="shared" si="23"/>
        <v>1000000000</v>
      </c>
      <c r="V52" s="319">
        <f t="shared" si="24"/>
        <v>1318.2708640000001</v>
      </c>
      <c r="X52" s="345">
        <f t="shared" si="17"/>
        <v>60.97647495209317</v>
      </c>
      <c r="Y52" s="346">
        <f t="shared" si="18"/>
        <v>-88.804610449351316</v>
      </c>
      <c r="AA52" s="345">
        <f t="shared" si="19"/>
        <v>35.458979247497759</v>
      </c>
      <c r="AB52" s="346">
        <f t="shared" si="20"/>
        <v>-0.23097185533773179</v>
      </c>
      <c r="AD52">
        <f t="shared" si="25"/>
        <v>0</v>
      </c>
      <c r="AE52">
        <f t="shared" si="21"/>
        <v>0</v>
      </c>
    </row>
    <row r="53" spans="1:31" x14ac:dyDescent="0.2">
      <c r="A53" s="347">
        <v>39.811</v>
      </c>
      <c r="B53" s="364">
        <f t="shared" si="22"/>
        <v>3.9810999999999999E-2</v>
      </c>
      <c r="C53" s="337">
        <f t="shared" si="0"/>
        <v>1.0000097395089425</v>
      </c>
      <c r="D53" s="338">
        <f t="shared" si="1"/>
        <v>4.4134861265953378E-3</v>
      </c>
      <c r="E53" s="338">
        <f t="shared" si="2"/>
        <v>1.0000000000027645</v>
      </c>
      <c r="F53" s="339">
        <f t="shared" si="3"/>
        <v>2.3513149657916868E-6</v>
      </c>
      <c r="G53" s="338">
        <f t="shared" si="4"/>
        <v>1</v>
      </c>
      <c r="H53" s="339">
        <f t="shared" si="5"/>
        <v>0</v>
      </c>
      <c r="I53" s="337">
        <f t="shared" si="6"/>
        <v>75.255659596506348</v>
      </c>
      <c r="J53" s="340">
        <f t="shared" si="7"/>
        <v>1.5575078985709523</v>
      </c>
      <c r="K53" s="348">
        <f t="shared" si="8"/>
        <v>1.000024056388495</v>
      </c>
      <c r="L53" s="349">
        <f t="shared" si="9"/>
        <v>6.936267908150457E-3</v>
      </c>
      <c r="M53" s="337">
        <f t="shared" si="10"/>
        <v>1.0000000006465699</v>
      </c>
      <c r="N53" s="340">
        <f t="shared" si="11"/>
        <v>3.5960252300194911E-5</v>
      </c>
      <c r="O53" s="341">
        <f t="shared" si="12"/>
        <v>0.99999999860304478</v>
      </c>
      <c r="P53" s="342">
        <f t="shared" si="13"/>
        <v>9.0122225163637276E-6</v>
      </c>
      <c r="Q53" s="343">
        <f t="shared" si="14"/>
        <v>59.625441065762523</v>
      </c>
      <c r="R53" s="344">
        <f t="shared" si="15"/>
        <v>-89.096526512074874</v>
      </c>
      <c r="S53" s="346">
        <f t="shared" si="16"/>
        <v>90.903473487925126</v>
      </c>
      <c r="U53" s="319">
        <f t="shared" si="23"/>
        <v>1000000000</v>
      </c>
      <c r="V53" s="319">
        <f t="shared" si="24"/>
        <v>1584.9157210000001</v>
      </c>
      <c r="X53" s="345">
        <f t="shared" si="17"/>
        <v>60.176650012044881</v>
      </c>
      <c r="Y53" s="346">
        <f t="shared" si="18"/>
        <v>-88.843270741901662</v>
      </c>
      <c r="AA53" s="345">
        <f t="shared" si="19"/>
        <v>35.458965017319109</v>
      </c>
      <c r="AB53" s="346">
        <f t="shared" si="20"/>
        <v>-0.25325577017321571</v>
      </c>
      <c r="AD53">
        <f t="shared" si="25"/>
        <v>0</v>
      </c>
      <c r="AE53">
        <f t="shared" si="21"/>
        <v>0</v>
      </c>
    </row>
    <row r="54" spans="1:31" x14ac:dyDescent="0.2">
      <c r="A54" s="347">
        <v>43.652000000000001</v>
      </c>
      <c r="B54" s="364">
        <f t="shared" si="22"/>
        <v>4.3652000000000003E-2</v>
      </c>
      <c r="C54" s="337">
        <f t="shared" si="0"/>
        <v>1.000011709510833</v>
      </c>
      <c r="D54" s="338">
        <f t="shared" si="1"/>
        <v>4.8392967616121439E-3</v>
      </c>
      <c r="E54" s="338">
        <f t="shared" si="2"/>
        <v>1.0000000000033236</v>
      </c>
      <c r="F54" s="339">
        <f t="shared" si="3"/>
        <v>2.5781718843209279E-6</v>
      </c>
      <c r="G54" s="338">
        <f t="shared" si="4"/>
        <v>1</v>
      </c>
      <c r="H54" s="339">
        <f t="shared" si="5"/>
        <v>0</v>
      </c>
      <c r="I54" s="337">
        <f t="shared" si="6"/>
        <v>82.515165620186892</v>
      </c>
      <c r="J54" s="340">
        <f t="shared" si="7"/>
        <v>1.5586770457827501</v>
      </c>
      <c r="K54" s="348">
        <f t="shared" si="8"/>
        <v>1.0000289222111189</v>
      </c>
      <c r="L54" s="349">
        <f t="shared" si="9"/>
        <v>7.6054604144171201E-3</v>
      </c>
      <c r="M54" s="337">
        <f t="shared" si="10"/>
        <v>1.0000000007773517</v>
      </c>
      <c r="N54" s="340">
        <f t="shared" si="11"/>
        <v>3.9429728800362871E-5</v>
      </c>
      <c r="O54" s="341">
        <f t="shared" si="12"/>
        <v>0.99999999832048225</v>
      </c>
      <c r="P54" s="342">
        <f t="shared" si="13"/>
        <v>9.88172960730821E-6</v>
      </c>
      <c r="Q54" s="343">
        <f t="shared" si="14"/>
        <v>58.825574036524266</v>
      </c>
      <c r="R54" s="344">
        <f t="shared" si="15"/>
        <v>-89.149804566471815</v>
      </c>
      <c r="S54" s="346">
        <f t="shared" si="16"/>
        <v>90.850195433528185</v>
      </c>
      <c r="U54" s="319">
        <f t="shared" si="23"/>
        <v>1000000000</v>
      </c>
      <c r="V54" s="319">
        <f t="shared" si="24"/>
        <v>1905.497104</v>
      </c>
      <c r="X54" s="345">
        <f t="shared" si="17"/>
        <v>59.376800091382968</v>
      </c>
      <c r="Y54" s="346">
        <f t="shared" si="18"/>
        <v>-88.872114822869861</v>
      </c>
      <c r="AA54" s="345">
        <f t="shared" si="19"/>
        <v>35.458947908742772</v>
      </c>
      <c r="AB54" s="346">
        <f t="shared" si="20"/>
        <v>-0.27768974360196685</v>
      </c>
      <c r="AD54">
        <f t="shared" si="25"/>
        <v>0</v>
      </c>
      <c r="AE54">
        <f t="shared" si="21"/>
        <v>0</v>
      </c>
    </row>
    <row r="55" spans="1:31" x14ac:dyDescent="0.2">
      <c r="A55" s="347">
        <v>47.863</v>
      </c>
      <c r="B55" s="364">
        <f t="shared" si="22"/>
        <v>4.7863000000000003E-2</v>
      </c>
      <c r="C55" s="337">
        <f t="shared" si="0"/>
        <v>1.0000140776374993</v>
      </c>
      <c r="D55" s="338">
        <f t="shared" si="1"/>
        <v>5.3061233214814372E-3</v>
      </c>
      <c r="E55" s="338">
        <f t="shared" si="2"/>
        <v>1.0000000000039955</v>
      </c>
      <c r="F55" s="339">
        <f t="shared" si="3"/>
        <v>2.82688172132313E-6</v>
      </c>
      <c r="G55" s="338">
        <f t="shared" si="4"/>
        <v>1</v>
      </c>
      <c r="H55" s="339">
        <f t="shared" si="5"/>
        <v>0</v>
      </c>
      <c r="I55" s="337">
        <f t="shared" si="6"/>
        <v>90.474080997095953</v>
      </c>
      <c r="J55" s="340">
        <f t="shared" si="7"/>
        <v>1.5597432124536548</v>
      </c>
      <c r="K55" s="348">
        <f t="shared" si="8"/>
        <v>1.0000347713667102</v>
      </c>
      <c r="L55" s="349">
        <f t="shared" si="9"/>
        <v>8.339107770033289E-3</v>
      </c>
      <c r="M55" s="337">
        <f t="shared" si="10"/>
        <v>1.0000000009345642</v>
      </c>
      <c r="N55" s="340">
        <f t="shared" si="11"/>
        <v>4.3233416782139906E-5</v>
      </c>
      <c r="O55" s="341">
        <f t="shared" si="12"/>
        <v>0.99999999798081485</v>
      </c>
      <c r="P55" s="342">
        <f t="shared" si="13"/>
        <v>1.0834995518116049E-5</v>
      </c>
      <c r="Q55" s="343">
        <f t="shared" si="14"/>
        <v>58.025796178655753</v>
      </c>
      <c r="R55" s="344">
        <f t="shared" si="15"/>
        <v>-89.195862014899575</v>
      </c>
      <c r="S55" s="346">
        <f t="shared" si="16"/>
        <v>90.804137985100425</v>
      </c>
      <c r="U55" s="319">
        <f t="shared" si="23"/>
        <v>1000000000</v>
      </c>
      <c r="V55" s="319">
        <f t="shared" si="24"/>
        <v>2290.8667689999997</v>
      </c>
      <c r="X55" s="345">
        <f t="shared" si="17"/>
        <v>58.577042799579964</v>
      </c>
      <c r="Y55" s="346">
        <f t="shared" si="18"/>
        <v>-88.891384711532424</v>
      </c>
      <c r="AA55" s="345">
        <f t="shared" si="19"/>
        <v>35.458927342677256</v>
      </c>
      <c r="AB55" s="346">
        <f t="shared" si="20"/>
        <v>-0.30447730336715723</v>
      </c>
      <c r="AD55">
        <f t="shared" si="25"/>
        <v>0</v>
      </c>
      <c r="AE55">
        <f t="shared" si="21"/>
        <v>0</v>
      </c>
    </row>
    <row r="56" spans="1:31" x14ac:dyDescent="0.2">
      <c r="A56" s="347">
        <v>52.481000000000002</v>
      </c>
      <c r="B56" s="364">
        <f t="shared" si="22"/>
        <v>5.2481E-2</v>
      </c>
      <c r="C56" s="337">
        <f t="shared" si="0"/>
        <v>1.0000169251891351</v>
      </c>
      <c r="D56" s="338">
        <f t="shared" si="1"/>
        <v>5.818066761411945E-3</v>
      </c>
      <c r="E56" s="338">
        <f t="shared" si="2"/>
        <v>1.0000000000048037</v>
      </c>
      <c r="F56" s="339">
        <f t="shared" si="3"/>
        <v>3.0996297686454937E-6</v>
      </c>
      <c r="G56" s="338">
        <f t="shared" si="4"/>
        <v>1</v>
      </c>
      <c r="H56" s="339">
        <f t="shared" si="5"/>
        <v>0</v>
      </c>
      <c r="I56" s="337">
        <f t="shared" si="6"/>
        <v>99.20233683668657</v>
      </c>
      <c r="J56" s="340">
        <f t="shared" si="7"/>
        <v>1.5607157483686984</v>
      </c>
      <c r="K56" s="348">
        <f t="shared" si="8"/>
        <v>1.0000418046512733</v>
      </c>
      <c r="L56" s="349">
        <f t="shared" si="9"/>
        <v>9.1436529864056103E-3</v>
      </c>
      <c r="M56" s="337">
        <f t="shared" si="10"/>
        <v>1.0000000011236045</v>
      </c>
      <c r="N56" s="340">
        <f t="shared" si="11"/>
        <v>4.7404737393342204E-5</v>
      </c>
      <c r="O56" s="341">
        <f t="shared" si="12"/>
        <v>0.99999999757238112</v>
      </c>
      <c r="P56" s="342">
        <f t="shared" si="13"/>
        <v>1.188039613105629E-5</v>
      </c>
      <c r="Q56" s="343">
        <f t="shared" si="14"/>
        <v>57.225878090738142</v>
      </c>
      <c r="R56" s="344">
        <f t="shared" si="15"/>
        <v>-89.235102640230238</v>
      </c>
      <c r="S56" s="346">
        <f t="shared" si="16"/>
        <v>90.764897359769762</v>
      </c>
      <c r="U56" s="319">
        <f t="shared" si="23"/>
        <v>1000000000</v>
      </c>
      <c r="V56" s="319">
        <f t="shared" si="24"/>
        <v>2754.255361</v>
      </c>
      <c r="X56" s="345">
        <f t="shared" si="17"/>
        <v>57.777149441243566</v>
      </c>
      <c r="Y56" s="346">
        <f t="shared" si="18"/>
        <v>-88.901248868641034</v>
      </c>
      <c r="AA56" s="345">
        <f t="shared" si="19"/>
        <v>35.458902613096036</v>
      </c>
      <c r="AB56" s="346">
        <f t="shared" si="20"/>
        <v>-0.33385377158919183</v>
      </c>
      <c r="AD56">
        <f t="shared" si="25"/>
        <v>0</v>
      </c>
      <c r="AE56">
        <f t="shared" si="21"/>
        <v>0</v>
      </c>
    </row>
    <row r="57" spans="1:31" x14ac:dyDescent="0.2">
      <c r="A57" s="347">
        <v>57.544000000000004</v>
      </c>
      <c r="B57" s="364">
        <f t="shared" si="22"/>
        <v>5.7544000000000005E-2</v>
      </c>
      <c r="C57" s="337">
        <f t="shared" si="0"/>
        <v>1.0000203483256027</v>
      </c>
      <c r="D57" s="338">
        <f t="shared" si="1"/>
        <v>6.3793386120259308E-3</v>
      </c>
      <c r="E57" s="338">
        <f t="shared" si="2"/>
        <v>1.0000000000057754</v>
      </c>
      <c r="F57" s="339">
        <f t="shared" si="3"/>
        <v>3.3986603800769949E-6</v>
      </c>
      <c r="G57" s="338">
        <f t="shared" si="4"/>
        <v>1</v>
      </c>
      <c r="H57" s="339">
        <f t="shared" si="5"/>
        <v>0</v>
      </c>
      <c r="I57" s="337">
        <f t="shared" si="6"/>
        <v>108.77175508971777</v>
      </c>
      <c r="J57" s="340">
        <f t="shared" si="7"/>
        <v>1.5616026341249116</v>
      </c>
      <c r="K57" s="348">
        <f t="shared" si="8"/>
        <v>1.0000502595574534</v>
      </c>
      <c r="L57" s="349">
        <f t="shared" si="9"/>
        <v>1.0025712196589728E-2</v>
      </c>
      <c r="M57" s="337">
        <f t="shared" si="10"/>
        <v>1.000000001350857</v>
      </c>
      <c r="N57" s="340">
        <f t="shared" si="11"/>
        <v>5.1978015055909925E-5</v>
      </c>
      <c r="O57" s="341">
        <f t="shared" si="12"/>
        <v>0.99999999708138765</v>
      </c>
      <c r="P57" s="342">
        <f t="shared" si="13"/>
        <v>1.3026533703710319E-5</v>
      </c>
      <c r="Q57" s="343">
        <f t="shared" si="14"/>
        <v>56.426037125030184</v>
      </c>
      <c r="R57" s="344">
        <f t="shared" si="15"/>
        <v>-89.267848254346674</v>
      </c>
      <c r="S57" s="346">
        <f t="shared" si="16"/>
        <v>90.732151745653326</v>
      </c>
      <c r="U57" s="319">
        <f t="shared" si="23"/>
        <v>1000000000</v>
      </c>
      <c r="V57" s="319">
        <f t="shared" si="24"/>
        <v>3311.3119360000005</v>
      </c>
      <c r="X57" s="345">
        <f t="shared" si="17"/>
        <v>56.977338203693925</v>
      </c>
      <c r="Y57" s="346">
        <f t="shared" si="18"/>
        <v>-88.901787438867345</v>
      </c>
      <c r="AA57" s="345">
        <f t="shared" si="19"/>
        <v>35.458872884937733</v>
      </c>
      <c r="AB57" s="346">
        <f t="shared" si="20"/>
        <v>-0.3660608154793466</v>
      </c>
      <c r="AD57">
        <f t="shared" si="25"/>
        <v>0</v>
      </c>
      <c r="AE57">
        <f t="shared" si="21"/>
        <v>0</v>
      </c>
    </row>
    <row r="58" spans="1:31" x14ac:dyDescent="0.2">
      <c r="A58" s="347">
        <v>63.095999999999997</v>
      </c>
      <c r="B58" s="364">
        <f t="shared" si="22"/>
        <v>6.3095999999999999E-2</v>
      </c>
      <c r="C58" s="337">
        <f t="shared" si="0"/>
        <v>1.0000244642184275</v>
      </c>
      <c r="D58" s="338">
        <f t="shared" si="1"/>
        <v>6.9948151783559486E-3</v>
      </c>
      <c r="E58" s="338">
        <f t="shared" si="2"/>
        <v>1.0000000000069438</v>
      </c>
      <c r="F58" s="339">
        <f t="shared" si="3"/>
        <v>3.7265722810574692E-6</v>
      </c>
      <c r="G58" s="338">
        <f t="shared" si="4"/>
        <v>1</v>
      </c>
      <c r="H58" s="339">
        <f t="shared" si="5"/>
        <v>0</v>
      </c>
      <c r="I58" s="337">
        <f t="shared" si="6"/>
        <v>119.26549878355104</v>
      </c>
      <c r="J58" s="340">
        <f t="shared" si="7"/>
        <v>1.5624115740571631</v>
      </c>
      <c r="K58" s="348">
        <f t="shared" si="8"/>
        <v>1.0000604254667602</v>
      </c>
      <c r="L58" s="349">
        <f t="shared" si="9"/>
        <v>1.0992945394157997E-2</v>
      </c>
      <c r="M58" s="337">
        <f t="shared" si="10"/>
        <v>1.0000000016241006</v>
      </c>
      <c r="N58" s="340">
        <f t="shared" si="11"/>
        <v>5.6992993837242312E-5</v>
      </c>
      <c r="O58" s="341">
        <f t="shared" si="12"/>
        <v>0.99999999649102755</v>
      </c>
      <c r="P58" s="342">
        <f t="shared" si="13"/>
        <v>1.4283368744947141E-5</v>
      </c>
      <c r="Q58" s="343">
        <f t="shared" si="14"/>
        <v>55.626115820842649</v>
      </c>
      <c r="R58" s="344">
        <f t="shared" si="15"/>
        <v>-89.294383488482879</v>
      </c>
      <c r="S58" s="346">
        <f t="shared" si="16"/>
        <v>90.705616511517121</v>
      </c>
      <c r="U58" s="319">
        <f t="shared" si="23"/>
        <v>1000000000</v>
      </c>
      <c r="V58" s="319">
        <f t="shared" si="24"/>
        <v>3981.1052159999995</v>
      </c>
      <c r="X58" s="345">
        <f t="shared" si="17"/>
        <v>56.177452643758258</v>
      </c>
      <c r="Y58" s="346">
        <f t="shared" si="18"/>
        <v>-88.893005239947826</v>
      </c>
      <c r="AA58" s="345">
        <f t="shared" si="19"/>
        <v>35.458837140685858</v>
      </c>
      <c r="AB58" s="346">
        <f t="shared" si="20"/>
        <v>-0.40137824853504506</v>
      </c>
      <c r="AD58">
        <f t="shared" si="25"/>
        <v>0</v>
      </c>
      <c r="AE58">
        <f t="shared" si="21"/>
        <v>0</v>
      </c>
    </row>
    <row r="59" spans="1:31" x14ac:dyDescent="0.2">
      <c r="A59" s="347">
        <v>69.183000000000007</v>
      </c>
      <c r="B59" s="364">
        <f t="shared" si="22"/>
        <v>6.9183000000000008E-2</v>
      </c>
      <c r="C59" s="337">
        <f t="shared" si="0"/>
        <v>1.0000294120568438</v>
      </c>
      <c r="D59" s="338">
        <f t="shared" si="1"/>
        <v>7.669593988083854E-3</v>
      </c>
      <c r="E59" s="338">
        <f t="shared" si="2"/>
        <v>1.000000000008348</v>
      </c>
      <c r="F59" s="339">
        <f t="shared" si="3"/>
        <v>4.0860823209103207E-6</v>
      </c>
      <c r="G59" s="338">
        <f t="shared" si="4"/>
        <v>1</v>
      </c>
      <c r="H59" s="339">
        <f t="shared" si="5"/>
        <v>0</v>
      </c>
      <c r="I59" s="337">
        <f t="shared" si="6"/>
        <v>130.77051176055986</v>
      </c>
      <c r="J59" s="340">
        <f t="shared" si="7"/>
        <v>1.5631492683498858</v>
      </c>
      <c r="K59" s="348">
        <f t="shared" si="8"/>
        <v>1.0000726461303462</v>
      </c>
      <c r="L59" s="349">
        <f t="shared" si="9"/>
        <v>1.2053359094902086E-2</v>
      </c>
      <c r="M59" s="337">
        <f t="shared" si="10"/>
        <v>1.0000000019525765</v>
      </c>
      <c r="N59" s="340">
        <f t="shared" si="11"/>
        <v>6.2491224353025451E-5</v>
      </c>
      <c r="O59" s="341">
        <f t="shared" si="12"/>
        <v>0.99999999578133447</v>
      </c>
      <c r="P59" s="342">
        <f t="shared" si="13"/>
        <v>1.566131451422861E-5</v>
      </c>
      <c r="Q59" s="343">
        <f t="shared" si="14"/>
        <v>54.826279098673638</v>
      </c>
      <c r="R59" s="344">
        <f t="shared" si="15"/>
        <v>-89.314928383834356</v>
      </c>
      <c r="S59" s="346">
        <f t="shared" si="16"/>
        <v>90.685071616165644</v>
      </c>
      <c r="U59" s="319">
        <f t="shared" si="23"/>
        <v>1000000000</v>
      </c>
      <c r="V59" s="319">
        <f t="shared" si="24"/>
        <v>4786.2874890000012</v>
      </c>
      <c r="X59" s="345">
        <f t="shared" si="17"/>
        <v>55.377658890633498</v>
      </c>
      <c r="Y59" s="346">
        <f t="shared" si="18"/>
        <v>-88.874829805283809</v>
      </c>
      <c r="AA59" s="345">
        <f t="shared" si="19"/>
        <v>35.458794171641607</v>
      </c>
      <c r="AB59" s="346">
        <f t="shared" si="20"/>
        <v>-0.44009857855056123</v>
      </c>
      <c r="AD59">
        <f t="shared" si="25"/>
        <v>0</v>
      </c>
      <c r="AE59">
        <f t="shared" si="21"/>
        <v>0</v>
      </c>
    </row>
    <row r="60" spans="1:31" x14ac:dyDescent="0.2">
      <c r="A60" s="347">
        <v>75.858000000000004</v>
      </c>
      <c r="B60" s="364">
        <f t="shared" si="22"/>
        <v>7.5858000000000009E-2</v>
      </c>
      <c r="C60" s="337">
        <f t="shared" si="0"/>
        <v>1.0000353612900406</v>
      </c>
      <c r="D60" s="338">
        <f t="shared" si="1"/>
        <v>8.4095479134751756E-3</v>
      </c>
      <c r="E60" s="338">
        <f t="shared" si="2"/>
        <v>1.0000000000100366</v>
      </c>
      <c r="F60" s="339">
        <f t="shared" si="3"/>
        <v>4.4803207825515823E-6</v>
      </c>
      <c r="G60" s="338">
        <f t="shared" si="4"/>
        <v>1</v>
      </c>
      <c r="H60" s="339">
        <f t="shared" si="5"/>
        <v>0</v>
      </c>
      <c r="I60" s="337">
        <f t="shared" si="6"/>
        <v>143.38696909854303</v>
      </c>
      <c r="J60" s="340">
        <f t="shared" si="7"/>
        <v>1.563822135814436</v>
      </c>
      <c r="K60" s="348">
        <f t="shared" si="8"/>
        <v>1.0000873400207229</v>
      </c>
      <c r="L60" s="349">
        <f t="shared" si="9"/>
        <v>1.3216176776753453E-2</v>
      </c>
      <c r="M60" s="337">
        <f t="shared" si="10"/>
        <v>1.0000000023475348</v>
      </c>
      <c r="N60" s="340">
        <f t="shared" si="11"/>
        <v>6.8520580138525572E-5</v>
      </c>
      <c r="O60" s="341">
        <f t="shared" si="12"/>
        <v>0.99999999492800185</v>
      </c>
      <c r="P60" s="342">
        <f t="shared" si="13"/>
        <v>1.7172368897618891E-5</v>
      </c>
      <c r="Q60" s="343">
        <f t="shared" si="14"/>
        <v>54.026357820360154</v>
      </c>
      <c r="R60" s="344">
        <f t="shared" si="15"/>
        <v>-89.329661986665897</v>
      </c>
      <c r="S60" s="346">
        <f t="shared" si="16"/>
        <v>90.670338013334103</v>
      </c>
      <c r="U60" s="319">
        <f t="shared" si="23"/>
        <v>1000000000</v>
      </c>
      <c r="V60" s="319">
        <f t="shared" si="24"/>
        <v>5754.4361640000006</v>
      </c>
      <c r="X60" s="345">
        <f t="shared" si="17"/>
        <v>54.577789277602868</v>
      </c>
      <c r="Y60" s="346">
        <f t="shared" si="18"/>
        <v>-88.847103182268953</v>
      </c>
      <c r="AA60" s="345">
        <f t="shared" si="19"/>
        <v>35.45874250635876</v>
      </c>
      <c r="AB60" s="346">
        <f t="shared" si="20"/>
        <v>-0.48255880439694926</v>
      </c>
      <c r="AD60">
        <f t="shared" si="25"/>
        <v>0</v>
      </c>
      <c r="AE60">
        <f t="shared" si="21"/>
        <v>0</v>
      </c>
    </row>
    <row r="61" spans="1:31" x14ac:dyDescent="0.2">
      <c r="A61" s="347">
        <v>83.176000000000002</v>
      </c>
      <c r="B61" s="364">
        <f t="shared" si="22"/>
        <v>8.3176E-2</v>
      </c>
      <c r="C61" s="337">
        <f t="shared" si="0"/>
        <v>1.000042512812058</v>
      </c>
      <c r="D61" s="338">
        <f t="shared" si="1"/>
        <v>9.2207706832782028E-3</v>
      </c>
      <c r="E61" s="338">
        <f t="shared" si="2"/>
        <v>1.0000000000120663</v>
      </c>
      <c r="F61" s="339">
        <f t="shared" si="3"/>
        <v>4.9125360727808021E-6</v>
      </c>
      <c r="G61" s="338">
        <f t="shared" si="4"/>
        <v>1</v>
      </c>
      <c r="H61" s="339">
        <f t="shared" si="5"/>
        <v>0</v>
      </c>
      <c r="I61" s="337">
        <f t="shared" si="6"/>
        <v>157.21882662453177</v>
      </c>
      <c r="J61" s="340">
        <f t="shared" si="7"/>
        <v>1.5644357225060657</v>
      </c>
      <c r="K61" s="348">
        <f t="shared" si="8"/>
        <v>1.0001050032498224</v>
      </c>
      <c r="L61" s="349">
        <f t="shared" si="9"/>
        <v>1.449096701928344E-2</v>
      </c>
      <c r="M61" s="337">
        <f t="shared" si="10"/>
        <v>1.0000000028223142</v>
      </c>
      <c r="N61" s="340">
        <f t="shared" si="11"/>
        <v>7.5130741277097641E-5</v>
      </c>
      <c r="O61" s="341">
        <f t="shared" si="12"/>
        <v>0.99999999390221139</v>
      </c>
      <c r="P61" s="342">
        <f t="shared" si="13"/>
        <v>1.8828982531937473E-5</v>
      </c>
      <c r="Q61" s="343">
        <f t="shared" si="14"/>
        <v>53.226551798243676</v>
      </c>
      <c r="R61" s="344">
        <f t="shared" si="15"/>
        <v>-89.338706341957931</v>
      </c>
      <c r="S61" s="346">
        <f t="shared" si="16"/>
        <v>90.661293658042069</v>
      </c>
      <c r="U61" s="319">
        <f t="shared" si="23"/>
        <v>1000000000</v>
      </c>
      <c r="V61" s="319">
        <f t="shared" si="24"/>
        <v>6918.2469760000004</v>
      </c>
      <c r="X61" s="345">
        <f t="shared" si="17"/>
        <v>53.778045361471271</v>
      </c>
      <c r="Y61" s="346">
        <f t="shared" si="18"/>
        <v>-88.809597743695591</v>
      </c>
      <c r="AA61" s="345">
        <f t="shared" si="19"/>
        <v>35.458680400373879</v>
      </c>
      <c r="AB61" s="346">
        <f t="shared" si="20"/>
        <v>-0.52910859826232548</v>
      </c>
      <c r="AD61">
        <f t="shared" si="25"/>
        <v>0</v>
      </c>
      <c r="AE61">
        <f t="shared" si="21"/>
        <v>0</v>
      </c>
    </row>
    <row r="62" spans="1:31" x14ac:dyDescent="0.2">
      <c r="A62" s="347">
        <v>91.201000000000008</v>
      </c>
      <c r="B62" s="364">
        <f t="shared" si="22"/>
        <v>9.1201000000000004E-2</v>
      </c>
      <c r="C62" s="337">
        <f t="shared" si="0"/>
        <v>1.000051111791592</v>
      </c>
      <c r="D62" s="338">
        <f t="shared" si="1"/>
        <v>1.0110352582807821E-2</v>
      </c>
      <c r="E62" s="338">
        <f t="shared" si="2"/>
        <v>1.0000000000145073</v>
      </c>
      <c r="F62" s="339">
        <f t="shared" si="3"/>
        <v>5.3865081558737247E-6</v>
      </c>
      <c r="G62" s="338">
        <f t="shared" si="4"/>
        <v>1</v>
      </c>
      <c r="H62" s="339">
        <f t="shared" si="5"/>
        <v>0</v>
      </c>
      <c r="I62" s="337">
        <f t="shared" si="6"/>
        <v>172.38705166294784</v>
      </c>
      <c r="J62" s="340">
        <f t="shared" si="7"/>
        <v>1.5649953945389961</v>
      </c>
      <c r="K62" s="348">
        <f t="shared" si="8"/>
        <v>1.000126241244657</v>
      </c>
      <c r="L62" s="349">
        <f t="shared" si="9"/>
        <v>1.5888861845810644E-2</v>
      </c>
      <c r="M62" s="337">
        <f t="shared" si="10"/>
        <v>1.0000000033931924</v>
      </c>
      <c r="N62" s="340">
        <f t="shared" si="11"/>
        <v>8.2379517319957818E-5</v>
      </c>
      <c r="O62" s="341">
        <f t="shared" si="12"/>
        <v>0.99999999266879258</v>
      </c>
      <c r="P62" s="342">
        <f t="shared" si="13"/>
        <v>2.0645643431203808E-5</v>
      </c>
      <c r="Q62" s="343">
        <f t="shared" si="14"/>
        <v>52.42665974099458</v>
      </c>
      <c r="R62" s="344">
        <f t="shared" si="15"/>
        <v>-89.342141256647622</v>
      </c>
      <c r="S62" s="346">
        <f t="shared" si="16"/>
        <v>90.657858743352378</v>
      </c>
      <c r="U62" s="319">
        <f t="shared" si="23"/>
        <v>1000000000</v>
      </c>
      <c r="V62" s="319">
        <f t="shared" si="24"/>
        <v>8317.6224010000005</v>
      </c>
      <c r="X62" s="345">
        <f t="shared" si="17"/>
        <v>52.978227979778623</v>
      </c>
      <c r="Y62" s="346">
        <f t="shared" si="18"/>
        <v>-88.761986439550313</v>
      </c>
      <c r="AA62" s="345">
        <f t="shared" si="19"/>
        <v>35.458605724817424</v>
      </c>
      <c r="AB62" s="346">
        <f t="shared" si="20"/>
        <v>-0.58015481709729844</v>
      </c>
      <c r="AD62">
        <f t="shared" si="25"/>
        <v>0</v>
      </c>
      <c r="AE62">
        <f t="shared" si="21"/>
        <v>0</v>
      </c>
    </row>
    <row r="63" spans="1:31" x14ac:dyDescent="0.2">
      <c r="A63" s="347">
        <v>100</v>
      </c>
      <c r="B63" s="364">
        <f t="shared" si="22"/>
        <v>0.1</v>
      </c>
      <c r="C63" s="337">
        <f t="shared" si="0"/>
        <v>1.000061449684708</v>
      </c>
      <c r="D63" s="338">
        <f t="shared" si="1"/>
        <v>1.108571496594782E-2</v>
      </c>
      <c r="E63" s="338">
        <f t="shared" si="2"/>
        <v>1.0000000000174416</v>
      </c>
      <c r="F63" s="339">
        <f t="shared" si="3"/>
        <v>5.9061941819313249E-6</v>
      </c>
      <c r="G63" s="338">
        <f t="shared" si="4"/>
        <v>1</v>
      </c>
      <c r="H63" s="339">
        <f t="shared" si="5"/>
        <v>0</v>
      </c>
      <c r="I63" s="337">
        <f t="shared" si="6"/>
        <v>189.01828236211216</v>
      </c>
      <c r="J63" s="340">
        <f t="shared" si="7"/>
        <v>1.5655058085844413</v>
      </c>
      <c r="K63" s="348">
        <f t="shared" si="8"/>
        <v>1.0001517737005463</v>
      </c>
      <c r="L63" s="349">
        <f t="shared" si="9"/>
        <v>1.7421510094446185E-2</v>
      </c>
      <c r="M63" s="337">
        <f t="shared" si="10"/>
        <v>1.0000000040795221</v>
      </c>
      <c r="N63" s="340">
        <f t="shared" si="11"/>
        <v>9.0327427640338171E-5</v>
      </c>
      <c r="O63" s="341">
        <f t="shared" si="12"/>
        <v>0.99999999118593397</v>
      </c>
      <c r="P63" s="342">
        <f t="shared" si="13"/>
        <v>2.2637518735666316E-5</v>
      </c>
      <c r="Q63" s="343">
        <f t="shared" si="14"/>
        <v>51.626808293199026</v>
      </c>
      <c r="R63" s="344">
        <f t="shared" si="15"/>
        <v>-89.33999543112779</v>
      </c>
      <c r="S63" s="346">
        <f t="shared" si="16"/>
        <v>90.66000456887221</v>
      </c>
      <c r="U63" s="319">
        <f t="shared" si="23"/>
        <v>1000000000</v>
      </c>
      <c r="V63" s="319">
        <f t="shared" si="24"/>
        <v>10000</v>
      </c>
      <c r="X63" s="345">
        <f t="shared" si="17"/>
        <v>52.178466307822966</v>
      </c>
      <c r="Y63" s="346">
        <f t="shared" si="18"/>
        <v>-88.70387211568449</v>
      </c>
      <c r="AA63" s="345">
        <f t="shared" si="19"/>
        <v>35.458515948977535</v>
      </c>
      <c r="AB63" s="346">
        <f t="shared" si="20"/>
        <v>-0.6361233154432927</v>
      </c>
      <c r="AD63">
        <f t="shared" si="25"/>
        <v>0</v>
      </c>
      <c r="AE63">
        <f t="shared" si="21"/>
        <v>0</v>
      </c>
    </row>
    <row r="64" spans="1:31" x14ac:dyDescent="0.2">
      <c r="A64" s="347">
        <v>109.65</v>
      </c>
      <c r="B64" s="364">
        <f t="shared" si="22"/>
        <v>0.10965000000000001</v>
      </c>
      <c r="C64" s="337">
        <f t="shared" si="0"/>
        <v>1.0000738812494674</v>
      </c>
      <c r="D64" s="338">
        <f t="shared" si="1"/>
        <v>1.2155385724433096E-2</v>
      </c>
      <c r="E64" s="338">
        <f t="shared" si="2"/>
        <v>1.0000000000209703</v>
      </c>
      <c r="F64" s="339">
        <f t="shared" si="3"/>
        <v>6.4761419204724633E-6</v>
      </c>
      <c r="G64" s="338">
        <f t="shared" si="4"/>
        <v>1</v>
      </c>
      <c r="H64" s="339">
        <f t="shared" si="5"/>
        <v>0</v>
      </c>
      <c r="I64" s="337">
        <f t="shared" si="6"/>
        <v>207.25805854215355</v>
      </c>
      <c r="J64" s="340">
        <f t="shared" si="7"/>
        <v>1.565971405211521</v>
      </c>
      <c r="K64" s="348">
        <f t="shared" si="8"/>
        <v>1.0001824765783294</v>
      </c>
      <c r="L64" s="349">
        <f t="shared" si="9"/>
        <v>1.9102294865523412E-2</v>
      </c>
      <c r="M64" s="337">
        <f t="shared" si="10"/>
        <v>1.0000000049048594</v>
      </c>
      <c r="N64" s="340">
        <f t="shared" si="11"/>
        <v>9.9044024353134319E-5</v>
      </c>
      <c r="O64" s="341">
        <f t="shared" si="12"/>
        <v>0.99999998940274026</v>
      </c>
      <c r="P64" s="342">
        <f t="shared" si="13"/>
        <v>2.4822039338349527E-5</v>
      </c>
      <c r="Q64" s="343">
        <f t="shared" si="14"/>
        <v>50.826814700836962</v>
      </c>
      <c r="R64" s="344">
        <f t="shared" si="15"/>
        <v>-89.332249831497506</v>
      </c>
      <c r="S64" s="346">
        <f t="shared" si="16"/>
        <v>90.667750168502494</v>
      </c>
      <c r="U64" s="319">
        <f t="shared" si="23"/>
        <v>1000000000</v>
      </c>
      <c r="V64" s="319">
        <f t="shared" si="24"/>
        <v>12023.122500000001</v>
      </c>
      <c r="X64" s="345">
        <f t="shared" si="17"/>
        <v>51.378580671835181</v>
      </c>
      <c r="Y64" s="346">
        <f t="shared" si="18"/>
        <v>-88.634746387843464</v>
      </c>
      <c r="AA64" s="345">
        <f t="shared" si="19"/>
        <v>35.458407992603249</v>
      </c>
      <c r="AB64" s="346">
        <f t="shared" si="20"/>
        <v>-0.69750344365402528</v>
      </c>
      <c r="AD64">
        <f t="shared" si="25"/>
        <v>0</v>
      </c>
      <c r="AE64">
        <f t="shared" si="21"/>
        <v>0</v>
      </c>
    </row>
    <row r="65" spans="1:31" x14ac:dyDescent="0.2">
      <c r="A65" s="347">
        <v>120.23</v>
      </c>
      <c r="B65" s="364">
        <f t="shared" si="22"/>
        <v>0.12023</v>
      </c>
      <c r="C65" s="337">
        <f t="shared" si="0"/>
        <v>1.0000888258574891</v>
      </c>
      <c r="D65" s="338">
        <f t="shared" si="1"/>
        <v>1.3328111866279784E-2</v>
      </c>
      <c r="E65" s="338">
        <f t="shared" si="2"/>
        <v>1.0000000000252123</v>
      </c>
      <c r="F65" s="339">
        <f t="shared" si="3"/>
        <v>7.101017264899246E-6</v>
      </c>
      <c r="G65" s="338">
        <f t="shared" si="4"/>
        <v>1</v>
      </c>
      <c r="H65" s="339">
        <f t="shared" si="5"/>
        <v>0</v>
      </c>
      <c r="I65" s="337">
        <f t="shared" si="6"/>
        <v>227.25570065700754</v>
      </c>
      <c r="J65" s="340">
        <f t="shared" si="7"/>
        <v>1.5663959829342706</v>
      </c>
      <c r="K65" s="348">
        <f t="shared" si="8"/>
        <v>1.0002193853065631</v>
      </c>
      <c r="L65" s="349">
        <f t="shared" si="9"/>
        <v>2.0944937613163392E-2</v>
      </c>
      <c r="M65" s="337">
        <f t="shared" si="10"/>
        <v>1.0000000058970524</v>
      </c>
      <c r="N65" s="340">
        <f t="shared" si="11"/>
        <v>1.0860066612038858E-4</v>
      </c>
      <c r="O65" s="341">
        <f t="shared" si="12"/>
        <v>0.99999998725904449</v>
      </c>
      <c r="P65" s="342">
        <f t="shared" si="13"/>
        <v>2.7217088883805776E-5</v>
      </c>
      <c r="Q65" s="343">
        <f t="shared" si="14"/>
        <v>50.0269382238194</v>
      </c>
      <c r="R65" s="344">
        <f t="shared" si="15"/>
        <v>-89.318841927683621</v>
      </c>
      <c r="S65" s="346">
        <f t="shared" si="16"/>
        <v>90.681158072316379</v>
      </c>
      <c r="U65" s="319">
        <f t="shared" si="23"/>
        <v>1000000000</v>
      </c>
      <c r="V65" s="319">
        <f t="shared" si="24"/>
        <v>14455.252900000001</v>
      </c>
      <c r="X65" s="345">
        <f t="shared" si="17"/>
        <v>50.578833972817414</v>
      </c>
      <c r="Y65" s="346">
        <f t="shared" si="18"/>
        <v>-88.554044801989505</v>
      </c>
      <c r="AA65" s="345">
        <f t="shared" si="19"/>
        <v>35.458278214603453</v>
      </c>
      <c r="AB65" s="346">
        <f t="shared" si="20"/>
        <v>-0.76479712569411706</v>
      </c>
      <c r="AD65">
        <f t="shared" si="25"/>
        <v>0</v>
      </c>
      <c r="AE65">
        <f t="shared" si="21"/>
        <v>0</v>
      </c>
    </row>
    <row r="66" spans="1:31" x14ac:dyDescent="0.2">
      <c r="A66" s="347">
        <v>131.83000000000001</v>
      </c>
      <c r="B66" s="364">
        <f t="shared" si="22"/>
        <v>0.13183</v>
      </c>
      <c r="C66" s="337">
        <f t="shared" si="0"/>
        <v>1.0001067919010234</v>
      </c>
      <c r="D66" s="338">
        <f t="shared" si="1"/>
        <v>1.4613856310426146E-2</v>
      </c>
      <c r="E66" s="338">
        <f t="shared" si="2"/>
        <v>1.000000000030312</v>
      </c>
      <c r="F66" s="339">
        <f t="shared" si="3"/>
        <v>7.7861357899732595E-6</v>
      </c>
      <c r="G66" s="338">
        <f t="shared" si="4"/>
        <v>1</v>
      </c>
      <c r="H66" s="339">
        <f t="shared" si="5"/>
        <v>0</v>
      </c>
      <c r="I66" s="337">
        <f t="shared" si="6"/>
        <v>249.1813209637896</v>
      </c>
      <c r="J66" s="340">
        <f t="shared" si="7"/>
        <v>1.5667831741220974</v>
      </c>
      <c r="K66" s="348">
        <f t="shared" si="8"/>
        <v>1.0002637550073954</v>
      </c>
      <c r="L66" s="349">
        <f t="shared" si="9"/>
        <v>2.2965062516224578E-2</v>
      </c>
      <c r="M66" s="337">
        <f t="shared" si="10"/>
        <v>1.0000000070898623</v>
      </c>
      <c r="N66" s="340">
        <f t="shared" si="11"/>
        <v>1.1907864761927967E-4</v>
      </c>
      <c r="O66" s="341">
        <f t="shared" si="12"/>
        <v>0.9999999846819031</v>
      </c>
      <c r="P66" s="342">
        <f t="shared" si="13"/>
        <v>2.984304114520982E-5</v>
      </c>
      <c r="Q66" s="343">
        <f t="shared" si="14"/>
        <v>49.227153545722246</v>
      </c>
      <c r="R66" s="344">
        <f t="shared" si="15"/>
        <v>-89.299660993435666</v>
      </c>
      <c r="S66" s="346">
        <f t="shared" si="16"/>
        <v>90.700339006564334</v>
      </c>
      <c r="U66" s="319">
        <f t="shared" si="23"/>
        <v>1000000000</v>
      </c>
      <c r="V66" s="319">
        <f t="shared" si="24"/>
        <v>17379.148900000004</v>
      </c>
      <c r="X66" s="345">
        <f t="shared" si="17"/>
        <v>49.779205308100885</v>
      </c>
      <c r="Y66" s="346">
        <f t="shared" si="18"/>
        <v>-88.461084935893439</v>
      </c>
      <c r="AA66" s="345">
        <f t="shared" si="19"/>
        <v>35.458122201222828</v>
      </c>
      <c r="AB66" s="346">
        <f t="shared" si="20"/>
        <v>-0.83857605754223052</v>
      </c>
      <c r="AD66">
        <f t="shared" si="25"/>
        <v>0</v>
      </c>
      <c r="AE66">
        <f t="shared" si="21"/>
        <v>0</v>
      </c>
    </row>
    <row r="67" spans="1:31" x14ac:dyDescent="0.2">
      <c r="A67" s="347">
        <v>144.54</v>
      </c>
      <c r="B67" s="364">
        <f t="shared" si="22"/>
        <v>0.14454</v>
      </c>
      <c r="C67" s="337">
        <f t="shared" si="0"/>
        <v>1.0001283752279209</v>
      </c>
      <c r="D67" s="338">
        <f t="shared" si="1"/>
        <v>1.6022577565783673E-2</v>
      </c>
      <c r="E67" s="338">
        <f t="shared" si="2"/>
        <v>1.0000000000364386</v>
      </c>
      <c r="F67" s="339">
        <f t="shared" si="3"/>
        <v>8.5368130704554212E-6</v>
      </c>
      <c r="G67" s="338">
        <f t="shared" si="4"/>
        <v>1</v>
      </c>
      <c r="H67" s="339">
        <f t="shared" si="5"/>
        <v>0</v>
      </c>
      <c r="I67" s="337">
        <f t="shared" si="6"/>
        <v>273.20503199324349</v>
      </c>
      <c r="J67" s="340">
        <f t="shared" si="7"/>
        <v>1.567136063930672</v>
      </c>
      <c r="K67" s="348">
        <f t="shared" si="8"/>
        <v>1.0003170565557471</v>
      </c>
      <c r="L67" s="349">
        <f t="shared" si="9"/>
        <v>2.5178276656236228E-2</v>
      </c>
      <c r="M67" s="337">
        <f t="shared" si="10"/>
        <v>1.0000000085228606</v>
      </c>
      <c r="N67" s="340">
        <f t="shared" si="11"/>
        <v>1.3055926352459877E-4</v>
      </c>
      <c r="O67" s="341">
        <f t="shared" si="12"/>
        <v>0.99999998158581904</v>
      </c>
      <c r="P67" s="342">
        <f t="shared" si="13"/>
        <v>3.2720269897694294E-5</v>
      </c>
      <c r="Q67" s="343">
        <f t="shared" si="14"/>
        <v>48.427964742932346</v>
      </c>
      <c r="R67" s="344">
        <f t="shared" si="15"/>
        <v>-89.274565676394346</v>
      </c>
      <c r="S67" s="346">
        <f t="shared" si="16"/>
        <v>90.725434323605654</v>
      </c>
      <c r="U67" s="319">
        <f t="shared" si="23"/>
        <v>1000000000</v>
      </c>
      <c r="V67" s="319">
        <f t="shared" si="24"/>
        <v>20891.811599999997</v>
      </c>
      <c r="X67" s="345">
        <f t="shared" si="17"/>
        <v>48.980203926720151</v>
      </c>
      <c r="Y67" s="346">
        <f t="shared" si="18"/>
        <v>-88.355153993893126</v>
      </c>
      <c r="AA67" s="345">
        <f t="shared" si="19"/>
        <v>35.457934779813677</v>
      </c>
      <c r="AB67" s="346">
        <f t="shared" si="20"/>
        <v>-0.91941168250121919</v>
      </c>
      <c r="AD67">
        <f t="shared" si="25"/>
        <v>0</v>
      </c>
      <c r="AE67">
        <f t="shared" si="21"/>
        <v>0</v>
      </c>
    </row>
    <row r="68" spans="1:31" x14ac:dyDescent="0.2">
      <c r="A68" s="347">
        <v>158.49</v>
      </c>
      <c r="B68" s="364">
        <f t="shared" si="22"/>
        <v>0.15849000000000002</v>
      </c>
      <c r="C68" s="337">
        <f t="shared" si="0"/>
        <v>1.0001543487860183</v>
      </c>
      <c r="D68" s="338">
        <f t="shared" si="1"/>
        <v>1.7568661626677959E-2</v>
      </c>
      <c r="E68" s="338">
        <f t="shared" si="2"/>
        <v>1.0000000000438116</v>
      </c>
      <c r="F68" s="339">
        <f t="shared" si="3"/>
        <v>9.3607271587783967E-6</v>
      </c>
      <c r="G68" s="338">
        <f t="shared" si="4"/>
        <v>1</v>
      </c>
      <c r="H68" s="339">
        <f t="shared" si="5"/>
        <v>0</v>
      </c>
      <c r="I68" s="337">
        <f t="shared" si="6"/>
        <v>299.57255228419098</v>
      </c>
      <c r="J68" s="340">
        <f t="shared" si="7"/>
        <v>1.5674582310664169</v>
      </c>
      <c r="K68" s="348">
        <f t="shared" si="8"/>
        <v>1.0003811978494319</v>
      </c>
      <c r="L68" s="349">
        <f t="shared" si="9"/>
        <v>2.7607129356098166E-2</v>
      </c>
      <c r="M68" s="337">
        <f t="shared" si="10"/>
        <v>1.0000000102473843</v>
      </c>
      <c r="N68" s="340">
        <f t="shared" si="11"/>
        <v>1.4315993947851147E-4</v>
      </c>
      <c r="O68" s="341">
        <f t="shared" si="12"/>
        <v>0.9999999778598766</v>
      </c>
      <c r="P68" s="342">
        <f t="shared" si="13"/>
        <v>3.5878203926905552E-5</v>
      </c>
      <c r="Q68" s="343">
        <f t="shared" si="14"/>
        <v>47.62802960989746</v>
      </c>
      <c r="R68" s="344">
        <f t="shared" si="15"/>
        <v>-89.243301271278369</v>
      </c>
      <c r="S68" s="346">
        <f t="shared" si="16"/>
        <v>90.756698728721631</v>
      </c>
      <c r="U68" s="319">
        <f t="shared" si="23"/>
        <v>1000000000</v>
      </c>
      <c r="V68" s="319">
        <f t="shared" si="24"/>
        <v>25119.080100000003</v>
      </c>
      <c r="X68" s="345">
        <f t="shared" si="17"/>
        <v>48.180494332829994</v>
      </c>
      <c r="Y68" s="346">
        <f t="shared" si="18"/>
        <v>-88.235171767722164</v>
      </c>
      <c r="AA68" s="345">
        <f t="shared" si="19"/>
        <v>35.457709240668933</v>
      </c>
      <c r="AB68" s="346">
        <f t="shared" si="20"/>
        <v>-1.0081295035561963</v>
      </c>
      <c r="AD68">
        <f t="shared" si="25"/>
        <v>0</v>
      </c>
      <c r="AE68">
        <f t="shared" si="21"/>
        <v>0</v>
      </c>
    </row>
    <row r="69" spans="1:31" x14ac:dyDescent="0.2">
      <c r="A69" s="347">
        <v>173.78</v>
      </c>
      <c r="B69" s="364">
        <f t="shared" si="22"/>
        <v>0.17377999999999999</v>
      </c>
      <c r="C69" s="337">
        <f t="shared" si="0"/>
        <v>1.0001855633889261</v>
      </c>
      <c r="D69" s="338">
        <f t="shared" si="1"/>
        <v>1.9263161664671995E-2</v>
      </c>
      <c r="E69" s="338">
        <f t="shared" si="2"/>
        <v>1.0000000000526725</v>
      </c>
      <c r="F69" s="339">
        <f t="shared" si="3"/>
        <v>1.0263784249119188E-5</v>
      </c>
      <c r="G69" s="338">
        <f t="shared" si="4"/>
        <v>1</v>
      </c>
      <c r="H69" s="339">
        <f t="shared" si="5"/>
        <v>0</v>
      </c>
      <c r="I69" s="337">
        <f t="shared" si="6"/>
        <v>328.47289634601782</v>
      </c>
      <c r="J69" s="340">
        <f t="shared" si="7"/>
        <v>1.5677519308771504</v>
      </c>
      <c r="K69" s="348">
        <f t="shared" si="8"/>
        <v>1.0004582785839251</v>
      </c>
      <c r="L69" s="349">
        <f t="shared" si="9"/>
        <v>3.026891594655879E-2</v>
      </c>
      <c r="M69" s="337">
        <f t="shared" si="10"/>
        <v>1.000000012319948</v>
      </c>
      <c r="N69" s="340">
        <f t="shared" si="11"/>
        <v>1.5697100289104106E-4</v>
      </c>
      <c r="O69" s="341">
        <f t="shared" si="12"/>
        <v>0.99999997338197111</v>
      </c>
      <c r="P69" s="342">
        <f t="shared" si="13"/>
        <v>3.9339480766026542E-5</v>
      </c>
      <c r="Q69" s="343">
        <f t="shared" si="14"/>
        <v>46.828477375624374</v>
      </c>
      <c r="R69" s="344">
        <f t="shared" si="15"/>
        <v>-89.205645484636847</v>
      </c>
      <c r="S69" s="346">
        <f t="shared" si="16"/>
        <v>90.794354515363153</v>
      </c>
      <c r="U69" s="319">
        <f t="shared" si="23"/>
        <v>1000000000</v>
      </c>
      <c r="V69" s="319">
        <f t="shared" si="24"/>
        <v>30199.488400000002</v>
      </c>
      <c r="X69" s="345">
        <f t="shared" si="17"/>
        <v>47.381213140109537</v>
      </c>
      <c r="Y69" s="346">
        <f t="shared" si="18"/>
        <v>-88.100281705213064</v>
      </c>
      <c r="AA69" s="345">
        <f t="shared" si="19"/>
        <v>35.457438199116304</v>
      </c>
      <c r="AB69" s="346">
        <f t="shared" si="20"/>
        <v>-1.1053637794237907</v>
      </c>
      <c r="AD69">
        <f t="shared" si="25"/>
        <v>0</v>
      </c>
      <c r="AE69">
        <f t="shared" si="21"/>
        <v>0</v>
      </c>
    </row>
    <row r="70" spans="1:31" x14ac:dyDescent="0.2">
      <c r="A70" s="347">
        <v>190.55</v>
      </c>
      <c r="B70" s="364">
        <f t="shared" si="22"/>
        <v>0.19055000000000002</v>
      </c>
      <c r="C70" s="337">
        <f t="shared" si="0"/>
        <v>1.000223101487234</v>
      </c>
      <c r="D70" s="338">
        <f t="shared" si="1"/>
        <v>2.1121553757619017E-2</v>
      </c>
      <c r="E70" s="338">
        <f t="shared" si="2"/>
        <v>1.0000000000633291</v>
      </c>
      <c r="F70" s="339">
        <f t="shared" si="3"/>
        <v>1.1254253013325854E-5</v>
      </c>
      <c r="G70" s="338">
        <f t="shared" si="4"/>
        <v>1</v>
      </c>
      <c r="H70" s="339">
        <f t="shared" si="5"/>
        <v>0</v>
      </c>
      <c r="I70" s="337">
        <f t="shared" si="6"/>
        <v>360.17068472139323</v>
      </c>
      <c r="J70" s="340">
        <f t="shared" si="7"/>
        <v>1.5680198618375456</v>
      </c>
      <c r="K70" s="348">
        <f t="shared" si="8"/>
        <v>1.0005509697563366</v>
      </c>
      <c r="L70" s="349">
        <f t="shared" si="9"/>
        <v>3.3187856277778115E-2</v>
      </c>
      <c r="M70" s="337">
        <f t="shared" si="10"/>
        <v>1.0000000148124601</v>
      </c>
      <c r="N70" s="340">
        <f t="shared" si="11"/>
        <v>1.7211891213710331E-4</v>
      </c>
      <c r="O70" s="341">
        <f t="shared" si="12"/>
        <v>0.99999996799674051</v>
      </c>
      <c r="P70" s="342">
        <f t="shared" si="13"/>
        <v>4.3135792960789316E-5</v>
      </c>
      <c r="Q70" s="343">
        <f t="shared" si="14"/>
        <v>46.028779683698005</v>
      </c>
      <c r="R70" s="344">
        <f t="shared" si="15"/>
        <v>-89.161260534049433</v>
      </c>
      <c r="S70" s="346">
        <f t="shared" si="16"/>
        <v>90.838739465950567</v>
      </c>
      <c r="U70" s="319">
        <f t="shared" si="23"/>
        <v>1000000000</v>
      </c>
      <c r="V70" s="319">
        <f t="shared" si="24"/>
        <v>36309.302500000005</v>
      </c>
      <c r="X70" s="345">
        <f t="shared" si="17"/>
        <v>46.581841386484911</v>
      </c>
      <c r="Y70" s="346">
        <f t="shared" si="18"/>
        <v>-87.949257967910896</v>
      </c>
      <c r="AA70" s="345">
        <f t="shared" si="19"/>
        <v>35.457112260814569</v>
      </c>
      <c r="AB70" s="346">
        <f t="shared" si="20"/>
        <v>-1.212002566138537</v>
      </c>
      <c r="AD70">
        <f t="shared" si="25"/>
        <v>0</v>
      </c>
      <c r="AE70">
        <f t="shared" si="21"/>
        <v>0</v>
      </c>
    </row>
    <row r="71" spans="1:31" x14ac:dyDescent="0.2">
      <c r="A71" s="347">
        <v>208.93</v>
      </c>
      <c r="B71" s="364">
        <f t="shared" si="22"/>
        <v>0.20893</v>
      </c>
      <c r="C71" s="337">
        <f t="shared" si="0"/>
        <v>1.000268210869159</v>
      </c>
      <c r="D71" s="338">
        <f t="shared" si="1"/>
        <v>2.3158192300675291E-2</v>
      </c>
      <c r="E71" s="338">
        <f t="shared" si="2"/>
        <v>1.0000000000761355</v>
      </c>
      <c r="F71" s="339">
        <f t="shared" si="3"/>
        <v>1.233981150382627E-5</v>
      </c>
      <c r="G71" s="338">
        <f t="shared" si="4"/>
        <v>1</v>
      </c>
      <c r="H71" s="339">
        <f t="shared" si="5"/>
        <v>0</v>
      </c>
      <c r="I71" s="337">
        <f t="shared" si="6"/>
        <v>394.91163669446956</v>
      </c>
      <c r="J71" s="340">
        <f t="shared" si="7"/>
        <v>1.5682641120517293</v>
      </c>
      <c r="K71" s="348">
        <f t="shared" si="8"/>
        <v>1.0006623496088323</v>
      </c>
      <c r="L71" s="349">
        <f t="shared" si="9"/>
        <v>3.6386377290845054E-2</v>
      </c>
      <c r="M71" s="337">
        <f t="shared" si="10"/>
        <v>1.0000000178078257</v>
      </c>
      <c r="N71" s="340">
        <f t="shared" si="11"/>
        <v>1.8872109284174488E-4</v>
      </c>
      <c r="O71" s="341">
        <f t="shared" si="12"/>
        <v>0.99999996152506321</v>
      </c>
      <c r="P71" s="342">
        <f t="shared" si="13"/>
        <v>4.729656931087896E-5</v>
      </c>
      <c r="Q71" s="343">
        <f t="shared" si="14"/>
        <v>45.229523449825123</v>
      </c>
      <c r="R71" s="344">
        <f t="shared" si="15"/>
        <v>-89.109811510476206</v>
      </c>
      <c r="S71" s="346">
        <f t="shared" si="16"/>
        <v>90.890188489523794</v>
      </c>
      <c r="U71" s="319">
        <f t="shared" si="23"/>
        <v>1000000000</v>
      </c>
      <c r="V71" s="319">
        <f t="shared" si="24"/>
        <v>43651.744900000005</v>
      </c>
      <c r="X71" s="345">
        <f t="shared" si="17"/>
        <v>45.782976815173456</v>
      </c>
      <c r="Y71" s="346">
        <f t="shared" si="18"/>
        <v>-87.780941954288906</v>
      </c>
      <c r="AA71" s="345">
        <f t="shared" si="19"/>
        <v>35.456720598253135</v>
      </c>
      <c r="AB71" s="346">
        <f t="shared" si="20"/>
        <v>-1.3288695561873121</v>
      </c>
      <c r="AD71">
        <f t="shared" si="25"/>
        <v>0</v>
      </c>
      <c r="AE71">
        <f t="shared" si="21"/>
        <v>0</v>
      </c>
    </row>
    <row r="72" spans="1:31" x14ac:dyDescent="0.2">
      <c r="A72" s="347">
        <v>229.09</v>
      </c>
      <c r="B72" s="364">
        <f t="shared" si="22"/>
        <v>0.22909000000000002</v>
      </c>
      <c r="C72" s="337">
        <f t="shared" si="0"/>
        <v>1.0003224595556808</v>
      </c>
      <c r="D72" s="338">
        <f t="shared" si="1"/>
        <v>2.5391846304659186E-2</v>
      </c>
      <c r="E72" s="338">
        <f t="shared" si="2"/>
        <v>1.0000000000915372</v>
      </c>
      <c r="F72" s="339">
        <f t="shared" si="3"/>
        <v>1.3530500250718105E-5</v>
      </c>
      <c r="G72" s="338">
        <f t="shared" si="4"/>
        <v>1</v>
      </c>
      <c r="H72" s="339">
        <f t="shared" si="5"/>
        <v>0</v>
      </c>
      <c r="I72" s="337">
        <f t="shared" si="6"/>
        <v>433.01707771555294</v>
      </c>
      <c r="J72" s="340">
        <f t="shared" si="7"/>
        <v>1.568486947002883</v>
      </c>
      <c r="K72" s="348">
        <f t="shared" si="8"/>
        <v>1.000796285608859</v>
      </c>
      <c r="L72" s="349">
        <f t="shared" si="9"/>
        <v>3.989379839880363E-2</v>
      </c>
      <c r="M72" s="337">
        <f t="shared" si="10"/>
        <v>1.0000000214102407</v>
      </c>
      <c r="N72" s="340">
        <f t="shared" si="11"/>
        <v>2.069311015904076E-4</v>
      </c>
      <c r="O72" s="341">
        <f t="shared" si="12"/>
        <v>0.99999995374181705</v>
      </c>
      <c r="P72" s="342">
        <f t="shared" si="13"/>
        <v>5.1860293632217799E-5</v>
      </c>
      <c r="Q72" s="343">
        <f t="shared" si="14"/>
        <v>44.430113058992795</v>
      </c>
      <c r="R72" s="344">
        <f t="shared" si="15"/>
        <v>-89.050834150846342</v>
      </c>
      <c r="S72" s="346">
        <f t="shared" si="16"/>
        <v>90.949165849153658</v>
      </c>
      <c r="U72" s="319">
        <f t="shared" si="23"/>
        <v>1000000000</v>
      </c>
      <c r="V72" s="319">
        <f t="shared" si="24"/>
        <v>52482.2281</v>
      </c>
      <c r="X72" s="345">
        <f t="shared" si="17"/>
        <v>44.984037415586883</v>
      </c>
      <c r="Y72" s="346">
        <f t="shared" si="18"/>
        <v>-87.593792386489227</v>
      </c>
      <c r="AA72" s="345">
        <f t="shared" si="19"/>
        <v>35.456249607007379</v>
      </c>
      <c r="AB72" s="346">
        <f t="shared" si="20"/>
        <v>-1.4570417643571081</v>
      </c>
      <c r="AD72">
        <f t="shared" si="25"/>
        <v>0</v>
      </c>
      <c r="AE72">
        <f t="shared" si="21"/>
        <v>0</v>
      </c>
    </row>
    <row r="73" spans="1:31" x14ac:dyDescent="0.2">
      <c r="A73" s="347">
        <v>251.19</v>
      </c>
      <c r="B73" s="364">
        <f t="shared" si="22"/>
        <v>0.25119000000000002</v>
      </c>
      <c r="C73" s="337">
        <f t="shared" si="0"/>
        <v>1.0003876622593453</v>
      </c>
      <c r="D73" s="338">
        <f t="shared" si="1"/>
        <v>2.7840153222887031E-2</v>
      </c>
      <c r="E73" s="338">
        <f t="shared" si="2"/>
        <v>1.00000000011005</v>
      </c>
      <c r="F73" s="339">
        <f t="shared" si="3"/>
        <v>1.483576916467735E-5</v>
      </c>
      <c r="G73" s="338">
        <f t="shared" si="4"/>
        <v>1</v>
      </c>
      <c r="H73" s="339">
        <f t="shared" si="5"/>
        <v>0</v>
      </c>
      <c r="I73" s="337">
        <f t="shared" si="6"/>
        <v>474.78943192313136</v>
      </c>
      <c r="J73" s="340">
        <f t="shared" si="7"/>
        <v>1.5686901284001784</v>
      </c>
      <c r="K73" s="348">
        <f t="shared" si="8"/>
        <v>1.0009572521625256</v>
      </c>
      <c r="L73" s="349">
        <f t="shared" si="9"/>
        <v>4.3737607982435825E-2</v>
      </c>
      <c r="M73" s="337">
        <f t="shared" si="10"/>
        <v>1.0000000257403221</v>
      </c>
      <c r="N73" s="340">
        <f t="shared" si="11"/>
        <v>2.2689346221330283E-4</v>
      </c>
      <c r="O73" s="341">
        <f t="shared" si="12"/>
        <v>0.9999999443864015</v>
      </c>
      <c r="P73" s="342">
        <f t="shared" si="13"/>
        <v>5.6863185999077876E-5</v>
      </c>
      <c r="Q73" s="343">
        <f t="shared" si="14"/>
        <v>43.631023495643689</v>
      </c>
      <c r="R73" s="344">
        <f t="shared" si="15"/>
        <v>-88.983874791514395</v>
      </c>
      <c r="S73" s="346">
        <f t="shared" si="16"/>
        <v>91.016125208485605</v>
      </c>
      <c r="U73" s="319">
        <f t="shared" si="23"/>
        <v>1000000000</v>
      </c>
      <c r="V73" s="319">
        <f t="shared" si="24"/>
        <v>63096.416100000002</v>
      </c>
      <c r="X73" s="345">
        <f t="shared" si="17"/>
        <v>44.185513913290144</v>
      </c>
      <c r="Y73" s="346">
        <f t="shared" si="18"/>
        <v>-87.386343515411539</v>
      </c>
      <c r="AA73" s="345">
        <f t="shared" si="19"/>
        <v>35.455683545955019</v>
      </c>
      <c r="AB73" s="346">
        <f t="shared" si="20"/>
        <v>-1.5975312761028573</v>
      </c>
      <c r="AD73">
        <f t="shared" si="25"/>
        <v>0</v>
      </c>
      <c r="AE73">
        <f t="shared" si="21"/>
        <v>0</v>
      </c>
    </row>
    <row r="74" spans="1:31" x14ac:dyDescent="0.2">
      <c r="A74" s="347">
        <v>275.42</v>
      </c>
      <c r="B74" s="364">
        <f t="shared" si="22"/>
        <v>0.27542</v>
      </c>
      <c r="C74" s="337">
        <f t="shared" si="0"/>
        <v>1.0004660395377554</v>
      </c>
      <c r="D74" s="338">
        <f t="shared" si="1"/>
        <v>3.0524043495671976E-2</v>
      </c>
      <c r="E74" s="338">
        <f t="shared" si="2"/>
        <v>1.0000000001323051</v>
      </c>
      <c r="F74" s="339">
        <f t="shared" si="3"/>
        <v>1.6266840014629612E-5</v>
      </c>
      <c r="G74" s="338">
        <f t="shared" si="4"/>
        <v>1</v>
      </c>
      <c r="H74" s="339">
        <f t="shared" si="5"/>
        <v>0</v>
      </c>
      <c r="I74" s="337">
        <f t="shared" si="6"/>
        <v>520.58782814572282</v>
      </c>
      <c r="J74" s="340">
        <f t="shared" si="7"/>
        <v>1.5688754201564481</v>
      </c>
      <c r="K74" s="348">
        <f t="shared" si="8"/>
        <v>1.0011507225472855</v>
      </c>
      <c r="L74" s="349">
        <f t="shared" si="9"/>
        <v>4.7950394390483313E-2</v>
      </c>
      <c r="M74" s="337">
        <f t="shared" si="10"/>
        <v>1.0000000309456945</v>
      </c>
      <c r="N74" s="340">
        <f t="shared" si="11"/>
        <v>2.4877979675117884E-4</v>
      </c>
      <c r="O74" s="341">
        <f t="shared" si="12"/>
        <v>0.99999993313986435</v>
      </c>
      <c r="P74" s="342">
        <f t="shared" si="13"/>
        <v>6.2348257755912812E-5</v>
      </c>
      <c r="Q74" s="343">
        <f t="shared" si="14"/>
        <v>42.832162435625953</v>
      </c>
      <c r="R74" s="344">
        <f t="shared" si="15"/>
        <v>-88.90837820291668</v>
      </c>
      <c r="S74" s="346">
        <f t="shared" si="16"/>
        <v>91.09162179708332</v>
      </c>
      <c r="U74" s="319">
        <f t="shared" si="23"/>
        <v>1000000000</v>
      </c>
      <c r="V74" s="319">
        <f t="shared" si="24"/>
        <v>75856.176400000011</v>
      </c>
      <c r="X74" s="345">
        <f t="shared" si="17"/>
        <v>43.387333241317627</v>
      </c>
      <c r="Y74" s="346">
        <f t="shared" si="18"/>
        <v>-87.156839064188944</v>
      </c>
      <c r="AA74" s="345">
        <f t="shared" si="19"/>
        <v>35.455003157909786</v>
      </c>
      <c r="AB74" s="346">
        <f t="shared" si="20"/>
        <v>-1.7515391387277361</v>
      </c>
      <c r="AD74">
        <f t="shared" si="25"/>
        <v>0</v>
      </c>
      <c r="AE74">
        <f t="shared" si="21"/>
        <v>0</v>
      </c>
    </row>
    <row r="75" spans="1:31" x14ac:dyDescent="0.2">
      <c r="A75" s="347">
        <v>302</v>
      </c>
      <c r="B75" s="364">
        <f t="shared" si="22"/>
        <v>0.30199999999999999</v>
      </c>
      <c r="C75" s="337">
        <f t="shared" si="0"/>
        <v>1.0005603059526358</v>
      </c>
      <c r="D75" s="338">
        <f t="shared" si="1"/>
        <v>3.3467729492598852E-2</v>
      </c>
      <c r="E75" s="338">
        <f t="shared" si="2"/>
        <v>1.0000000001590741</v>
      </c>
      <c r="F75" s="339">
        <f t="shared" si="3"/>
        <v>1.7836706427748431E-5</v>
      </c>
      <c r="G75" s="338">
        <f t="shared" si="4"/>
        <v>1</v>
      </c>
      <c r="H75" s="339">
        <f t="shared" si="5"/>
        <v>0</v>
      </c>
      <c r="I75" s="337">
        <f t="shared" si="6"/>
        <v>570.82809995355876</v>
      </c>
      <c r="J75" s="340">
        <f t="shared" si="7"/>
        <v>1.569044485020511</v>
      </c>
      <c r="K75" s="348">
        <f t="shared" si="8"/>
        <v>1.0013833850267728</v>
      </c>
      <c r="L75" s="349">
        <f t="shared" si="9"/>
        <v>5.2569803348224323E-2</v>
      </c>
      <c r="M75" s="337">
        <f t="shared" si="10"/>
        <v>1.0000000372068727</v>
      </c>
      <c r="N75" s="340">
        <f t="shared" si="11"/>
        <v>2.7278882544930726E-4</v>
      </c>
      <c r="O75" s="341">
        <f t="shared" si="12"/>
        <v>0.99999991961219126</v>
      </c>
      <c r="P75" s="342">
        <f t="shared" si="13"/>
        <v>6.8365311522288949E-5</v>
      </c>
      <c r="Q75" s="343">
        <f t="shared" si="14"/>
        <v>42.033135771178955</v>
      </c>
      <c r="R75" s="344">
        <f t="shared" si="15"/>
        <v>-88.823683473787483</v>
      </c>
      <c r="S75" s="346">
        <f t="shared" si="16"/>
        <v>91.176316526212517</v>
      </c>
      <c r="U75" s="319">
        <f t="shared" si="23"/>
        <v>1000000000</v>
      </c>
      <c r="V75" s="319">
        <f t="shared" si="24"/>
        <v>91204</v>
      </c>
      <c r="X75" s="345">
        <f t="shared" si="17"/>
        <v>42.589124826851062</v>
      </c>
      <c r="Y75" s="346">
        <f t="shared" si="18"/>
        <v>-86.903228745965023</v>
      </c>
      <c r="AA75" s="345">
        <f t="shared" si="19"/>
        <v>35.45418490792936</v>
      </c>
      <c r="AB75" s="346">
        <f t="shared" si="20"/>
        <v>-1.920454727822466</v>
      </c>
      <c r="AD75">
        <f t="shared" si="25"/>
        <v>0</v>
      </c>
      <c r="AE75">
        <f t="shared" si="21"/>
        <v>0</v>
      </c>
    </row>
    <row r="76" spans="1:31" x14ac:dyDescent="0.2">
      <c r="A76" s="347">
        <v>331.13</v>
      </c>
      <c r="B76" s="364">
        <f t="shared" si="22"/>
        <v>0.33112999999999998</v>
      </c>
      <c r="C76" s="337">
        <f t="shared" si="0"/>
        <v>1.0006735716827768</v>
      </c>
      <c r="D76" s="338">
        <f t="shared" si="1"/>
        <v>3.6693155155171055E-2</v>
      </c>
      <c r="E76" s="338">
        <f t="shared" si="2"/>
        <v>1.0000000001912417</v>
      </c>
      <c r="F76" s="339">
        <f t="shared" si="3"/>
        <v>1.9557180792363169E-5</v>
      </c>
      <c r="G76" s="338">
        <f t="shared" si="4"/>
        <v>1</v>
      </c>
      <c r="H76" s="339">
        <f t="shared" si="5"/>
        <v>0</v>
      </c>
      <c r="I76" s="337">
        <f t="shared" si="6"/>
        <v>625.88827798388377</v>
      </c>
      <c r="J76" s="340">
        <f t="shared" si="7"/>
        <v>1.5691985968794584</v>
      </c>
      <c r="K76" s="348">
        <f t="shared" si="8"/>
        <v>1.0016628979341768</v>
      </c>
      <c r="L76" s="349">
        <f t="shared" si="9"/>
        <v>5.7629798566348971E-2</v>
      </c>
      <c r="M76" s="337">
        <f t="shared" si="10"/>
        <v>1.0000000447307664</v>
      </c>
      <c r="N76" s="340">
        <f t="shared" si="11"/>
        <v>2.9910120303956104E-4</v>
      </c>
      <c r="O76" s="341">
        <f t="shared" si="12"/>
        <v>0.99999990335634126</v>
      </c>
      <c r="P76" s="342">
        <f t="shared" si="13"/>
        <v>7.4959622436881752E-5</v>
      </c>
      <c r="Q76" s="343">
        <f t="shared" si="14"/>
        <v>41.234747284878132</v>
      </c>
      <c r="R76" s="344">
        <f t="shared" si="15"/>
        <v>-88.729187178462993</v>
      </c>
      <c r="S76" s="346">
        <f t="shared" si="16"/>
        <v>91.270812821537007</v>
      </c>
      <c r="U76" s="319">
        <f t="shared" si="23"/>
        <v>1000000000</v>
      </c>
      <c r="V76" s="319">
        <f t="shared" si="24"/>
        <v>109647.0769</v>
      </c>
      <c r="X76" s="345">
        <f t="shared" si="17"/>
        <v>41.791719406128536</v>
      </c>
      <c r="Y76" s="346">
        <f t="shared" si="18"/>
        <v>-86.623649922566116</v>
      </c>
      <c r="AA76" s="345">
        <f t="shared" si="19"/>
        <v>35.453201842351064</v>
      </c>
      <c r="AB76" s="346">
        <f t="shared" si="20"/>
        <v>-2.1055372558968783</v>
      </c>
      <c r="AD76">
        <f t="shared" si="25"/>
        <v>0</v>
      </c>
      <c r="AE76">
        <f t="shared" si="21"/>
        <v>0</v>
      </c>
    </row>
    <row r="77" spans="1:31" x14ac:dyDescent="0.2">
      <c r="A77" s="347">
        <v>363.08</v>
      </c>
      <c r="B77" s="364">
        <f t="shared" si="22"/>
        <v>0.36307999999999996</v>
      </c>
      <c r="C77" s="337">
        <f t="shared" ref="C77:C140" si="26">SQRT(1+(A77/pole1)^2)</f>
        <v>1.000809770314917</v>
      </c>
      <c r="D77" s="338">
        <f t="shared" ref="D77:D140" si="27">ATAN(A77/pole1)</f>
        <v>4.0229945370932198E-2</v>
      </c>
      <c r="E77" s="338">
        <f t="shared" ref="E77:E140" si="28">SQRT(1+(A77/Zero1)^2)</f>
        <v>1.0000000002299272</v>
      </c>
      <c r="F77" s="339">
        <f t="shared" ref="F77:F140" si="29">ATAN(A77/Zero1)</f>
        <v>2.1444209832718529E-5</v>
      </c>
      <c r="G77" s="338">
        <f t="shared" ref="G77:G140" si="30">IF(VIN_nom&gt;Vout, 1, SQRT(1+(A77/z_RHP)^2))</f>
        <v>1</v>
      </c>
      <c r="H77" s="339">
        <f t="shared" ref="H77:H140" si="31">IF(VIN_nom&gt;Vout, 0, -ATAN(A77/z_RHP))</f>
        <v>0</v>
      </c>
      <c r="I77" s="337">
        <f t="shared" ref="I77:I140" si="32">SQRT(1+(A77/Pole2)^2)</f>
        <v>686.27870373855842</v>
      </c>
      <c r="J77" s="340">
        <f t="shared" ref="J77:J140" si="33">ATAN(A77/Pole2)</f>
        <v>1.569339192326894</v>
      </c>
      <c r="K77" s="348">
        <f t="shared" ref="K77:K140" si="34">SQRT(1+(A77/Zero2)^2)</f>
        <v>1.0019989424216511</v>
      </c>
      <c r="L77" s="349">
        <f t="shared" ref="L77:L140" si="35">ATAN(A77/Zero2)</f>
        <v>6.3176234181050964E-2</v>
      </c>
      <c r="M77" s="337">
        <f t="shared" ref="M77:M140" si="36">SQRT(1+(A77/pole4)^2)</f>
        <v>1.00000005377915</v>
      </c>
      <c r="N77" s="340">
        <f t="shared" ref="N77:N140" si="37">ATAN(A77/pole4)</f>
        <v>3.2796081341018624E-4</v>
      </c>
      <c r="O77" s="341">
        <f t="shared" ref="O77:O140" si="38">SQRT((1-(V77/pterm2))^2+(A77/pterm1)^2)</f>
        <v>0.99999988380673432</v>
      </c>
      <c r="P77" s="342">
        <f t="shared" ref="P77:P140" si="39">IF((ATAN((A77/pterm1)/(1-A77^2/pterm2))&gt;0),ATAN((A77/pterm1)/(1-A77^2/pterm2)),PI()+ATAN((A77/pterm1)/(1-A77^2/pterm2)))</f>
        <v>8.2192311936724703E-5</v>
      </c>
      <c r="Q77" s="343">
        <f t="shared" ref="Q77:Q140" si="40">20*LOG10(((E77*K77*G77)/(C77*I77*O77*M77))*Adc)</f>
        <v>40.436404670047409</v>
      </c>
      <c r="R77" s="344">
        <f t="shared" ref="R77:R140" si="41">((F77+L77+H77)-(D77+J77+P77+N77))*radconv</f>
        <v>-88.624058322078156</v>
      </c>
      <c r="S77" s="346">
        <f t="shared" ref="S77:S140" si="42">IF(R77&gt;0,R77,R77+180)</f>
        <v>91.375941677921844</v>
      </c>
      <c r="U77" s="319">
        <f t="shared" si="23"/>
        <v>1000000000</v>
      </c>
      <c r="V77" s="319">
        <f t="shared" si="24"/>
        <v>131827.0864</v>
      </c>
      <c r="X77" s="345">
        <f t="shared" ref="X77:X140" si="43">20*LOG10((K77/(I77*M77))*AEA)</f>
        <v>40.994558750694303</v>
      </c>
      <c r="Y77" s="346">
        <f t="shared" ref="Y77:Y140" si="44">(L77-(J77+N77))*radconv</f>
        <v>-86.315571629780052</v>
      </c>
      <c r="AA77" s="345">
        <f t="shared" ref="AA77:AA140" si="45">20*LOG10((E77*G77/(C77*O77))*Acs*Am)</f>
        <v>35.452019882954573</v>
      </c>
      <c r="AB77" s="346">
        <f t="shared" ref="AB77:AB140" si="46">(F77+H77-(D77+P77))*radconv</f>
        <v>-2.3084866922980978</v>
      </c>
      <c r="AD77">
        <f t="shared" si="25"/>
        <v>0</v>
      </c>
      <c r="AE77">
        <f t="shared" ref="AE77:AE89" si="47">IF(AD77&gt;0,S75,0)</f>
        <v>0</v>
      </c>
    </row>
    <row r="78" spans="1:31" x14ac:dyDescent="0.2">
      <c r="A78" s="347">
        <v>398.11</v>
      </c>
      <c r="B78" s="364">
        <f t="shared" ref="B78:B141" si="48">A78/1000</f>
        <v>0.39811000000000002</v>
      </c>
      <c r="C78" s="337">
        <f t="shared" si="26"/>
        <v>1.0009734818037437</v>
      </c>
      <c r="D78" s="338">
        <f t="shared" si="27"/>
        <v>4.410652416280756E-2</v>
      </c>
      <c r="E78" s="338">
        <f t="shared" si="28"/>
        <v>1.000000000276434</v>
      </c>
      <c r="F78" s="339">
        <f t="shared" si="29"/>
        <v>2.3513149653626978E-5</v>
      </c>
      <c r="G78" s="338">
        <f t="shared" si="30"/>
        <v>1</v>
      </c>
      <c r="H78" s="339">
        <f t="shared" si="31"/>
        <v>0</v>
      </c>
      <c r="I78" s="337">
        <f t="shared" si="32"/>
        <v>752.49081730644662</v>
      </c>
      <c r="J78" s="340">
        <f t="shared" si="33"/>
        <v>1.5694674065325633</v>
      </c>
      <c r="K78" s="348">
        <f t="shared" si="34"/>
        <v>1.0024027811064795</v>
      </c>
      <c r="L78" s="349">
        <f t="shared" si="35"/>
        <v>6.9252867372142951E-2</v>
      </c>
      <c r="M78" s="337">
        <f t="shared" si="36"/>
        <v>1.0000000646569853</v>
      </c>
      <c r="N78" s="340">
        <f t="shared" si="37"/>
        <v>3.5960250765641196E-4</v>
      </c>
      <c r="O78" s="341">
        <f t="shared" si="38"/>
        <v>0.99999986030448029</v>
      </c>
      <c r="P78" s="342">
        <f t="shared" si="39"/>
        <v>9.012223774818918E-5</v>
      </c>
      <c r="Q78" s="343">
        <f t="shared" si="40"/>
        <v>39.638470416477297</v>
      </c>
      <c r="R78" s="344">
        <f t="shared" si="41"/>
        <v>-88.507499368327146</v>
      </c>
      <c r="S78" s="346">
        <f t="shared" si="42"/>
        <v>91.492500631672854</v>
      </c>
      <c r="U78" s="319">
        <f t="shared" ref="U78:U141" si="49">IF(Q78&lt;0,A78,1000000000)</f>
        <v>1000000000</v>
      </c>
      <c r="V78" s="319">
        <f t="shared" ref="V78:V141" si="50">A78^2</f>
        <v>158491.57210000002</v>
      </c>
      <c r="X78" s="345">
        <f t="shared" si="43"/>
        <v>40.198045005764939</v>
      </c>
      <c r="Y78" s="346">
        <f t="shared" si="44"/>
        <v>-85.976565262289441</v>
      </c>
      <c r="AA78" s="345">
        <f t="shared" si="45"/>
        <v>35.450599374313832</v>
      </c>
      <c r="AB78" s="346">
        <f t="shared" si="46"/>
        <v>-2.5309341060377069</v>
      </c>
      <c r="AD78">
        <f t="shared" ref="AD78:AD141" si="51">SUM((Q79&lt;0)*(Q78&gt;0))*A78</f>
        <v>0</v>
      </c>
      <c r="AE78">
        <f t="shared" si="47"/>
        <v>0</v>
      </c>
    </row>
    <row r="79" spans="1:31" x14ac:dyDescent="0.2">
      <c r="A79" s="347">
        <v>436.52</v>
      </c>
      <c r="B79" s="364">
        <f t="shared" si="48"/>
        <v>0.43651999999999996</v>
      </c>
      <c r="C79" s="337">
        <f t="shared" si="26"/>
        <v>1.0011702731692738</v>
      </c>
      <c r="D79" s="338">
        <f t="shared" si="27"/>
        <v>4.8355620668012717E-2</v>
      </c>
      <c r="E79" s="338">
        <f t="shared" si="28"/>
        <v>1.0000000003323484</v>
      </c>
      <c r="F79" s="339">
        <f t="shared" si="29"/>
        <v>2.5781718837554059E-5</v>
      </c>
      <c r="G79" s="338">
        <f t="shared" si="30"/>
        <v>1</v>
      </c>
      <c r="H79" s="339">
        <f t="shared" si="31"/>
        <v>0</v>
      </c>
      <c r="I79" s="337">
        <f t="shared" si="32"/>
        <v>825.0916650486098</v>
      </c>
      <c r="J79" s="340">
        <f t="shared" si="33"/>
        <v>1.5695843399488536</v>
      </c>
      <c r="K79" s="348">
        <f t="shared" si="34"/>
        <v>1.0028880923977668</v>
      </c>
      <c r="L79" s="349">
        <f t="shared" si="35"/>
        <v>7.5909928036484234E-2</v>
      </c>
      <c r="M79" s="337">
        <f t="shared" si="36"/>
        <v>1.0000000777351727</v>
      </c>
      <c r="N79" s="340">
        <f t="shared" si="37"/>
        <v>3.9429726777412307E-4</v>
      </c>
      <c r="O79" s="341">
        <f t="shared" si="38"/>
        <v>0.9999998320482254</v>
      </c>
      <c r="P79" s="342">
        <f t="shared" si="39"/>
        <v>9.881731266287435E-5</v>
      </c>
      <c r="Q79" s="343">
        <f t="shared" si="40"/>
        <v>38.840947401565579</v>
      </c>
      <c r="R79" s="344">
        <f t="shared" si="41"/>
        <v>-88.378589050861393</v>
      </c>
      <c r="S79" s="346">
        <f t="shared" si="42"/>
        <v>91.621410949138607</v>
      </c>
      <c r="U79" s="319">
        <f t="shared" si="49"/>
        <v>1000000000</v>
      </c>
      <c r="V79" s="319">
        <f t="shared" si="50"/>
        <v>190549.71039999998</v>
      </c>
      <c r="X79" s="345">
        <f t="shared" si="43"/>
        <v>39.402229222817923</v>
      </c>
      <c r="Y79" s="346">
        <f t="shared" si="44"/>
        <v>-85.603831436397641</v>
      </c>
      <c r="AA79" s="345">
        <f t="shared" si="45"/>
        <v>35.448892142349123</v>
      </c>
      <c r="AB79" s="346">
        <f t="shared" si="46"/>
        <v>-2.7747576144637485</v>
      </c>
      <c r="AD79">
        <f t="shared" si="51"/>
        <v>0</v>
      </c>
      <c r="AE79">
        <f t="shared" si="47"/>
        <v>0</v>
      </c>
    </row>
    <row r="80" spans="1:31" x14ac:dyDescent="0.2">
      <c r="A80" s="347">
        <v>478.63</v>
      </c>
      <c r="B80" s="364">
        <f t="shared" si="48"/>
        <v>0.47863</v>
      </c>
      <c r="C80" s="337">
        <f t="shared" si="26"/>
        <v>1.001406784138118</v>
      </c>
      <c r="D80" s="338">
        <f t="shared" si="27"/>
        <v>5.3012015885969856E-2</v>
      </c>
      <c r="E80" s="338">
        <f t="shared" si="28"/>
        <v>1.000000000399563</v>
      </c>
      <c r="F80" s="339">
        <f t="shared" si="29"/>
        <v>2.8268817205776486E-5</v>
      </c>
      <c r="G80" s="338">
        <f t="shared" si="30"/>
        <v>1</v>
      </c>
      <c r="H80" s="339">
        <f t="shared" si="31"/>
        <v>0</v>
      </c>
      <c r="I80" s="337">
        <f t="shared" si="32"/>
        <v>904.68609651464624</v>
      </c>
      <c r="J80" s="340">
        <f t="shared" si="33"/>
        <v>1.5696909707962934</v>
      </c>
      <c r="K80" s="348">
        <f t="shared" si="34"/>
        <v>1.0034711726037917</v>
      </c>
      <c r="L80" s="349">
        <f t="shared" si="35"/>
        <v>8.3200497472998194E-2</v>
      </c>
      <c r="M80" s="337">
        <f t="shared" si="36"/>
        <v>1.0000000934564122</v>
      </c>
      <c r="N80" s="340">
        <f t="shared" si="37"/>
        <v>4.3233414115449677E-4</v>
      </c>
      <c r="O80" s="341">
        <f t="shared" si="38"/>
        <v>0.99999979808148853</v>
      </c>
      <c r="P80" s="342">
        <f t="shared" si="39"/>
        <v>1.0834997705012761E-4</v>
      </c>
      <c r="Q80" s="343">
        <f t="shared" si="40"/>
        <v>38.044030093283503</v>
      </c>
      <c r="R80" s="344">
        <f t="shared" si="41"/>
        <v>-88.236354516505344</v>
      </c>
      <c r="S80" s="346">
        <f t="shared" si="42"/>
        <v>91.763645483494656</v>
      </c>
      <c r="U80" s="319">
        <f t="shared" si="49"/>
        <v>1000000000</v>
      </c>
      <c r="V80" s="319">
        <f t="shared" si="50"/>
        <v>229086.67689999999</v>
      </c>
      <c r="X80" s="345">
        <f t="shared" si="43"/>
        <v>38.607363283475202</v>
      </c>
      <c r="Y80" s="346">
        <f t="shared" si="44"/>
        <v>-85.194401426805257</v>
      </c>
      <c r="AA80" s="345">
        <f t="shared" si="45"/>
        <v>35.446840773409761</v>
      </c>
      <c r="AB80" s="346">
        <f t="shared" si="46"/>
        <v>-3.0419530897000784</v>
      </c>
      <c r="AD80">
        <f t="shared" si="51"/>
        <v>0</v>
      </c>
      <c r="AE80">
        <f t="shared" si="47"/>
        <v>0</v>
      </c>
    </row>
    <row r="81" spans="1:31" x14ac:dyDescent="0.2">
      <c r="A81" s="347">
        <v>524.80999999999995</v>
      </c>
      <c r="B81" s="364">
        <f t="shared" si="48"/>
        <v>0.52481</v>
      </c>
      <c r="C81" s="337">
        <f t="shared" si="26"/>
        <v>1.0016911033213827</v>
      </c>
      <c r="D81" s="338">
        <f t="shared" si="27"/>
        <v>5.8115807891062743E-2</v>
      </c>
      <c r="E81" s="338">
        <f t="shared" si="28"/>
        <v>1.0000000004803853</v>
      </c>
      <c r="F81" s="339">
        <f t="shared" si="29"/>
        <v>3.099629767662742E-5</v>
      </c>
      <c r="G81" s="338">
        <f t="shared" si="30"/>
        <v>1</v>
      </c>
      <c r="H81" s="339">
        <f t="shared" si="31"/>
        <v>0</v>
      </c>
      <c r="I81" s="337">
        <f t="shared" si="32"/>
        <v>991.97346909377654</v>
      </c>
      <c r="J81" s="340">
        <f t="shared" si="33"/>
        <v>1.5697882351467516</v>
      </c>
      <c r="K81" s="348">
        <f t="shared" si="34"/>
        <v>1.004171850341143</v>
      </c>
      <c r="L81" s="349">
        <f t="shared" si="35"/>
        <v>9.1185505143621004E-2</v>
      </c>
      <c r="M81" s="337">
        <f t="shared" si="36"/>
        <v>1.0000001123604503</v>
      </c>
      <c r="N81" s="340">
        <f t="shared" si="37"/>
        <v>4.7404733877906834E-4</v>
      </c>
      <c r="O81" s="341">
        <f t="shared" si="38"/>
        <v>0.99999975723811196</v>
      </c>
      <c r="P81" s="342">
        <f t="shared" si="39"/>
        <v>1.1880399013991255E-4</v>
      </c>
      <c r="Q81" s="343">
        <f t="shared" si="40"/>
        <v>37.247584562307217</v>
      </c>
      <c r="R81" s="344">
        <f t="shared" si="41"/>
        <v>-88.079678543486011</v>
      </c>
      <c r="S81" s="346">
        <f t="shared" si="42"/>
        <v>91.920321456513989</v>
      </c>
      <c r="U81" s="319">
        <f t="shared" si="49"/>
        <v>1000000000</v>
      </c>
      <c r="V81" s="319">
        <f t="shared" si="50"/>
        <v>275425.53609999997</v>
      </c>
      <c r="X81" s="345">
        <f t="shared" si="43"/>
        <v>37.813383142798735</v>
      </c>
      <c r="Y81" s="346">
        <f t="shared" si="44"/>
        <v>-84.744857014337512</v>
      </c>
      <c r="AA81" s="345">
        <f t="shared" si="45"/>
        <v>35.44437538310995</v>
      </c>
      <c r="AB81" s="346">
        <f t="shared" si="46"/>
        <v>-3.3348215291484991</v>
      </c>
      <c r="AD81">
        <f t="shared" si="51"/>
        <v>0</v>
      </c>
      <c r="AE81">
        <f t="shared" si="47"/>
        <v>0</v>
      </c>
    </row>
    <row r="82" spans="1:31" x14ac:dyDescent="0.2">
      <c r="A82" s="347">
        <v>575.44000000000005</v>
      </c>
      <c r="B82" s="364">
        <f t="shared" si="48"/>
        <v>0.57544000000000006</v>
      </c>
      <c r="C82" s="337">
        <f t="shared" si="26"/>
        <v>1.0020327871511914</v>
      </c>
      <c r="D82" s="338">
        <f t="shared" si="27"/>
        <v>6.3707920924417447E-2</v>
      </c>
      <c r="E82" s="338">
        <f t="shared" si="28"/>
        <v>1.0000000005775445</v>
      </c>
      <c r="F82" s="339">
        <f t="shared" si="29"/>
        <v>3.3986603787814955E-5</v>
      </c>
      <c r="G82" s="338">
        <f t="shared" si="30"/>
        <v>1</v>
      </c>
      <c r="H82" s="339">
        <f t="shared" si="31"/>
        <v>0</v>
      </c>
      <c r="I82" s="337">
        <f t="shared" si="32"/>
        <v>1087.6720418075267</v>
      </c>
      <c r="J82" s="340">
        <f t="shared" si="33"/>
        <v>1.5698769318831554</v>
      </c>
      <c r="K82" s="348">
        <f t="shared" si="34"/>
        <v>1.0050135143832613</v>
      </c>
      <c r="L82" s="349">
        <f t="shared" si="35"/>
        <v>9.9926548025011885E-2</v>
      </c>
      <c r="M82" s="337">
        <f t="shared" si="36"/>
        <v>1.0000001350856935</v>
      </c>
      <c r="N82" s="340">
        <f t="shared" si="37"/>
        <v>5.1978010421729469E-4</v>
      </c>
      <c r="O82" s="341">
        <f t="shared" si="38"/>
        <v>0.9999997081387777</v>
      </c>
      <c r="P82" s="342">
        <f t="shared" si="39"/>
        <v>1.302653750410502E-4</v>
      </c>
      <c r="Q82" s="343">
        <f t="shared" si="40"/>
        <v>36.451941490433001</v>
      </c>
      <c r="R82" s="344">
        <f t="shared" si="41"/>
        <v>-87.907445753174144</v>
      </c>
      <c r="S82" s="346">
        <f t="shared" si="42"/>
        <v>92.092554246825856</v>
      </c>
      <c r="U82" s="319">
        <f t="shared" si="49"/>
        <v>1000000000</v>
      </c>
      <c r="V82" s="319">
        <f t="shared" si="50"/>
        <v>331131.19360000006</v>
      </c>
      <c r="X82" s="345">
        <f t="shared" si="43"/>
        <v>37.020701956011223</v>
      </c>
      <c r="Y82" s="346">
        <f t="shared" si="44"/>
        <v>-84.251734391225071</v>
      </c>
      <c r="AA82" s="345">
        <f t="shared" si="45"/>
        <v>35.441413498023245</v>
      </c>
      <c r="AB82" s="346">
        <f t="shared" si="46"/>
        <v>-3.6557113619490806</v>
      </c>
      <c r="AD82">
        <f t="shared" si="51"/>
        <v>0</v>
      </c>
      <c r="AE82">
        <f t="shared" si="47"/>
        <v>0</v>
      </c>
    </row>
    <row r="83" spans="1:31" x14ac:dyDescent="0.2">
      <c r="A83" s="347">
        <v>630.96</v>
      </c>
      <c r="B83" s="364">
        <f t="shared" si="48"/>
        <v>0.63096000000000008</v>
      </c>
      <c r="C83" s="337">
        <f t="shared" si="26"/>
        <v>1.0024434665033812</v>
      </c>
      <c r="D83" s="338">
        <f t="shared" si="27"/>
        <v>6.9835541311696586E-2</v>
      </c>
      <c r="E83" s="338">
        <f t="shared" si="28"/>
        <v>1.000000000694367</v>
      </c>
      <c r="F83" s="339">
        <f t="shared" si="29"/>
        <v>3.7265722793496479E-5</v>
      </c>
      <c r="G83" s="338">
        <f t="shared" si="30"/>
        <v>1</v>
      </c>
      <c r="H83" s="339">
        <f t="shared" si="31"/>
        <v>0</v>
      </c>
      <c r="I83" s="337">
        <f t="shared" si="32"/>
        <v>1192.6134830735907</v>
      </c>
      <c r="J83" s="340">
        <f t="shared" si="33"/>
        <v>1.5699578320676681</v>
      </c>
      <c r="K83" s="348">
        <f t="shared" si="34"/>
        <v>1.006024581447057</v>
      </c>
      <c r="L83" s="349">
        <f t="shared" si="35"/>
        <v>0.10949419905600463</v>
      </c>
      <c r="M83" s="337">
        <f t="shared" si="36"/>
        <v>1.0000001624100545</v>
      </c>
      <c r="N83" s="340">
        <f t="shared" si="37"/>
        <v>5.6992987728127762E-4</v>
      </c>
      <c r="O83" s="341">
        <f t="shared" si="38"/>
        <v>0.99999964910275585</v>
      </c>
      <c r="P83" s="342">
        <f t="shared" si="39"/>
        <v>1.4283373754904978E-4</v>
      </c>
      <c r="Q83" s="343">
        <f t="shared" si="40"/>
        <v>35.657081439589426</v>
      </c>
      <c r="R83" s="344">
        <f t="shared" si="41"/>
        <v>-87.718387359599731</v>
      </c>
      <c r="S83" s="346">
        <f t="shared" si="42"/>
        <v>92.281612640400269</v>
      </c>
      <c r="U83" s="319">
        <f t="shared" si="49"/>
        <v>1000000000</v>
      </c>
      <c r="V83" s="319">
        <f t="shared" si="50"/>
        <v>398110.52160000004</v>
      </c>
      <c r="X83" s="345">
        <f t="shared" si="43"/>
        <v>36.229400541123525</v>
      </c>
      <c r="Y83" s="346">
        <f t="shared" si="44"/>
        <v>-83.711056976151895</v>
      </c>
      <c r="AA83" s="345">
        <f t="shared" si="45"/>
        <v>35.437854862067361</v>
      </c>
      <c r="AB83" s="346">
        <f t="shared" si="46"/>
        <v>-4.0073303834478295</v>
      </c>
      <c r="AD83">
        <f t="shared" si="51"/>
        <v>0</v>
      </c>
      <c r="AE83">
        <f t="shared" si="47"/>
        <v>0</v>
      </c>
    </row>
    <row r="84" spans="1:31" x14ac:dyDescent="0.2">
      <c r="A84" s="347">
        <v>691.83</v>
      </c>
      <c r="B84" s="364">
        <f t="shared" si="48"/>
        <v>0.69183000000000006</v>
      </c>
      <c r="C84" s="337">
        <f t="shared" si="26"/>
        <v>1.0029369361408906</v>
      </c>
      <c r="D84" s="338">
        <f t="shared" si="27"/>
        <v>7.6547581470453888E-2</v>
      </c>
      <c r="E84" s="338">
        <f t="shared" si="28"/>
        <v>1.0000000008348033</v>
      </c>
      <c r="F84" s="339">
        <f t="shared" si="29"/>
        <v>4.0860823186590099E-5</v>
      </c>
      <c r="G84" s="338">
        <f t="shared" si="30"/>
        <v>1</v>
      </c>
      <c r="H84" s="339">
        <f t="shared" si="31"/>
        <v>0</v>
      </c>
      <c r="I84" s="337">
        <f t="shared" si="32"/>
        <v>1307.6672644873668</v>
      </c>
      <c r="J84" s="340">
        <f t="shared" si="33"/>
        <v>1.5700316061930863</v>
      </c>
      <c r="K84" s="348">
        <f t="shared" si="34"/>
        <v>1.0072386776803588</v>
      </c>
      <c r="L84" s="349">
        <f t="shared" si="35"/>
        <v>0.1199606630023657</v>
      </c>
      <c r="M84" s="337">
        <f t="shared" si="36"/>
        <v>1.0000001952576376</v>
      </c>
      <c r="N84" s="340">
        <f t="shared" si="37"/>
        <v>6.2491216299779932E-4</v>
      </c>
      <c r="O84" s="341">
        <f t="shared" si="38"/>
        <v>0.99999957813345919</v>
      </c>
      <c r="P84" s="342">
        <f t="shared" si="39"/>
        <v>1.566132111852857E-4</v>
      </c>
      <c r="Q84" s="343">
        <f t="shared" si="40"/>
        <v>34.86333234274543</v>
      </c>
      <c r="R84" s="344">
        <f t="shared" si="41"/>
        <v>-87.511235442376886</v>
      </c>
      <c r="S84" s="346">
        <f t="shared" si="42"/>
        <v>92.488764557623114</v>
      </c>
      <c r="U84" s="319">
        <f t="shared" si="49"/>
        <v>1000000000</v>
      </c>
      <c r="V84" s="319">
        <f t="shared" si="50"/>
        <v>478628.74890000006</v>
      </c>
      <c r="X84" s="345">
        <f t="shared" si="43"/>
        <v>35.439925549660103</v>
      </c>
      <c r="Y84" s="346">
        <f t="shared" si="44"/>
        <v>-83.118749963866023</v>
      </c>
      <c r="AA84" s="345">
        <f t="shared" si="45"/>
        <v>35.433580756686794</v>
      </c>
      <c r="AB84" s="346">
        <f t="shared" si="46"/>
        <v>-4.3924854785108645</v>
      </c>
      <c r="AD84">
        <f t="shared" si="51"/>
        <v>0</v>
      </c>
      <c r="AE84">
        <f t="shared" si="47"/>
        <v>0</v>
      </c>
    </row>
    <row r="85" spans="1:31" x14ac:dyDescent="0.2">
      <c r="A85" s="347">
        <v>758.58</v>
      </c>
      <c r="B85" s="364">
        <f t="shared" si="48"/>
        <v>0.75858000000000003</v>
      </c>
      <c r="C85" s="337">
        <f t="shared" si="26"/>
        <v>1.0035299612120061</v>
      </c>
      <c r="D85" s="338">
        <f t="shared" si="27"/>
        <v>8.39000421889389E-2</v>
      </c>
      <c r="E85" s="338">
        <f t="shared" si="28"/>
        <v>1.0000000010036636</v>
      </c>
      <c r="F85" s="339">
        <f t="shared" si="29"/>
        <v>4.4803207795837365E-5</v>
      </c>
      <c r="G85" s="338">
        <f t="shared" si="30"/>
        <v>1</v>
      </c>
      <c r="H85" s="339">
        <f t="shared" si="31"/>
        <v>0</v>
      </c>
      <c r="I85" s="337">
        <f t="shared" si="32"/>
        <v>1433.8351686043459</v>
      </c>
      <c r="J85" s="340">
        <f t="shared" si="33"/>
        <v>1.5700988965023746</v>
      </c>
      <c r="K85" s="348">
        <f t="shared" si="34"/>
        <v>1.0086965683358315</v>
      </c>
      <c r="L85" s="349">
        <f t="shared" si="35"/>
        <v>0.13140781777487898</v>
      </c>
      <c r="M85" s="337">
        <f t="shared" si="36"/>
        <v>1.0000002347534682</v>
      </c>
      <c r="N85" s="340">
        <f t="shared" si="37"/>
        <v>6.8520569522134396E-4</v>
      </c>
      <c r="O85" s="341">
        <f t="shared" si="38"/>
        <v>0.99999949280019673</v>
      </c>
      <c r="P85" s="342">
        <f t="shared" si="39"/>
        <v>1.7172377603902708E-4</v>
      </c>
      <c r="Q85" s="343">
        <f t="shared" si="40"/>
        <v>34.070721847004705</v>
      </c>
      <c r="R85" s="344">
        <f t="shared" si="41"/>
        <v>-87.284576659670307</v>
      </c>
      <c r="S85" s="346">
        <f t="shared" si="42"/>
        <v>92.715423340329693</v>
      </c>
      <c r="U85" s="319">
        <f t="shared" si="49"/>
        <v>1000000000</v>
      </c>
      <c r="V85" s="319">
        <f t="shared" si="50"/>
        <v>575443.61640000006</v>
      </c>
      <c r="X85" s="345">
        <f t="shared" si="43"/>
        <v>34.652448660073951</v>
      </c>
      <c r="Y85" s="346">
        <f t="shared" si="44"/>
        <v>-82.470186322879584</v>
      </c>
      <c r="AA85" s="345">
        <f t="shared" si="45"/>
        <v>35.428447150532222</v>
      </c>
      <c r="AB85" s="346">
        <f t="shared" si="46"/>
        <v>-4.8143903367907273</v>
      </c>
      <c r="AD85">
        <f t="shared" si="51"/>
        <v>0</v>
      </c>
      <c r="AE85">
        <f t="shared" si="47"/>
        <v>0</v>
      </c>
    </row>
    <row r="86" spans="1:31" x14ac:dyDescent="0.2">
      <c r="A86" s="347">
        <v>831.76</v>
      </c>
      <c r="B86" s="364">
        <f t="shared" si="48"/>
        <v>0.83175999999999994</v>
      </c>
      <c r="C86" s="337">
        <f t="shared" si="26"/>
        <v>1.0042423727096712</v>
      </c>
      <c r="D86" s="338">
        <f t="shared" si="27"/>
        <v>9.1950298533919977E-2</v>
      </c>
      <c r="E86" s="338">
        <f t="shared" si="28"/>
        <v>1.0000000012066506</v>
      </c>
      <c r="F86" s="339">
        <f t="shared" si="29"/>
        <v>4.9125360688685111E-5</v>
      </c>
      <c r="G86" s="338">
        <f t="shared" si="30"/>
        <v>1</v>
      </c>
      <c r="H86" s="339">
        <f t="shared" si="31"/>
        <v>0</v>
      </c>
      <c r="I86" s="337">
        <f t="shared" si="32"/>
        <v>1572.1567811511222</v>
      </c>
      <c r="J86" s="340">
        <f t="shared" si="33"/>
        <v>1.570160257873896</v>
      </c>
      <c r="K86" s="348">
        <f t="shared" si="34"/>
        <v>1.0104463135331578</v>
      </c>
      <c r="L86" s="349">
        <f t="shared" si="35"/>
        <v>0.14391788615416562</v>
      </c>
      <c r="M86" s="337">
        <f t="shared" si="36"/>
        <v>1.0000002822313756</v>
      </c>
      <c r="N86" s="340">
        <f t="shared" si="37"/>
        <v>7.5130727282293817E-4</v>
      </c>
      <c r="O86" s="341">
        <f t="shared" si="38"/>
        <v>0.99999939022114526</v>
      </c>
      <c r="P86" s="342">
        <f t="shared" si="39"/>
        <v>1.8828994008789784E-4</v>
      </c>
      <c r="Q86" s="343">
        <f t="shared" si="40"/>
        <v>33.27967986514026</v>
      </c>
      <c r="R86" s="344">
        <f t="shared" si="41"/>
        <v>-87.037052871592692</v>
      </c>
      <c r="S86" s="346">
        <f t="shared" si="42"/>
        <v>92.962947128407308</v>
      </c>
      <c r="U86" s="319">
        <f t="shared" si="49"/>
        <v>1000000000</v>
      </c>
      <c r="V86" s="319">
        <f t="shared" si="50"/>
        <v>691824.69759999996</v>
      </c>
      <c r="X86" s="345">
        <f t="shared" si="43"/>
        <v>33.867569759130021</v>
      </c>
      <c r="Y86" s="346">
        <f t="shared" si="44"/>
        <v>-81.760715291544741</v>
      </c>
      <c r="AA86" s="345">
        <f t="shared" si="45"/>
        <v>35.422284069611706</v>
      </c>
      <c r="AB86" s="346">
        <f t="shared" si="46"/>
        <v>-5.2763375800479588</v>
      </c>
      <c r="AD86">
        <f t="shared" si="51"/>
        <v>0</v>
      </c>
      <c r="AE86">
        <f t="shared" si="47"/>
        <v>0</v>
      </c>
    </row>
    <row r="87" spans="1:31" x14ac:dyDescent="0.2">
      <c r="A87" s="347">
        <v>912.01</v>
      </c>
      <c r="B87" s="364">
        <f t="shared" si="48"/>
        <v>0.91200999999999999</v>
      </c>
      <c r="C87" s="337">
        <f t="shared" si="26"/>
        <v>1.0050983133803097</v>
      </c>
      <c r="D87" s="338">
        <f t="shared" si="27"/>
        <v>0.10076454271106217</v>
      </c>
      <c r="E87" s="338">
        <f t="shared" si="28"/>
        <v>1.0000000014507235</v>
      </c>
      <c r="F87" s="339">
        <f t="shared" si="29"/>
        <v>5.3865081507162639E-5</v>
      </c>
      <c r="G87" s="338">
        <f t="shared" si="30"/>
        <v>1</v>
      </c>
      <c r="H87" s="339">
        <f t="shared" si="31"/>
        <v>0</v>
      </c>
      <c r="I87" s="337">
        <f t="shared" si="32"/>
        <v>1723.8418019367043</v>
      </c>
      <c r="J87" s="340">
        <f t="shared" si="33"/>
        <v>1.5702162271274198</v>
      </c>
      <c r="K87" s="348">
        <f t="shared" si="34"/>
        <v>1.0125462175212461</v>
      </c>
      <c r="L87" s="349">
        <f t="shared" si="35"/>
        <v>0.15758447718478696</v>
      </c>
      <c r="M87" s="337">
        <f t="shared" si="36"/>
        <v>1.0000003393191876</v>
      </c>
      <c r="N87" s="340">
        <f t="shared" si="37"/>
        <v>8.237949887101464E-4</v>
      </c>
      <c r="O87" s="341">
        <f t="shared" si="38"/>
        <v>0.99999926687927432</v>
      </c>
      <c r="P87" s="342">
        <f t="shared" si="39"/>
        <v>2.0645658560807577E-4</v>
      </c>
      <c r="Q87" s="343">
        <f t="shared" si="40"/>
        <v>32.490281543122123</v>
      </c>
      <c r="R87" s="344">
        <f t="shared" si="41"/>
        <v>-86.767163224159916</v>
      </c>
      <c r="S87" s="346">
        <f t="shared" si="42"/>
        <v>93.232836775840084</v>
      </c>
      <c r="U87" s="319">
        <f t="shared" si="49"/>
        <v>1000000000</v>
      </c>
      <c r="V87" s="319">
        <f t="shared" si="50"/>
        <v>831762.24009999994</v>
      </c>
      <c r="X87" s="345">
        <f t="shared" si="43"/>
        <v>33.085570409555977</v>
      </c>
      <c r="Y87" s="346">
        <f t="shared" si="44"/>
        <v>-80.985037346468744</v>
      </c>
      <c r="AA87" s="345">
        <f t="shared" si="45"/>
        <v>35.414885097167598</v>
      </c>
      <c r="AB87" s="346">
        <f t="shared" si="46"/>
        <v>-5.7821258776911613</v>
      </c>
      <c r="AD87">
        <f t="shared" si="51"/>
        <v>0</v>
      </c>
      <c r="AE87">
        <f t="shared" si="47"/>
        <v>0</v>
      </c>
    </row>
    <row r="88" spans="1:31" x14ac:dyDescent="0.2">
      <c r="A88" s="347">
        <v>1000</v>
      </c>
      <c r="B88" s="364">
        <f t="shared" si="48"/>
        <v>1</v>
      </c>
      <c r="C88" s="337">
        <f t="shared" si="26"/>
        <v>1.0061263909409981</v>
      </c>
      <c r="D88" s="338">
        <f t="shared" si="27"/>
        <v>0.11041083610542035</v>
      </c>
      <c r="E88" s="338">
        <f t="shared" si="28"/>
        <v>1.0000000017441564</v>
      </c>
      <c r="F88" s="339">
        <f t="shared" si="29"/>
        <v>5.9061941751324489E-5</v>
      </c>
      <c r="G88" s="338">
        <f t="shared" si="30"/>
        <v>1</v>
      </c>
      <c r="H88" s="339">
        <f t="shared" si="31"/>
        <v>0</v>
      </c>
      <c r="I88" s="337">
        <f t="shared" si="32"/>
        <v>1890.1566354967295</v>
      </c>
      <c r="J88" s="340">
        <f t="shared" si="33"/>
        <v>1.5702672700871771</v>
      </c>
      <c r="K88" s="348">
        <f t="shared" si="34"/>
        <v>1.0150650440414672</v>
      </c>
      <c r="L88" s="349">
        <f t="shared" si="35"/>
        <v>0.17250109741475672</v>
      </c>
      <c r="M88" s="337">
        <f t="shared" si="36"/>
        <v>1.0000004079521283</v>
      </c>
      <c r="N88" s="340">
        <f t="shared" si="37"/>
        <v>9.0327403319829375E-4</v>
      </c>
      <c r="O88" s="341">
        <f t="shared" si="38"/>
        <v>0.99999911859340673</v>
      </c>
      <c r="P88" s="342">
        <f t="shared" si="39"/>
        <v>2.2637538680426466E-4</v>
      </c>
      <c r="Q88" s="343">
        <f t="shared" si="40"/>
        <v>31.702974888114991</v>
      </c>
      <c r="R88" s="344">
        <f t="shared" si="41"/>
        <v>-86.473517604548931</v>
      </c>
      <c r="S88" s="346">
        <f t="shared" si="42"/>
        <v>93.526482395451069</v>
      </c>
      <c r="U88" s="319">
        <f t="shared" si="49"/>
        <v>1000000000</v>
      </c>
      <c r="V88" s="319">
        <f t="shared" si="50"/>
        <v>1000000</v>
      </c>
      <c r="X88" s="345">
        <f t="shared" si="43"/>
        <v>32.307142395709789</v>
      </c>
      <c r="Y88" s="346">
        <f t="shared" si="44"/>
        <v>-80.137856321700824</v>
      </c>
      <c r="AA88" s="345">
        <f t="shared" si="45"/>
        <v>35.406006456006665</v>
      </c>
      <c r="AB88" s="346">
        <f t="shared" si="46"/>
        <v>-6.3356612828481094</v>
      </c>
      <c r="AD88">
        <f t="shared" si="51"/>
        <v>0</v>
      </c>
      <c r="AE88">
        <f t="shared" si="47"/>
        <v>0</v>
      </c>
    </row>
    <row r="89" spans="1:31" x14ac:dyDescent="0.2">
      <c r="A89" s="347">
        <v>1096.5</v>
      </c>
      <c r="B89" s="364">
        <f t="shared" si="48"/>
        <v>1.0965</v>
      </c>
      <c r="C89" s="337">
        <f t="shared" si="26"/>
        <v>1.0073613034742617</v>
      </c>
      <c r="D89" s="338">
        <f t="shared" si="27"/>
        <v>0.12096634248017106</v>
      </c>
      <c r="E89" s="338">
        <f t="shared" si="28"/>
        <v>1.0000000020970206</v>
      </c>
      <c r="F89" s="339">
        <f t="shared" si="29"/>
        <v>6.4761419115092646E-5</v>
      </c>
      <c r="G89" s="338">
        <f t="shared" si="30"/>
        <v>1</v>
      </c>
      <c r="H89" s="339">
        <f t="shared" si="31"/>
        <v>0</v>
      </c>
      <c r="I89" s="337">
        <f t="shared" si="32"/>
        <v>2072.5567020147541</v>
      </c>
      <c r="J89" s="340">
        <f t="shared" si="33"/>
        <v>1.5703138309298483</v>
      </c>
      <c r="K89" s="348">
        <f t="shared" si="34"/>
        <v>1.0180857750877534</v>
      </c>
      <c r="L89" s="349">
        <f t="shared" si="35"/>
        <v>0.18877148770573088</v>
      </c>
      <c r="M89" s="337">
        <f t="shared" si="36"/>
        <v>1.0000004904858208</v>
      </c>
      <c r="N89" s="340">
        <f t="shared" si="37"/>
        <v>9.9043992290550275E-4</v>
      </c>
      <c r="O89" s="341">
        <f t="shared" si="38"/>
        <v>0.99999894027406122</v>
      </c>
      <c r="P89" s="342">
        <f t="shared" si="39"/>
        <v>2.4822065632237211E-4</v>
      </c>
      <c r="Q89" s="343">
        <f t="shared" si="40"/>
        <v>30.917958689577127</v>
      </c>
      <c r="R89" s="344">
        <f t="shared" si="41"/>
        <v>-86.154665938498482</v>
      </c>
      <c r="S89" s="346">
        <f t="shared" si="42"/>
        <v>93.845334061501518</v>
      </c>
      <c r="U89" s="319">
        <f t="shared" si="49"/>
        <v>1000000000</v>
      </c>
      <c r="V89" s="319">
        <f t="shared" si="50"/>
        <v>1202312.25</v>
      </c>
      <c r="X89" s="345">
        <f t="shared" si="43"/>
        <v>31.532779108492633</v>
      </c>
      <c r="Y89" s="346">
        <f t="shared" si="44"/>
        <v>-79.213293603314256</v>
      </c>
      <c r="AA89" s="345">
        <f t="shared" si="45"/>
        <v>35.39535354468596</v>
      </c>
      <c r="AB89" s="346">
        <f t="shared" si="46"/>
        <v>-6.9413723351842256</v>
      </c>
      <c r="AD89">
        <f t="shared" si="51"/>
        <v>0</v>
      </c>
      <c r="AE89">
        <f t="shared" si="47"/>
        <v>0</v>
      </c>
    </row>
    <row r="90" spans="1:31" x14ac:dyDescent="0.2">
      <c r="A90" s="347">
        <v>1202.3</v>
      </c>
      <c r="B90" s="364">
        <f t="shared" si="48"/>
        <v>1.2022999999999999</v>
      </c>
      <c r="C90" s="337">
        <f t="shared" si="26"/>
        <v>1.0088438732039406</v>
      </c>
      <c r="D90" s="338">
        <f t="shared" si="27"/>
        <v>0.13250798407580736</v>
      </c>
      <c r="E90" s="338">
        <f t="shared" si="28"/>
        <v>1.0000000025212223</v>
      </c>
      <c r="F90" s="339">
        <f t="shared" si="29"/>
        <v>7.1010172530831052E-5</v>
      </c>
      <c r="G90" s="338">
        <f t="shared" si="30"/>
        <v>1</v>
      </c>
      <c r="H90" s="339">
        <f t="shared" si="31"/>
        <v>0</v>
      </c>
      <c r="I90" s="337">
        <f t="shared" si="32"/>
        <v>2272.5352248338727</v>
      </c>
      <c r="J90" s="340">
        <f t="shared" si="33"/>
        <v>1.5703562895970815</v>
      </c>
      <c r="K90" s="348">
        <f t="shared" si="34"/>
        <v>1.0217053754893775</v>
      </c>
      <c r="L90" s="349">
        <f t="shared" si="35"/>
        <v>0.20649411450688074</v>
      </c>
      <c r="M90" s="337">
        <f t="shared" si="36"/>
        <v>1.0000005897050648</v>
      </c>
      <c r="N90" s="340">
        <f t="shared" si="37"/>
        <v>1.0860062385244667E-3</v>
      </c>
      <c r="O90" s="341">
        <f t="shared" si="38"/>
        <v>0.99999872590449346</v>
      </c>
      <c r="P90" s="342">
        <f t="shared" si="39"/>
        <v>2.721712354691614E-4</v>
      </c>
      <c r="Q90" s="343">
        <f t="shared" si="40"/>
        <v>30.135927882328307</v>
      </c>
      <c r="R90" s="344">
        <f t="shared" si="41"/>
        <v>-85.809444061484157</v>
      </c>
      <c r="S90" s="346">
        <f t="shared" si="42"/>
        <v>94.190555938515843</v>
      </c>
      <c r="U90" s="319">
        <f t="shared" si="49"/>
        <v>1000000000</v>
      </c>
      <c r="V90" s="319">
        <f t="shared" si="50"/>
        <v>1445525.2899999998</v>
      </c>
      <c r="X90" s="345">
        <f t="shared" si="43"/>
        <v>30.763520372983997</v>
      </c>
      <c r="Y90" s="346">
        <f t="shared" si="44"/>
        <v>-78.20577013355647</v>
      </c>
      <c r="AA90" s="345">
        <f t="shared" si="45"/>
        <v>35.38258147294578</v>
      </c>
      <c r="AB90" s="346">
        <f t="shared" si="46"/>
        <v>-7.6036739279276766</v>
      </c>
      <c r="AD90">
        <f t="shared" si="51"/>
        <v>0</v>
      </c>
      <c r="AE90">
        <f t="shared" ref="AE90:AE153" si="52">IF(AD90&gt;0,S90,0)</f>
        <v>0</v>
      </c>
    </row>
    <row r="91" spans="1:31" x14ac:dyDescent="0.2">
      <c r="A91" s="347">
        <v>1318.3</v>
      </c>
      <c r="B91" s="364">
        <f t="shared" si="48"/>
        <v>1.3183</v>
      </c>
      <c r="C91" s="337">
        <f t="shared" si="26"/>
        <v>1.0106233327287077</v>
      </c>
      <c r="D91" s="338">
        <f t="shared" si="27"/>
        <v>0.14512154539650099</v>
      </c>
      <c r="E91" s="338">
        <f t="shared" si="28"/>
        <v>1.0000000030311955</v>
      </c>
      <c r="F91" s="339">
        <f t="shared" si="29"/>
        <v>7.7861357743964015E-5</v>
      </c>
      <c r="G91" s="338">
        <f t="shared" si="30"/>
        <v>1</v>
      </c>
      <c r="H91" s="339">
        <f t="shared" si="31"/>
        <v>0</v>
      </c>
      <c r="I91" s="337">
        <f t="shared" si="32"/>
        <v>2491.793344506304</v>
      </c>
      <c r="J91" s="340">
        <f t="shared" si="33"/>
        <v>1.5703950093947008</v>
      </c>
      <c r="K91" s="348">
        <f t="shared" si="34"/>
        <v>1.0260399398412727</v>
      </c>
      <c r="L91" s="349">
        <f t="shared" si="35"/>
        <v>0.22577489854552374</v>
      </c>
      <c r="M91" s="337">
        <f t="shared" si="36"/>
        <v>1.0000007089859713</v>
      </c>
      <c r="N91" s="340">
        <f t="shared" si="37"/>
        <v>1.1907859189874768E-3</v>
      </c>
      <c r="O91" s="341">
        <f t="shared" si="38"/>
        <v>0.99999846819038685</v>
      </c>
      <c r="P91" s="342">
        <f t="shared" si="39"/>
        <v>2.9843086840543889E-4</v>
      </c>
      <c r="Q91" s="343">
        <f t="shared" si="40"/>
        <v>29.357365696488536</v>
      </c>
      <c r="R91" s="344">
        <f t="shared" si="41"/>
        <v>-85.436774274843955</v>
      </c>
      <c r="S91" s="346">
        <f t="shared" si="42"/>
        <v>94.563225725156045</v>
      </c>
      <c r="U91" s="319">
        <f t="shared" si="49"/>
        <v>1000000000</v>
      </c>
      <c r="V91" s="319">
        <f t="shared" si="50"/>
        <v>1737914.89</v>
      </c>
      <c r="X91" s="345">
        <f t="shared" si="43"/>
        <v>30.000263143086833</v>
      </c>
      <c r="Y91" s="346">
        <f t="shared" si="44"/>
        <v>-77.109284495642555</v>
      </c>
      <c r="AA91" s="345">
        <f t="shared" si="45"/>
        <v>35.36727651700317</v>
      </c>
      <c r="AB91" s="346">
        <f t="shared" si="46"/>
        <v>-8.3274897792014002</v>
      </c>
      <c r="AD91">
        <f t="shared" si="51"/>
        <v>0</v>
      </c>
      <c r="AE91">
        <f t="shared" si="52"/>
        <v>0</v>
      </c>
    </row>
    <row r="92" spans="1:31" x14ac:dyDescent="0.2">
      <c r="A92" s="347">
        <v>1445.4</v>
      </c>
      <c r="B92" s="364">
        <f t="shared" si="48"/>
        <v>1.4454</v>
      </c>
      <c r="C92" s="337">
        <f t="shared" si="26"/>
        <v>1.0127569765763496</v>
      </c>
      <c r="D92" s="338">
        <f t="shared" si="27"/>
        <v>0.15888876387105128</v>
      </c>
      <c r="E92" s="338">
        <f t="shared" si="28"/>
        <v>1.0000000036438588</v>
      </c>
      <c r="F92" s="339">
        <f t="shared" si="29"/>
        <v>8.5368130499248397E-5</v>
      </c>
      <c r="G92" s="338">
        <f t="shared" si="30"/>
        <v>1</v>
      </c>
      <c r="H92" s="339">
        <f t="shared" si="31"/>
        <v>0</v>
      </c>
      <c r="I92" s="337">
        <f t="shared" si="32"/>
        <v>2732.0322016116356</v>
      </c>
      <c r="J92" s="340">
        <f t="shared" si="33"/>
        <v>1.5704302988901964</v>
      </c>
      <c r="K92" s="348">
        <f t="shared" si="34"/>
        <v>1.0312232365668179</v>
      </c>
      <c r="L92" s="349">
        <f t="shared" si="35"/>
        <v>0.24670590167978984</v>
      </c>
      <c r="M92" s="337">
        <f t="shared" si="36"/>
        <v>1.0000008522857111</v>
      </c>
      <c r="N92" s="340">
        <f t="shared" si="37"/>
        <v>1.305591900839384E-3</v>
      </c>
      <c r="O92" s="341">
        <f t="shared" si="38"/>
        <v>0.99999815858200325</v>
      </c>
      <c r="P92" s="342">
        <f t="shared" si="39"/>
        <v>3.2720330124993193E-4</v>
      </c>
      <c r="Q92" s="343">
        <f t="shared" si="40"/>
        <v>28.583341319167989</v>
      </c>
      <c r="R92" s="344">
        <f t="shared" si="41"/>
        <v>-85.036137917991553</v>
      </c>
      <c r="S92" s="346">
        <f t="shared" si="42"/>
        <v>94.963862082008447</v>
      </c>
      <c r="U92" s="319">
        <f t="shared" si="49"/>
        <v>1000000000</v>
      </c>
      <c r="V92" s="319">
        <f t="shared" si="50"/>
        <v>2089181.1600000001</v>
      </c>
      <c r="X92" s="345">
        <f t="shared" si="43"/>
        <v>29.244554527485903</v>
      </c>
      <c r="Y92" s="346">
        <f t="shared" si="44"/>
        <v>-75.918626191089487</v>
      </c>
      <c r="AA92" s="345">
        <f t="shared" si="45"/>
        <v>35.348960755283557</v>
      </c>
      <c r="AB92" s="346">
        <f t="shared" si="46"/>
        <v>-9.1175117269020696</v>
      </c>
      <c r="AD92">
        <f t="shared" si="51"/>
        <v>0</v>
      </c>
      <c r="AE92">
        <f t="shared" si="52"/>
        <v>0</v>
      </c>
    </row>
    <row r="93" spans="1:31" x14ac:dyDescent="0.2">
      <c r="A93" s="347">
        <v>1584.9</v>
      </c>
      <c r="B93" s="364">
        <f t="shared" si="48"/>
        <v>1.5849000000000002</v>
      </c>
      <c r="C93" s="337">
        <f t="shared" si="26"/>
        <v>1.0153187379135855</v>
      </c>
      <c r="D93" s="338">
        <f t="shared" si="27"/>
        <v>0.17392933875134117</v>
      </c>
      <c r="E93" s="338">
        <f t="shared" si="28"/>
        <v>1.0000000043811605</v>
      </c>
      <c r="F93" s="339">
        <f t="shared" si="29"/>
        <v>9.3607271317112359E-5</v>
      </c>
      <c r="G93" s="338">
        <f t="shared" si="30"/>
        <v>1</v>
      </c>
      <c r="H93" s="339">
        <f t="shared" si="31"/>
        <v>0</v>
      </c>
      <c r="I93" s="337">
        <f t="shared" si="32"/>
        <v>2995.7089992531705</v>
      </c>
      <c r="J93" s="340">
        <f t="shared" si="33"/>
        <v>1.5704625159945749</v>
      </c>
      <c r="K93" s="348">
        <f t="shared" si="34"/>
        <v>1.0374266726214625</v>
      </c>
      <c r="L93" s="349">
        <f t="shared" si="35"/>
        <v>0.26942709899609329</v>
      </c>
      <c r="M93" s="337">
        <f t="shared" si="36"/>
        <v>1.0000010247379025</v>
      </c>
      <c r="N93" s="340">
        <f t="shared" si="37"/>
        <v>1.4315984265564682E-3</v>
      </c>
      <c r="O93" s="341">
        <f t="shared" si="38"/>
        <v>0.99999778598780531</v>
      </c>
      <c r="P93" s="342">
        <f t="shared" si="39"/>
        <v>3.5878283329554848E-4</v>
      </c>
      <c r="Q93" s="343">
        <f t="shared" si="40"/>
        <v>27.813218093245236</v>
      </c>
      <c r="R93" s="344">
        <f t="shared" si="41"/>
        <v>-84.606473520016777</v>
      </c>
      <c r="S93" s="346">
        <f t="shared" si="42"/>
        <v>95.393526479983223</v>
      </c>
      <c r="U93" s="319">
        <f t="shared" si="49"/>
        <v>1000000000</v>
      </c>
      <c r="V93" s="319">
        <f t="shared" si="50"/>
        <v>2511908.0100000002</v>
      </c>
      <c r="X93" s="345">
        <f t="shared" si="43"/>
        <v>28.496371212076305</v>
      </c>
      <c r="Y93" s="346">
        <f t="shared" si="44"/>
        <v>-74.625863024127852</v>
      </c>
      <c r="AA93" s="345">
        <f t="shared" si="45"/>
        <v>35.327020844770402</v>
      </c>
      <c r="AB93" s="346">
        <f t="shared" si="46"/>
        <v>-9.9806104958889321</v>
      </c>
      <c r="AD93">
        <f t="shared" si="51"/>
        <v>0</v>
      </c>
      <c r="AE93">
        <f t="shared" si="52"/>
        <v>0</v>
      </c>
    </row>
    <row r="94" spans="1:31" x14ac:dyDescent="0.2">
      <c r="A94" s="347">
        <v>1737.8</v>
      </c>
      <c r="B94" s="364">
        <f t="shared" si="48"/>
        <v>1.7378</v>
      </c>
      <c r="C94" s="337">
        <f t="shared" si="26"/>
        <v>1.0183889832290713</v>
      </c>
      <c r="D94" s="338">
        <f t="shared" si="27"/>
        <v>0.19032361863819561</v>
      </c>
      <c r="E94" s="338">
        <f t="shared" si="28"/>
        <v>1.0000000052672633</v>
      </c>
      <c r="F94" s="339">
        <f t="shared" si="29"/>
        <v>1.026378421343823E-4</v>
      </c>
      <c r="G94" s="338">
        <f t="shared" si="30"/>
        <v>1</v>
      </c>
      <c r="H94" s="339">
        <f t="shared" si="31"/>
        <v>0</v>
      </c>
      <c r="I94" s="337">
        <f t="shared" si="32"/>
        <v>3284.7138936890951</v>
      </c>
      <c r="J94" s="340">
        <f t="shared" si="33"/>
        <v>1.5704918862719737</v>
      </c>
      <c r="K94" s="348">
        <f t="shared" si="34"/>
        <v>1.0448333449460077</v>
      </c>
      <c r="L94" s="349">
        <f t="shared" si="35"/>
        <v>0.29400679574239885</v>
      </c>
      <c r="M94" s="337">
        <f t="shared" si="36"/>
        <v>1.0000012319940488</v>
      </c>
      <c r="N94" s="340">
        <f t="shared" si="37"/>
        <v>1.5697087525550666E-3</v>
      </c>
      <c r="O94" s="341">
        <f t="shared" si="38"/>
        <v>0.99999733819732084</v>
      </c>
      <c r="P94" s="342">
        <f t="shared" si="39"/>
        <v>3.9339585437652374E-4</v>
      </c>
      <c r="Q94" s="343">
        <f t="shared" si="40"/>
        <v>27.048828188397621</v>
      </c>
      <c r="R94" s="344">
        <f t="shared" si="41"/>
        <v>-84.148545378046421</v>
      </c>
      <c r="S94" s="346">
        <f t="shared" si="42"/>
        <v>95.851454621953579</v>
      </c>
      <c r="U94" s="319">
        <f t="shared" si="49"/>
        <v>1000000000</v>
      </c>
      <c r="V94" s="319">
        <f t="shared" si="50"/>
        <v>3019948.84</v>
      </c>
      <c r="X94" s="345">
        <f t="shared" si="43"/>
        <v>27.758203235884071</v>
      </c>
      <c r="Y94" s="346">
        <f t="shared" si="44"/>
        <v>-73.227146068979806</v>
      </c>
      <c r="AA94" s="345">
        <f t="shared" si="45"/>
        <v>35.300798916115014</v>
      </c>
      <c r="AB94" s="346">
        <f t="shared" si="46"/>
        <v>-10.921399309066627</v>
      </c>
      <c r="AD94">
        <f t="shared" si="51"/>
        <v>0</v>
      </c>
      <c r="AE94">
        <f t="shared" si="52"/>
        <v>0</v>
      </c>
    </row>
    <row r="95" spans="1:31" x14ac:dyDescent="0.2">
      <c r="A95" s="347">
        <v>1905.5</v>
      </c>
      <c r="B95" s="364">
        <f t="shared" si="48"/>
        <v>1.9055</v>
      </c>
      <c r="C95" s="337">
        <f t="shared" si="26"/>
        <v>1.0220691145290504</v>
      </c>
      <c r="D95" s="338">
        <f t="shared" si="27"/>
        <v>0.208186178602243</v>
      </c>
      <c r="E95" s="338">
        <f t="shared" si="28"/>
        <v>1.0000000063329104</v>
      </c>
      <c r="F95" s="339">
        <f t="shared" si="29"/>
        <v>1.1254252966286216E-4</v>
      </c>
      <c r="G95" s="338">
        <f t="shared" si="30"/>
        <v>1</v>
      </c>
      <c r="H95" s="339">
        <f t="shared" si="31"/>
        <v>0</v>
      </c>
      <c r="I95" s="337">
        <f t="shared" si="32"/>
        <v>3601.6931037038298</v>
      </c>
      <c r="J95" s="340">
        <f t="shared" si="33"/>
        <v>1.5705186795928572</v>
      </c>
      <c r="K95" s="348">
        <f t="shared" si="34"/>
        <v>1.0536718217901384</v>
      </c>
      <c r="L95" s="349">
        <f t="shared" si="35"/>
        <v>0.3205504926312267</v>
      </c>
      <c r="M95" s="337">
        <f t="shared" si="36"/>
        <v>1.000001481244928</v>
      </c>
      <c r="N95" s="340">
        <f t="shared" si="37"/>
        <v>1.7211874387010378E-3</v>
      </c>
      <c r="O95" s="341">
        <f t="shared" si="38"/>
        <v>0.99999679967435684</v>
      </c>
      <c r="P95" s="342">
        <f t="shared" si="39"/>
        <v>4.3135930953671161E-4</v>
      </c>
      <c r="Q95" s="343">
        <f t="shared" si="40"/>
        <v>26.290482962736505</v>
      </c>
      <c r="R95" s="344">
        <f t="shared" si="41"/>
        <v>-83.662974752898236</v>
      </c>
      <c r="S95" s="346">
        <f t="shared" si="42"/>
        <v>96.337025247101764</v>
      </c>
      <c r="U95" s="319">
        <f t="shared" si="49"/>
        <v>1000000000</v>
      </c>
      <c r="V95" s="319">
        <f t="shared" si="50"/>
        <v>3630930.25</v>
      </c>
      <c r="X95" s="345">
        <f t="shared" si="43"/>
        <v>27.031184767081676</v>
      </c>
      <c r="Y95" s="346">
        <f t="shared" si="44"/>
        <v>-71.716518496457411</v>
      </c>
      <c r="AA95" s="345">
        <f t="shared" si="45"/>
        <v>35.269472159256296</v>
      </c>
      <c r="AB95" s="346">
        <f t="shared" si="46"/>
        <v>-11.946456256440831</v>
      </c>
      <c r="AD95">
        <f t="shared" si="51"/>
        <v>0</v>
      </c>
      <c r="AE95">
        <f t="shared" si="52"/>
        <v>0</v>
      </c>
    </row>
    <row r="96" spans="1:31" x14ac:dyDescent="0.2">
      <c r="A96" s="347">
        <v>2089.3000000000002</v>
      </c>
      <c r="B96" s="364">
        <f t="shared" si="48"/>
        <v>2.0893000000000002</v>
      </c>
      <c r="C96" s="337">
        <f t="shared" si="26"/>
        <v>1.0264742410498295</v>
      </c>
      <c r="D96" s="338">
        <f t="shared" si="27"/>
        <v>0.22760961169641727</v>
      </c>
      <c r="E96" s="338">
        <f t="shared" si="28"/>
        <v>1.0000000076135473</v>
      </c>
      <c r="F96" s="339">
        <f t="shared" si="29"/>
        <v>1.2339811441819444E-4</v>
      </c>
      <c r="G96" s="338">
        <f t="shared" si="30"/>
        <v>1</v>
      </c>
      <c r="H96" s="339">
        <f t="shared" si="31"/>
        <v>0</v>
      </c>
      <c r="I96" s="337">
        <f t="shared" si="32"/>
        <v>3949.1038324752203</v>
      </c>
      <c r="J96" s="340">
        <f t="shared" si="33"/>
        <v>1.5705431047847627</v>
      </c>
      <c r="K96" s="348">
        <f t="shared" si="34"/>
        <v>1.0641963129361554</v>
      </c>
      <c r="L96" s="349">
        <f t="shared" si="35"/>
        <v>0.34911371388618967</v>
      </c>
      <c r="M96" s="337">
        <f t="shared" si="36"/>
        <v>1.0000017807810009</v>
      </c>
      <c r="N96" s="340">
        <f t="shared" si="37"/>
        <v>1.8872087103520535E-3</v>
      </c>
      <c r="O96" s="341">
        <f t="shared" si="38"/>
        <v>0.99999615250676022</v>
      </c>
      <c r="P96" s="342">
        <f t="shared" si="39"/>
        <v>4.7296751210803602E-4</v>
      </c>
      <c r="Q96" s="343">
        <f t="shared" si="40"/>
        <v>25.53962089283899</v>
      </c>
      <c r="R96" s="344">
        <f t="shared" si="41"/>
        <v>-83.151977238852325</v>
      </c>
      <c r="S96" s="346">
        <f t="shared" si="42"/>
        <v>96.848022761147675</v>
      </c>
      <c r="U96" s="319">
        <f t="shared" si="49"/>
        <v>1000000000</v>
      </c>
      <c r="V96" s="319">
        <f t="shared" si="50"/>
        <v>4365174.4900000012</v>
      </c>
      <c r="X96" s="345">
        <f t="shared" si="43"/>
        <v>26.317672878323222</v>
      </c>
      <c r="Y96" s="346">
        <f t="shared" si="44"/>
        <v>-70.09087824597708</v>
      </c>
      <c r="AA96" s="345">
        <f t="shared" si="45"/>
        <v>35.232121978117227</v>
      </c>
      <c r="AB96" s="346">
        <f t="shared" si="46"/>
        <v>-13.061098992875246</v>
      </c>
      <c r="AD96">
        <f t="shared" si="51"/>
        <v>0</v>
      </c>
      <c r="AE96">
        <f t="shared" si="52"/>
        <v>0</v>
      </c>
    </row>
    <row r="97" spans="1:31" x14ac:dyDescent="0.2">
      <c r="A97" s="347">
        <v>2290.9</v>
      </c>
      <c r="B97" s="364">
        <f t="shared" si="48"/>
        <v>2.2909000000000002</v>
      </c>
      <c r="C97" s="337">
        <f t="shared" si="26"/>
        <v>1.0317472118463269</v>
      </c>
      <c r="D97" s="338">
        <f t="shared" si="27"/>
        <v>0.24871449271966298</v>
      </c>
      <c r="E97" s="338">
        <f t="shared" si="28"/>
        <v>1.0000000091537218</v>
      </c>
      <c r="F97" s="339">
        <f t="shared" si="29"/>
        <v>1.3530500168974178E-4</v>
      </c>
      <c r="G97" s="338">
        <f t="shared" si="30"/>
        <v>1</v>
      </c>
      <c r="H97" s="339">
        <f t="shared" si="31"/>
        <v>0</v>
      </c>
      <c r="I97" s="337">
        <f t="shared" si="32"/>
        <v>4330.1593457206309</v>
      </c>
      <c r="J97" s="340">
        <f t="shared" si="33"/>
        <v>1.570565388409251</v>
      </c>
      <c r="K97" s="348">
        <f t="shared" si="34"/>
        <v>1.0767174786585745</v>
      </c>
      <c r="L97" s="349">
        <f t="shared" si="35"/>
        <v>0.37977319454312158</v>
      </c>
      <c r="M97" s="337">
        <f t="shared" si="36"/>
        <v>1.0000021410218094</v>
      </c>
      <c r="N97" s="340">
        <f t="shared" si="37"/>
        <v>2.0693080918180815E-3</v>
      </c>
      <c r="O97" s="341">
        <f t="shared" si="38"/>
        <v>0.9999953741823232</v>
      </c>
      <c r="P97" s="342">
        <f t="shared" si="39"/>
        <v>5.1860533432031373E-4</v>
      </c>
      <c r="Q97" s="343">
        <f t="shared" si="40"/>
        <v>24.796613319075473</v>
      </c>
      <c r="R97" s="344">
        <f t="shared" si="41"/>
        <v>-82.618181928151415</v>
      </c>
      <c r="S97" s="346">
        <f t="shared" si="42"/>
        <v>97.381818071848585</v>
      </c>
      <c r="U97" s="319">
        <f t="shared" si="49"/>
        <v>1000000000</v>
      </c>
      <c r="V97" s="319">
        <f t="shared" si="50"/>
        <v>5248222.8100000005</v>
      </c>
      <c r="X97" s="345">
        <f t="shared" si="43"/>
        <v>25.619163501294135</v>
      </c>
      <c r="Y97" s="346">
        <f t="shared" si="44"/>
        <v>-68.345929683923387</v>
      </c>
      <c r="AA97" s="345">
        <f t="shared" si="45"/>
        <v>35.187623781382804</v>
      </c>
      <c r="AB97" s="346">
        <f t="shared" si="46"/>
        <v>-14.272252244228048</v>
      </c>
      <c r="AD97">
        <f t="shared" si="51"/>
        <v>0</v>
      </c>
      <c r="AE97">
        <f t="shared" si="52"/>
        <v>0</v>
      </c>
    </row>
    <row r="98" spans="1:31" x14ac:dyDescent="0.2">
      <c r="A98" s="347">
        <v>2511.9</v>
      </c>
      <c r="B98" s="364">
        <f t="shared" si="48"/>
        <v>2.5119000000000002</v>
      </c>
      <c r="C98" s="337">
        <f t="shared" si="26"/>
        <v>1.0380498446952275</v>
      </c>
      <c r="D98" s="338">
        <f t="shared" si="27"/>
        <v>0.27159260289602188</v>
      </c>
      <c r="E98" s="338">
        <f t="shared" si="28"/>
        <v>1.0000000110050022</v>
      </c>
      <c r="F98" s="339">
        <f t="shared" si="29"/>
        <v>1.4835769056920686E-4</v>
      </c>
      <c r="G98" s="338">
        <f t="shared" si="30"/>
        <v>1</v>
      </c>
      <c r="H98" s="339">
        <f t="shared" si="31"/>
        <v>0</v>
      </c>
      <c r="I98" s="337">
        <f t="shared" si="32"/>
        <v>4747.8838935455215</v>
      </c>
      <c r="J98" s="340">
        <f t="shared" si="33"/>
        <v>1.5705857066470972</v>
      </c>
      <c r="K98" s="348">
        <f t="shared" si="34"/>
        <v>1.0915777872764667</v>
      </c>
      <c r="L98" s="349">
        <f t="shared" si="35"/>
        <v>0.4125406923374148</v>
      </c>
      <c r="M98" s="337">
        <f t="shared" si="36"/>
        <v>1.0000025740289353</v>
      </c>
      <c r="N98" s="340">
        <f t="shared" si="37"/>
        <v>2.2689307675398027E-3</v>
      </c>
      <c r="O98" s="341">
        <f t="shared" si="38"/>
        <v>0.99999443864105131</v>
      </c>
      <c r="P98" s="342">
        <f t="shared" si="39"/>
        <v>5.686350210882588E-4</v>
      </c>
      <c r="Q98" s="343">
        <f t="shared" si="40"/>
        <v>24.062853915884265</v>
      </c>
      <c r="R98" s="344">
        <f t="shared" si="41"/>
        <v>-82.066282067051986</v>
      </c>
      <c r="S98" s="346">
        <f t="shared" si="42"/>
        <v>97.933717932948014</v>
      </c>
      <c r="U98" s="319">
        <f t="shared" si="49"/>
        <v>1000000000</v>
      </c>
      <c r="V98" s="319">
        <f t="shared" si="50"/>
        <v>6309641.6100000003</v>
      </c>
      <c r="X98" s="345">
        <f t="shared" si="43"/>
        <v>24.938294033477028</v>
      </c>
      <c r="Y98" s="346">
        <f t="shared" si="44"/>
        <v>-66.481092039064947</v>
      </c>
      <c r="AA98" s="345">
        <f t="shared" si="45"/>
        <v>35.134733846008707</v>
      </c>
      <c r="AB98" s="346">
        <f t="shared" si="46"/>
        <v>-15.585190027987036</v>
      </c>
      <c r="AD98">
        <f t="shared" si="51"/>
        <v>0</v>
      </c>
      <c r="AE98">
        <f t="shared" si="52"/>
        <v>0</v>
      </c>
    </row>
    <row r="99" spans="1:31" x14ac:dyDescent="0.2">
      <c r="A99" s="347">
        <v>2754.2</v>
      </c>
      <c r="B99" s="364">
        <f t="shared" si="48"/>
        <v>2.7542</v>
      </c>
      <c r="C99" s="337">
        <f t="shared" si="26"/>
        <v>1.0455762176121552</v>
      </c>
      <c r="D99" s="338">
        <f t="shared" si="27"/>
        <v>0.29634432126078952</v>
      </c>
      <c r="E99" s="338">
        <f t="shared" si="28"/>
        <v>1.0000000132305042</v>
      </c>
      <c r="F99" s="339">
        <f t="shared" si="29"/>
        <v>1.6266839872585405E-4</v>
      </c>
      <c r="G99" s="338">
        <f t="shared" si="30"/>
        <v>1</v>
      </c>
      <c r="H99" s="339">
        <f t="shared" si="31"/>
        <v>0</v>
      </c>
      <c r="I99" s="337">
        <f t="shared" si="32"/>
        <v>5205.8687729665317</v>
      </c>
      <c r="J99" s="340">
        <f t="shared" si="33"/>
        <v>1.5706042358971501</v>
      </c>
      <c r="K99" s="348">
        <f t="shared" si="34"/>
        <v>1.1091784913597948</v>
      </c>
      <c r="L99" s="349">
        <f t="shared" si="35"/>
        <v>0.44741576031681135</v>
      </c>
      <c r="M99" s="337">
        <f t="shared" si="36"/>
        <v>1.0000030945647032</v>
      </c>
      <c r="N99" s="340">
        <f t="shared" si="37"/>
        <v>2.4877928864127045E-3</v>
      </c>
      <c r="O99" s="341">
        <f t="shared" si="38"/>
        <v>0.9999933139877426</v>
      </c>
      <c r="P99" s="342">
        <f t="shared" si="39"/>
        <v>6.2348674450406064E-4</v>
      </c>
      <c r="Q99" s="343">
        <f t="shared" si="40"/>
        <v>23.339181880076971</v>
      </c>
      <c r="R99" s="344">
        <f t="shared" si="41"/>
        <v>-81.502181211557584</v>
      </c>
      <c r="S99" s="346">
        <f t="shared" si="42"/>
        <v>98.497818788442416</v>
      </c>
      <c r="U99" s="319">
        <f t="shared" si="49"/>
        <v>1000000000</v>
      </c>
      <c r="V99" s="319">
        <f t="shared" si="50"/>
        <v>7585617.6399999987</v>
      </c>
      <c r="X99" s="345">
        <f t="shared" si="43"/>
        <v>24.277361980401938</v>
      </c>
      <c r="Y99" s="346">
        <f t="shared" si="44"/>
        <v>-64.496499354878239</v>
      </c>
      <c r="AA99" s="345">
        <f t="shared" si="45"/>
        <v>35.071993863276496</v>
      </c>
      <c r="AB99" s="346">
        <f t="shared" si="46"/>
        <v>-17.005681856679345</v>
      </c>
      <c r="AD99">
        <f t="shared" si="51"/>
        <v>0</v>
      </c>
      <c r="AE99">
        <f t="shared" si="52"/>
        <v>0</v>
      </c>
    </row>
    <row r="100" spans="1:31" x14ac:dyDescent="0.2">
      <c r="A100" s="347">
        <v>3020</v>
      </c>
      <c r="B100" s="364">
        <f t="shared" si="48"/>
        <v>3.02</v>
      </c>
      <c r="C100" s="337">
        <f t="shared" si="26"/>
        <v>1.054558004475429</v>
      </c>
      <c r="D100" s="338">
        <f t="shared" si="27"/>
        <v>0.32307204759664188</v>
      </c>
      <c r="E100" s="338">
        <f t="shared" si="28"/>
        <v>1.0000000159074047</v>
      </c>
      <c r="F100" s="339">
        <f t="shared" si="29"/>
        <v>1.7836706240482864E-4</v>
      </c>
      <c r="G100" s="338">
        <f t="shared" si="30"/>
        <v>1</v>
      </c>
      <c r="H100" s="339">
        <f t="shared" si="31"/>
        <v>0</v>
      </c>
      <c r="I100" s="337">
        <f t="shared" si="32"/>
        <v>5708.272327916653</v>
      </c>
      <c r="J100" s="340">
        <f t="shared" si="33"/>
        <v>1.5706211424400396</v>
      </c>
      <c r="K100" s="348">
        <f t="shared" si="34"/>
        <v>1.1299860091026765</v>
      </c>
      <c r="L100" s="349">
        <f t="shared" si="35"/>
        <v>0.48437381296892051</v>
      </c>
      <c r="M100" s="337">
        <f t="shared" si="36"/>
        <v>1.0000037206804273</v>
      </c>
      <c r="N100" s="340">
        <f t="shared" si="37"/>
        <v>2.7278815557743637E-3</v>
      </c>
      <c r="O100" s="341">
        <f t="shared" si="38"/>
        <v>0.99999196122100364</v>
      </c>
      <c r="P100" s="342">
        <f t="shared" si="39"/>
        <v>6.8365860876876735E-4</v>
      </c>
      <c r="Q100" s="343">
        <f t="shared" si="40"/>
        <v>22.626095877939257</v>
      </c>
      <c r="R100" s="344">
        <f t="shared" si="41"/>
        <v>-80.933299557656468</v>
      </c>
      <c r="S100" s="346">
        <f t="shared" si="42"/>
        <v>99.066700442343532</v>
      </c>
      <c r="U100" s="319">
        <f t="shared" si="49"/>
        <v>1000000000</v>
      </c>
      <c r="V100" s="319">
        <f t="shared" si="50"/>
        <v>9120400</v>
      </c>
      <c r="X100" s="345">
        <f t="shared" si="43"/>
        <v>23.638559727850335</v>
      </c>
      <c r="Y100" s="346">
        <f t="shared" si="44"/>
        <v>-62.393683657504347</v>
      </c>
      <c r="AA100" s="345">
        <f t="shared" si="45"/>
        <v>34.997710113690395</v>
      </c>
      <c r="AB100" s="346">
        <f t="shared" si="46"/>
        <v>-18.539615900152125</v>
      </c>
      <c r="AD100">
        <f t="shared" si="51"/>
        <v>0</v>
      </c>
      <c r="AE100">
        <f t="shared" si="52"/>
        <v>0</v>
      </c>
    </row>
    <row r="101" spans="1:31" x14ac:dyDescent="0.2">
      <c r="A101" s="347">
        <v>3311.3</v>
      </c>
      <c r="B101" s="364">
        <f t="shared" si="48"/>
        <v>3.3113000000000001</v>
      </c>
      <c r="C101" s="337">
        <f t="shared" si="26"/>
        <v>1.0652510063062683</v>
      </c>
      <c r="D101" s="338">
        <f t="shared" si="27"/>
        <v>0.35182347390634994</v>
      </c>
      <c r="E101" s="338">
        <f t="shared" si="28"/>
        <v>1.0000000191241658</v>
      </c>
      <c r="F101" s="339">
        <f t="shared" si="29"/>
        <v>1.9557180545513427E-4</v>
      </c>
      <c r="G101" s="338">
        <f t="shared" si="30"/>
        <v>1</v>
      </c>
      <c r="H101" s="339">
        <f t="shared" si="31"/>
        <v>0</v>
      </c>
      <c r="I101" s="337">
        <f t="shared" si="32"/>
        <v>6258.8748710741247</v>
      </c>
      <c r="J101" s="340">
        <f t="shared" si="33"/>
        <v>1.5706365536687592</v>
      </c>
      <c r="K101" s="348">
        <f t="shared" si="34"/>
        <v>1.1544938760293693</v>
      </c>
      <c r="L101" s="349">
        <f t="shared" si="35"/>
        <v>0.52328864328142799</v>
      </c>
      <c r="M101" s="337">
        <f t="shared" si="36"/>
        <v>1.0000044730667457</v>
      </c>
      <c r="N101" s="340">
        <f t="shared" si="37"/>
        <v>2.9910032002858139E-3</v>
      </c>
      <c r="O101" s="341">
        <f t="shared" si="38"/>
        <v>0.99999033563685213</v>
      </c>
      <c r="P101" s="342">
        <f t="shared" si="39"/>
        <v>7.4960346586357021E-4</v>
      </c>
      <c r="Q101" s="343">
        <f t="shared" si="40"/>
        <v>21.925013521777608</v>
      </c>
      <c r="R101" s="344">
        <f t="shared" si="41"/>
        <v>-80.369730763085272</v>
      </c>
      <c r="S101" s="346">
        <f t="shared" si="42"/>
        <v>99.630269236914728</v>
      </c>
      <c r="U101" s="319">
        <f t="shared" si="49"/>
        <v>1000000000</v>
      </c>
      <c r="V101" s="319">
        <f t="shared" si="50"/>
        <v>10964707.690000001</v>
      </c>
      <c r="X101" s="345">
        <f t="shared" si="43"/>
        <v>23.025092836939368</v>
      </c>
      <c r="Y101" s="346">
        <f t="shared" si="44"/>
        <v>-60.179986875692194</v>
      </c>
      <c r="AA101" s="345">
        <f t="shared" si="45"/>
        <v>34.910094648439703</v>
      </c>
      <c r="AB101" s="346">
        <f t="shared" si="46"/>
        <v>-20.189743887393067</v>
      </c>
      <c r="AD101">
        <f t="shared" si="51"/>
        <v>0</v>
      </c>
      <c r="AE101">
        <f t="shared" si="52"/>
        <v>0</v>
      </c>
    </row>
    <row r="102" spans="1:31" x14ac:dyDescent="0.2">
      <c r="A102" s="347">
        <v>3630.8</v>
      </c>
      <c r="B102" s="364">
        <f t="shared" si="48"/>
        <v>3.6308000000000002</v>
      </c>
      <c r="C102" s="337">
        <f t="shared" si="26"/>
        <v>1.0779701460521471</v>
      </c>
      <c r="D102" s="338">
        <f t="shared" si="27"/>
        <v>0.38267399950297687</v>
      </c>
      <c r="E102" s="338">
        <f t="shared" si="28"/>
        <v>1.0000000229927064</v>
      </c>
      <c r="F102" s="339">
        <f t="shared" si="29"/>
        <v>2.1444209507298661E-4</v>
      </c>
      <c r="G102" s="338">
        <f t="shared" si="30"/>
        <v>1</v>
      </c>
      <c r="H102" s="339">
        <f t="shared" si="31"/>
        <v>0</v>
      </c>
      <c r="I102" s="337">
        <f t="shared" si="32"/>
        <v>6862.7798245687309</v>
      </c>
      <c r="J102" s="340">
        <f t="shared" si="33"/>
        <v>1.5706506132459994</v>
      </c>
      <c r="K102" s="348">
        <f t="shared" si="34"/>
        <v>1.1832954244020082</v>
      </c>
      <c r="L102" s="349">
        <f t="shared" si="35"/>
        <v>0.56404881860718781</v>
      </c>
      <c r="M102" s="337">
        <f t="shared" si="36"/>
        <v>1.0000053779006812</v>
      </c>
      <c r="N102" s="340">
        <f t="shared" si="37"/>
        <v>3.279596493457518E-3</v>
      </c>
      <c r="O102" s="341">
        <f t="shared" si="38"/>
        <v>0.99998838067736728</v>
      </c>
      <c r="P102" s="342">
        <f t="shared" si="39"/>
        <v>8.2193266578559781E-4</v>
      </c>
      <c r="Q102" s="343">
        <f t="shared" si="40"/>
        <v>21.235882169364466</v>
      </c>
      <c r="R102" s="344">
        <f t="shared" si="41"/>
        <v>-79.822353358597439</v>
      </c>
      <c r="S102" s="346">
        <f t="shared" si="42"/>
        <v>100.17764664140256</v>
      </c>
      <c r="U102" s="319">
        <f t="shared" si="49"/>
        <v>1000000000</v>
      </c>
      <c r="V102" s="319">
        <f t="shared" si="50"/>
        <v>13182708.640000001</v>
      </c>
      <c r="X102" s="345">
        <f t="shared" si="43"/>
        <v>22.439040075603923</v>
      </c>
      <c r="Y102" s="346">
        <f t="shared" si="44"/>
        <v>-57.861941586796256</v>
      </c>
      <c r="AA102" s="345">
        <f t="shared" si="45"/>
        <v>34.807016057362006</v>
      </c>
      <c r="AB102" s="346">
        <f t="shared" si="46"/>
        <v>-21.960411771801191</v>
      </c>
      <c r="AD102">
        <f t="shared" si="51"/>
        <v>0</v>
      </c>
      <c r="AE102">
        <f t="shared" si="52"/>
        <v>0</v>
      </c>
    </row>
    <row r="103" spans="1:31" x14ac:dyDescent="0.2">
      <c r="A103" s="347">
        <v>3981.1</v>
      </c>
      <c r="B103" s="364">
        <f t="shared" si="48"/>
        <v>3.9811000000000001</v>
      </c>
      <c r="C103" s="337">
        <f t="shared" si="26"/>
        <v>1.0930650151893715</v>
      </c>
      <c r="D103" s="338">
        <f t="shared" si="27"/>
        <v>0.41563858101160112</v>
      </c>
      <c r="E103" s="338">
        <f t="shared" si="28"/>
        <v>1.00000002764341</v>
      </c>
      <c r="F103" s="339">
        <f t="shared" si="29"/>
        <v>2.3513149224637785E-4</v>
      </c>
      <c r="G103" s="338">
        <f t="shared" si="30"/>
        <v>1</v>
      </c>
      <c r="H103" s="339">
        <f t="shared" si="31"/>
        <v>0</v>
      </c>
      <c r="I103" s="337">
        <f t="shared" si="32"/>
        <v>7524.9015949082277</v>
      </c>
      <c r="J103" s="340">
        <f t="shared" si="33"/>
        <v>1.5706634346912152</v>
      </c>
      <c r="K103" s="348">
        <f t="shared" si="34"/>
        <v>1.2170183059430335</v>
      </c>
      <c r="L103" s="349">
        <f t="shared" si="35"/>
        <v>0.60644333437967823</v>
      </c>
      <c r="M103" s="337">
        <f t="shared" si="36"/>
        <v>1.0000064656778307</v>
      </c>
      <c r="N103" s="340">
        <f t="shared" si="37"/>
        <v>3.5960097311459548E-3</v>
      </c>
      <c r="O103" s="341">
        <f t="shared" si="38"/>
        <v>0.99998603045372969</v>
      </c>
      <c r="P103" s="342">
        <f t="shared" si="39"/>
        <v>9.0123496220784801E-4</v>
      </c>
      <c r="Q103" s="343">
        <f t="shared" si="40"/>
        <v>20.559171285561494</v>
      </c>
      <c r="R103" s="344">
        <f t="shared" si="41"/>
        <v>-79.304279953151834</v>
      </c>
      <c r="S103" s="346">
        <f t="shared" si="42"/>
        <v>100.69572004684817</v>
      </c>
      <c r="U103" s="319">
        <f t="shared" si="49"/>
        <v>1000000000</v>
      </c>
      <c r="V103" s="319">
        <f t="shared" si="50"/>
        <v>15849157.209999999</v>
      </c>
      <c r="X103" s="345">
        <f t="shared" si="43"/>
        <v>21.883093957771642</v>
      </c>
      <c r="Y103" s="346">
        <f t="shared" si="44"/>
        <v>-55.451778513577473</v>
      </c>
      <c r="AA103" s="345">
        <f t="shared" si="45"/>
        <v>34.686251291391315</v>
      </c>
      <c r="AB103" s="346">
        <f t="shared" si="46"/>
        <v>-23.852501439574368</v>
      </c>
      <c r="AD103">
        <f t="shared" si="51"/>
        <v>0</v>
      </c>
      <c r="AE103">
        <f t="shared" si="52"/>
        <v>0</v>
      </c>
    </row>
    <row r="104" spans="1:31" x14ac:dyDescent="0.2">
      <c r="A104" s="347">
        <v>4365.2</v>
      </c>
      <c r="B104" s="364">
        <f t="shared" si="48"/>
        <v>4.3651999999999997</v>
      </c>
      <c r="C104" s="337">
        <f t="shared" si="26"/>
        <v>1.110941757151938</v>
      </c>
      <c r="D104" s="338">
        <f t="shared" si="27"/>
        <v>0.45071195652508572</v>
      </c>
      <c r="E104" s="338">
        <f t="shared" si="28"/>
        <v>1.0000000332348509</v>
      </c>
      <c r="F104" s="339">
        <f t="shared" si="29"/>
        <v>2.5781718272032029E-4</v>
      </c>
      <c r="G104" s="338">
        <f t="shared" si="30"/>
        <v>1</v>
      </c>
      <c r="H104" s="339">
        <f t="shared" si="31"/>
        <v>0</v>
      </c>
      <c r="I104" s="337">
        <f t="shared" si="32"/>
        <v>8250.9106511504979</v>
      </c>
      <c r="J104" s="340">
        <f t="shared" si="33"/>
        <v>1.5706751280515423</v>
      </c>
      <c r="K104" s="348">
        <f t="shared" si="34"/>
        <v>1.2563648305023287</v>
      </c>
      <c r="L104" s="349">
        <f t="shared" si="35"/>
        <v>0.6502257704296448</v>
      </c>
      <c r="M104" s="337">
        <f t="shared" si="36"/>
        <v>1.0000077734873609</v>
      </c>
      <c r="N104" s="340">
        <f t="shared" si="37"/>
        <v>3.9429524484242851E-3</v>
      </c>
      <c r="O104" s="341">
        <f t="shared" si="38"/>
        <v>0.99998320483077341</v>
      </c>
      <c r="P104" s="342">
        <f t="shared" si="39"/>
        <v>9.8818971669688738E-4</v>
      </c>
      <c r="Q104" s="343">
        <f t="shared" si="40"/>
        <v>19.894630599783866</v>
      </c>
      <c r="R104" s="344">
        <f t="shared" si="41"/>
        <v>-78.829518220094258</v>
      </c>
      <c r="S104" s="346">
        <f t="shared" si="42"/>
        <v>101.17048177990574</v>
      </c>
      <c r="U104" s="319">
        <f t="shared" si="49"/>
        <v>1000000000</v>
      </c>
      <c r="V104" s="319">
        <f t="shared" si="50"/>
        <v>19054971.039999999</v>
      </c>
      <c r="X104" s="345">
        <f t="shared" si="43"/>
        <v>21.359434610941786</v>
      </c>
      <c r="Y104" s="346">
        <f t="shared" si="44"/>
        <v>-52.963778041897918</v>
      </c>
      <c r="AA104" s="345">
        <f t="shared" si="45"/>
        <v>34.545369952443544</v>
      </c>
      <c r="AB104" s="346">
        <f t="shared" si="46"/>
        <v>-25.865740178196305</v>
      </c>
      <c r="AD104">
        <f t="shared" si="51"/>
        <v>0</v>
      </c>
      <c r="AE104">
        <f t="shared" si="52"/>
        <v>0</v>
      </c>
    </row>
    <row r="105" spans="1:31" x14ac:dyDescent="0.2">
      <c r="A105" s="347">
        <v>4786.3</v>
      </c>
      <c r="B105" s="364">
        <f t="shared" si="48"/>
        <v>4.7862999999999998</v>
      </c>
      <c r="C105" s="337">
        <f t="shared" si="26"/>
        <v>1.1320577422484901</v>
      </c>
      <c r="D105" s="338">
        <f t="shared" si="27"/>
        <v>0.48784039253202049</v>
      </c>
      <c r="E105" s="338">
        <f t="shared" si="28"/>
        <v>1.0000000399563005</v>
      </c>
      <c r="F105" s="339">
        <f t="shared" si="29"/>
        <v>2.8268816460295053E-4</v>
      </c>
      <c r="G105" s="338">
        <f t="shared" si="30"/>
        <v>1</v>
      </c>
      <c r="H105" s="339">
        <f t="shared" si="31"/>
        <v>0</v>
      </c>
      <c r="I105" s="337">
        <f t="shared" si="32"/>
        <v>9046.8554936337296</v>
      </c>
      <c r="J105" s="340">
        <f t="shared" si="33"/>
        <v>1.5706857911504686</v>
      </c>
      <c r="K105" s="348">
        <f t="shared" si="34"/>
        <v>1.3020904057256875</v>
      </c>
      <c r="L105" s="349">
        <f t="shared" si="35"/>
        <v>0.6950903676076704</v>
      </c>
      <c r="M105" s="337">
        <f t="shared" si="36"/>
        <v>1.0000093455979748</v>
      </c>
      <c r="N105" s="340">
        <f t="shared" si="37"/>
        <v>4.3233147449416596E-3</v>
      </c>
      <c r="O105" s="341">
        <f t="shared" si="38"/>
        <v>0.99997980816075482</v>
      </c>
      <c r="P105" s="342">
        <f t="shared" si="39"/>
        <v>1.083521639905622E-3</v>
      </c>
      <c r="Q105" s="343">
        <f t="shared" si="40"/>
        <v>19.241692722460062</v>
      </c>
      <c r="R105" s="344">
        <f t="shared" si="41"/>
        <v>-78.412710054281305</v>
      </c>
      <c r="S105" s="346">
        <f t="shared" si="42"/>
        <v>101.58728994571869</v>
      </c>
      <c r="U105" s="319">
        <f t="shared" si="49"/>
        <v>1000000000</v>
      </c>
      <c r="V105" s="319">
        <f t="shared" si="50"/>
        <v>22908667.690000001</v>
      </c>
      <c r="X105" s="345">
        <f t="shared" si="43"/>
        <v>20.87001293685254</v>
      </c>
      <c r="Y105" s="346">
        <f t="shared" si="44"/>
        <v>-50.415630075972189</v>
      </c>
      <c r="AA105" s="345">
        <f t="shared" si="45"/>
        <v>34.381853749208993</v>
      </c>
      <c r="AB105" s="346">
        <f t="shared" si="46"/>
        <v>-27.997079978309138</v>
      </c>
      <c r="AD105">
        <f t="shared" si="51"/>
        <v>0</v>
      </c>
      <c r="AE105">
        <f t="shared" si="52"/>
        <v>0</v>
      </c>
    </row>
    <row r="106" spans="1:31" x14ac:dyDescent="0.2">
      <c r="A106" s="347">
        <v>5248.1</v>
      </c>
      <c r="B106" s="364">
        <f t="shared" si="48"/>
        <v>5.2481</v>
      </c>
      <c r="C106" s="337">
        <f t="shared" si="26"/>
        <v>1.1569384803527385</v>
      </c>
      <c r="D106" s="338">
        <f t="shared" si="27"/>
        <v>0.52693953585321784</v>
      </c>
      <c r="E106" s="338">
        <f t="shared" si="28"/>
        <v>1.0000000480385223</v>
      </c>
      <c r="F106" s="339">
        <f t="shared" si="29"/>
        <v>3.0996296693876679E-4</v>
      </c>
      <c r="G106" s="338">
        <f t="shared" si="30"/>
        <v>1</v>
      </c>
      <c r="H106" s="339">
        <f t="shared" si="31"/>
        <v>0</v>
      </c>
      <c r="I106" s="337">
        <f t="shared" si="32"/>
        <v>9919.7297008836995</v>
      </c>
      <c r="J106" s="340">
        <f t="shared" si="33"/>
        <v>1.5706955175962745</v>
      </c>
      <c r="K106" s="348">
        <f t="shared" si="34"/>
        <v>1.3550315500959751</v>
      </c>
      <c r="L106" s="349">
        <f t="shared" si="35"/>
        <v>0.74070915778259672</v>
      </c>
      <c r="M106" s="337">
        <f t="shared" si="36"/>
        <v>1.0000112359825297</v>
      </c>
      <c r="N106" s="340">
        <f t="shared" si="37"/>
        <v>4.7404382339110117E-3</v>
      </c>
      <c r="O106" s="341">
        <f t="shared" si="38"/>
        <v>0.99997572382840305</v>
      </c>
      <c r="P106" s="342">
        <f t="shared" si="39"/>
        <v>1.1880687314417796E-3</v>
      </c>
      <c r="Q106" s="343">
        <f t="shared" si="40"/>
        <v>18.598999779000994</v>
      </c>
      <c r="R106" s="344">
        <f t="shared" si="41"/>
        <v>-78.06804588104562</v>
      </c>
      <c r="S106" s="346">
        <f t="shared" si="42"/>
        <v>101.93195411895438</v>
      </c>
      <c r="U106" s="319">
        <f t="shared" si="49"/>
        <v>1000000000</v>
      </c>
      <c r="V106" s="319">
        <f t="shared" si="50"/>
        <v>27542553.610000003</v>
      </c>
      <c r="X106" s="345">
        <f t="shared" si="43"/>
        <v>20.416118184899574</v>
      </c>
      <c r="Y106" s="346">
        <f t="shared" si="44"/>
        <v>-47.826322629245375</v>
      </c>
      <c r="AA106" s="345">
        <f t="shared" si="45"/>
        <v>34.193055557702884</v>
      </c>
      <c r="AB106" s="346">
        <f t="shared" si="46"/>
        <v>-30.241723251800241</v>
      </c>
      <c r="AD106">
        <f t="shared" si="51"/>
        <v>0</v>
      </c>
      <c r="AE106">
        <f t="shared" si="52"/>
        <v>0</v>
      </c>
    </row>
    <row r="107" spans="1:31" x14ac:dyDescent="0.2">
      <c r="A107" s="347">
        <v>5370.3</v>
      </c>
      <c r="B107" s="364">
        <f t="shared" si="48"/>
        <v>5.3703000000000003</v>
      </c>
      <c r="C107" s="337">
        <f t="shared" si="26"/>
        <v>1.1638101959029317</v>
      </c>
      <c r="D107" s="338">
        <f t="shared" si="27"/>
        <v>0.53700114884858541</v>
      </c>
      <c r="E107" s="338">
        <f t="shared" si="28"/>
        <v>1.0000000503016848</v>
      </c>
      <c r="F107" s="339">
        <f t="shared" si="29"/>
        <v>3.1718033551947589E-4</v>
      </c>
      <c r="G107" s="338">
        <f t="shared" si="30"/>
        <v>1</v>
      </c>
      <c r="H107" s="339">
        <f t="shared" si="31"/>
        <v>0</v>
      </c>
      <c r="I107" s="337">
        <f t="shared" si="32"/>
        <v>10150.706808269088</v>
      </c>
      <c r="J107" s="340">
        <f t="shared" si="33"/>
        <v>1.5706978114874894</v>
      </c>
      <c r="K107" s="348">
        <f t="shared" si="34"/>
        <v>1.3694892641865211</v>
      </c>
      <c r="L107" s="349">
        <f t="shared" si="35"/>
        <v>0.7521828298453489</v>
      </c>
      <c r="M107" s="337">
        <f t="shared" si="36"/>
        <v>1.000011765322373</v>
      </c>
      <c r="N107" s="340">
        <f t="shared" si="37"/>
        <v>4.8508158121689108E-3</v>
      </c>
      <c r="O107" s="341">
        <f t="shared" si="38"/>
        <v>0.99997458014463614</v>
      </c>
      <c r="P107" s="342">
        <f t="shared" si="39"/>
        <v>1.2157338610912086E-3</v>
      </c>
      <c r="Q107" s="343">
        <f t="shared" si="40"/>
        <v>18.439822891314734</v>
      </c>
      <c r="R107" s="344">
        <f t="shared" si="41"/>
        <v>-77.994768026059603</v>
      </c>
      <c r="S107" s="346">
        <f t="shared" si="42"/>
        <v>102.0052319739404</v>
      </c>
      <c r="U107" s="319">
        <f t="shared" si="49"/>
        <v>1000000000</v>
      </c>
      <c r="V107" s="319">
        <f t="shared" si="50"/>
        <v>28840122.090000004</v>
      </c>
      <c r="X107" s="345">
        <f t="shared" si="43"/>
        <v>20.308369172870123</v>
      </c>
      <c r="Y107" s="346">
        <f t="shared" si="44"/>
        <v>-47.175385243461051</v>
      </c>
      <c r="AA107" s="345">
        <f t="shared" si="45"/>
        <v>34.141627682046078</v>
      </c>
      <c r="AB107" s="346">
        <f t="shared" si="46"/>
        <v>-30.819382782598584</v>
      </c>
      <c r="AD107">
        <f t="shared" si="51"/>
        <v>0</v>
      </c>
      <c r="AE107">
        <f t="shared" si="52"/>
        <v>0</v>
      </c>
    </row>
    <row r="108" spans="1:31" x14ac:dyDescent="0.2">
      <c r="A108" s="347">
        <v>5432.85</v>
      </c>
      <c r="B108" s="364">
        <f t="shared" si="48"/>
        <v>5.4328500000000002</v>
      </c>
      <c r="C108" s="337">
        <f t="shared" si="26"/>
        <v>1.1673727736968809</v>
      </c>
      <c r="D108" s="338">
        <f t="shared" si="27"/>
        <v>0.5421052465730809</v>
      </c>
      <c r="E108" s="338">
        <f t="shared" si="28"/>
        <v>1.0000000514802758</v>
      </c>
      <c r="F108" s="339">
        <f t="shared" si="29"/>
        <v>3.2087465960430977E-4</v>
      </c>
      <c r="G108" s="338">
        <f t="shared" si="30"/>
        <v>1</v>
      </c>
      <c r="H108" s="339">
        <f t="shared" si="31"/>
        <v>0</v>
      </c>
      <c r="I108" s="337">
        <f t="shared" si="32"/>
        <v>10268.936088706041</v>
      </c>
      <c r="J108" s="340">
        <f t="shared" si="33"/>
        <v>1.5706989457231924</v>
      </c>
      <c r="K108" s="348">
        <f t="shared" si="34"/>
        <v>1.3769583230088931</v>
      </c>
      <c r="L108" s="349">
        <f t="shared" si="35"/>
        <v>0.75796219375520268</v>
      </c>
      <c r="M108" s="337">
        <f t="shared" si="36"/>
        <v>1.0000120409875084</v>
      </c>
      <c r="N108" s="340">
        <f t="shared" si="37"/>
        <v>4.9073142733137851E-3</v>
      </c>
      <c r="O108" s="341">
        <f t="shared" si="38"/>
        <v>0.99997398454644848</v>
      </c>
      <c r="P108" s="342">
        <f t="shared" si="39"/>
        <v>1.2298947320115775E-3</v>
      </c>
      <c r="Q108" s="343">
        <f t="shared" si="40"/>
        <v>18.359937557197167</v>
      </c>
      <c r="R108" s="344">
        <f t="shared" si="41"/>
        <v>-77.959979922802034</v>
      </c>
      <c r="S108" s="346">
        <f t="shared" si="42"/>
        <v>102.04002007719797</v>
      </c>
      <c r="U108" s="319">
        <f t="shared" si="49"/>
        <v>1000000000</v>
      </c>
      <c r="V108" s="319">
        <f t="shared" si="50"/>
        <v>29515859.122500002</v>
      </c>
      <c r="X108" s="345">
        <f t="shared" si="43"/>
        <v>20.255026705611677</v>
      </c>
      <c r="Y108" s="346">
        <f t="shared" si="44"/>
        <v>-46.847554193072931</v>
      </c>
      <c r="AA108" s="345">
        <f t="shared" si="45"/>
        <v>34.115084815186961</v>
      </c>
      <c r="AB108" s="346">
        <f t="shared" si="46"/>
        <v>-31.112425729729114</v>
      </c>
      <c r="AD108">
        <f t="shared" si="51"/>
        <v>0</v>
      </c>
      <c r="AE108">
        <f t="shared" si="52"/>
        <v>0</v>
      </c>
    </row>
    <row r="109" spans="1:31" x14ac:dyDescent="0.2">
      <c r="A109" s="347">
        <v>5495.4</v>
      </c>
      <c r="B109" s="364">
        <f t="shared" si="48"/>
        <v>5.4954000000000001</v>
      </c>
      <c r="C109" s="337">
        <f t="shared" si="26"/>
        <v>1.170965578154485</v>
      </c>
      <c r="D109" s="338">
        <f t="shared" si="27"/>
        <v>0.54717815458098318</v>
      </c>
      <c r="E109" s="338">
        <f t="shared" si="28"/>
        <v>1.0000000526725148</v>
      </c>
      <c r="F109" s="339">
        <f t="shared" si="29"/>
        <v>3.2456898368038494E-4</v>
      </c>
      <c r="G109" s="338">
        <f t="shared" si="30"/>
        <v>1</v>
      </c>
      <c r="H109" s="339">
        <f t="shared" si="31"/>
        <v>0</v>
      </c>
      <c r="I109" s="337">
        <f t="shared" si="32"/>
        <v>10387.165369155904</v>
      </c>
      <c r="J109" s="340">
        <f t="shared" si="33"/>
        <v>1.5707000541385938</v>
      </c>
      <c r="K109" s="348">
        <f t="shared" si="34"/>
        <v>1.3844728765501388</v>
      </c>
      <c r="L109" s="349">
        <f t="shared" si="35"/>
        <v>0.7636790091684067</v>
      </c>
      <c r="M109" s="337">
        <f t="shared" si="36"/>
        <v>1.0000123198447568</v>
      </c>
      <c r="N109" s="340">
        <f t="shared" si="37"/>
        <v>4.9638127031293826E-3</v>
      </c>
      <c r="O109" s="341">
        <f t="shared" si="38"/>
        <v>0.99997338205128128</v>
      </c>
      <c r="P109" s="342">
        <f t="shared" si="39"/>
        <v>1.2440556286278635E-3</v>
      </c>
      <c r="Q109" s="343">
        <f t="shared" si="40"/>
        <v>18.281090236387985</v>
      </c>
      <c r="R109" s="344">
        <f t="shared" si="41"/>
        <v>-77.926987065577833</v>
      </c>
      <c r="S109" s="346">
        <f t="shared" si="42"/>
        <v>102.07301293442217</v>
      </c>
      <c r="U109" s="319">
        <f t="shared" si="49"/>
        <v>1000000000</v>
      </c>
      <c r="V109" s="319">
        <f t="shared" si="50"/>
        <v>30199421.159999996</v>
      </c>
      <c r="X109" s="345">
        <f t="shared" si="43"/>
        <v>20.20286551153017</v>
      </c>
      <c r="Y109" s="346">
        <f t="shared" si="44"/>
        <v>-46.523305426372488</v>
      </c>
      <c r="AA109" s="345">
        <f t="shared" si="45"/>
        <v>34.088398688459279</v>
      </c>
      <c r="AB109" s="346">
        <f t="shared" si="46"/>
        <v>-31.403681639205356</v>
      </c>
      <c r="AD109">
        <f t="shared" si="51"/>
        <v>0</v>
      </c>
      <c r="AE109">
        <f t="shared" si="52"/>
        <v>0</v>
      </c>
    </row>
    <row r="110" spans="1:31" x14ac:dyDescent="0.2">
      <c r="A110" s="347">
        <v>5559.4</v>
      </c>
      <c r="B110" s="364">
        <f t="shared" si="48"/>
        <v>5.5593999999999992</v>
      </c>
      <c r="C110" s="337">
        <f t="shared" si="26"/>
        <v>1.1746726655777824</v>
      </c>
      <c r="D110" s="338">
        <f t="shared" si="27"/>
        <v>0.55233640482387025</v>
      </c>
      <c r="E110" s="338">
        <f t="shared" si="28"/>
        <v>1.0000000539065181</v>
      </c>
      <c r="F110" s="339">
        <f t="shared" si="29"/>
        <v>3.2834894755400901E-4</v>
      </c>
      <c r="G110" s="338">
        <f t="shared" si="30"/>
        <v>1</v>
      </c>
      <c r="H110" s="339">
        <f t="shared" si="31"/>
        <v>0</v>
      </c>
      <c r="I110" s="337">
        <f t="shared" si="32"/>
        <v>10508.135376343735</v>
      </c>
      <c r="J110" s="340">
        <f t="shared" si="33"/>
        <v>1.5707011624326483</v>
      </c>
      <c r="K110" s="348">
        <f t="shared" si="34"/>
        <v>1.3922079488515449</v>
      </c>
      <c r="L110" s="349">
        <f t="shared" si="35"/>
        <v>0.76946427837913622</v>
      </c>
      <c r="M110" s="337">
        <f t="shared" si="36"/>
        <v>1.0000126084702861</v>
      </c>
      <c r="N110" s="340">
        <f t="shared" si="37"/>
        <v>5.0216208159407924E-3</v>
      </c>
      <c r="O110" s="341">
        <f t="shared" si="38"/>
        <v>0.99997275845074474</v>
      </c>
      <c r="P110" s="342">
        <f t="shared" si="39"/>
        <v>1.2585448223344559E-3</v>
      </c>
      <c r="Q110" s="343">
        <f t="shared" si="40"/>
        <v>18.201459350846974</v>
      </c>
      <c r="R110" s="344">
        <f t="shared" si="41"/>
        <v>-77.895050780138092</v>
      </c>
      <c r="S110" s="346">
        <f t="shared" si="42"/>
        <v>102.10494921986191</v>
      </c>
      <c r="U110" s="319">
        <f t="shared" si="49"/>
        <v>1000000000</v>
      </c>
      <c r="V110" s="319">
        <f t="shared" si="50"/>
        <v>30906928.359999996</v>
      </c>
      <c r="X110" s="345">
        <f t="shared" si="43"/>
        <v>20.150683883167112</v>
      </c>
      <c r="Y110" s="346">
        <f t="shared" si="44"/>
        <v>-46.195209578333305</v>
      </c>
      <c r="AA110" s="345">
        <f t="shared" si="45"/>
        <v>34.06094943128133</v>
      </c>
      <c r="AB110" s="346">
        <f t="shared" si="46"/>
        <v>-31.699841201804798</v>
      </c>
      <c r="AD110">
        <f t="shared" si="51"/>
        <v>0</v>
      </c>
      <c r="AE110">
        <f t="shared" si="52"/>
        <v>0</v>
      </c>
    </row>
    <row r="111" spans="1:31" x14ac:dyDescent="0.2">
      <c r="A111" s="347">
        <v>5623.4</v>
      </c>
      <c r="B111" s="364">
        <f t="shared" si="48"/>
        <v>5.6233999999999993</v>
      </c>
      <c r="C111" s="337">
        <f t="shared" si="26"/>
        <v>1.1784108110270095</v>
      </c>
      <c r="D111" s="338">
        <f t="shared" si="27"/>
        <v>0.55746206480934346</v>
      </c>
      <c r="E111" s="338">
        <f t="shared" si="28"/>
        <v>1.0000000551548094</v>
      </c>
      <c r="F111" s="339">
        <f t="shared" si="29"/>
        <v>3.3212891141825017E-4</v>
      </c>
      <c r="G111" s="338">
        <f t="shared" si="30"/>
        <v>1</v>
      </c>
      <c r="H111" s="339">
        <f t="shared" si="31"/>
        <v>0</v>
      </c>
      <c r="I111" s="337">
        <f t="shared" si="32"/>
        <v>10629.105383544174</v>
      </c>
      <c r="J111" s="340">
        <f t="shared" si="33"/>
        <v>1.5707022454996802</v>
      </c>
      <c r="K111" s="348">
        <f t="shared" si="34"/>
        <v>1.399989101632328</v>
      </c>
      <c r="L111" s="349">
        <f t="shared" si="35"/>
        <v>0.77518542814492164</v>
      </c>
      <c r="M111" s="337">
        <f t="shared" si="36"/>
        <v>1.0000129004376335</v>
      </c>
      <c r="N111" s="340">
        <f t="shared" si="37"/>
        <v>5.0794288951896572E-3</v>
      </c>
      <c r="O111" s="341">
        <f t="shared" si="38"/>
        <v>0.99997212762976018</v>
      </c>
      <c r="P111" s="342">
        <f t="shared" si="39"/>
        <v>1.2730340435688423E-3</v>
      </c>
      <c r="Q111" s="343">
        <f t="shared" si="40"/>
        <v>18.122855041071439</v>
      </c>
      <c r="R111" s="344">
        <f t="shared" si="41"/>
        <v>-77.864919538330213</v>
      </c>
      <c r="S111" s="346">
        <f t="shared" si="42"/>
        <v>102.13508046166979</v>
      </c>
      <c r="U111" s="319">
        <f t="shared" si="49"/>
        <v>1000000000</v>
      </c>
      <c r="V111" s="319">
        <f t="shared" si="50"/>
        <v>31622627.559999995</v>
      </c>
      <c r="X111" s="345">
        <f t="shared" si="43"/>
        <v>20.099671188367694</v>
      </c>
      <c r="Y111" s="346">
        <f t="shared" si="44"/>
        <v>-45.870786056553406</v>
      </c>
      <c r="AA111" s="345">
        <f t="shared" si="45"/>
        <v>34.033357816305212</v>
      </c>
      <c r="AB111" s="346">
        <f t="shared" si="46"/>
        <v>-31.994133481776807</v>
      </c>
      <c r="AD111">
        <f t="shared" si="51"/>
        <v>0</v>
      </c>
      <c r="AE111">
        <f t="shared" si="52"/>
        <v>0</v>
      </c>
    </row>
    <row r="112" spans="1:31" x14ac:dyDescent="0.2">
      <c r="A112" s="347">
        <v>5688.9</v>
      </c>
      <c r="B112" s="364">
        <f t="shared" si="48"/>
        <v>5.6888999999999994</v>
      </c>
      <c r="C112" s="337">
        <f t="shared" si="26"/>
        <v>1.1822684202624723</v>
      </c>
      <c r="D112" s="338">
        <f t="shared" si="27"/>
        <v>0.56267415542865573</v>
      </c>
      <c r="E112" s="338">
        <f t="shared" si="28"/>
        <v>1.0000000564471518</v>
      </c>
      <c r="F112" s="339">
        <f t="shared" si="29"/>
        <v>3.359974681757313E-4</v>
      </c>
      <c r="G112" s="338">
        <f t="shared" si="30"/>
        <v>1</v>
      </c>
      <c r="H112" s="339">
        <f t="shared" si="31"/>
        <v>0</v>
      </c>
      <c r="I112" s="337">
        <f t="shared" si="32"/>
        <v>10752.910625300994</v>
      </c>
      <c r="J112" s="340">
        <f t="shared" si="33"/>
        <v>1.5707033287187211</v>
      </c>
      <c r="K112" s="348">
        <f t="shared" si="34"/>
        <v>1.4079995410822665</v>
      </c>
      <c r="L112" s="349">
        <f t="shared" si="35"/>
        <v>0.78097499796188863</v>
      </c>
      <c r="M112" s="337">
        <f t="shared" si="36"/>
        <v>1.0000132027081843</v>
      </c>
      <c r="N112" s="340">
        <f t="shared" si="37"/>
        <v>5.1385918161410736E-3</v>
      </c>
      <c r="O112" s="341">
        <f t="shared" si="38"/>
        <v>0.99997147454763435</v>
      </c>
      <c r="P112" s="342">
        <f t="shared" si="39"/>
        <v>1.287862884759792E-3</v>
      </c>
      <c r="Q112" s="343">
        <f t="shared" si="40"/>
        <v>18.043441382541474</v>
      </c>
      <c r="R112" s="344">
        <f t="shared" si="41"/>
        <v>-77.835912245108645</v>
      </c>
      <c r="S112" s="346">
        <f t="shared" si="42"/>
        <v>102.16408775489136</v>
      </c>
      <c r="U112" s="319">
        <f t="shared" si="49"/>
        <v>1000000000</v>
      </c>
      <c r="V112" s="319">
        <f t="shared" si="50"/>
        <v>32363583.209999997</v>
      </c>
      <c r="X112" s="345">
        <f t="shared" si="43"/>
        <v>20.048639267123029</v>
      </c>
      <c r="Y112" s="346">
        <f t="shared" si="44"/>
        <v>-45.54251999002328</v>
      </c>
      <c r="AA112" s="345">
        <f t="shared" si="45"/>
        <v>34.004976079019912</v>
      </c>
      <c r="AB112" s="346">
        <f t="shared" si="46"/>
        <v>-32.293392255085379</v>
      </c>
      <c r="AD112">
        <f t="shared" si="51"/>
        <v>0</v>
      </c>
      <c r="AE112">
        <f t="shared" si="52"/>
        <v>0</v>
      </c>
    </row>
    <row r="113" spans="1:31" x14ac:dyDescent="0.2">
      <c r="A113" s="347">
        <v>5754.4</v>
      </c>
      <c r="B113" s="364">
        <f t="shared" si="48"/>
        <v>5.7543999999999995</v>
      </c>
      <c r="C113" s="337">
        <f t="shared" si="26"/>
        <v>1.1861579374596316</v>
      </c>
      <c r="D113" s="338">
        <f t="shared" si="27"/>
        <v>0.56785220413347937</v>
      </c>
      <c r="E113" s="338">
        <f t="shared" si="28"/>
        <v>1.0000000577544601</v>
      </c>
      <c r="F113" s="339">
        <f t="shared" si="29"/>
        <v>3.3986602492315553E-4</v>
      </c>
      <c r="G113" s="338">
        <f t="shared" si="30"/>
        <v>1</v>
      </c>
      <c r="H113" s="339">
        <f t="shared" si="31"/>
        <v>0</v>
      </c>
      <c r="I113" s="337">
        <f t="shared" si="32"/>
        <v>10876.715867070143</v>
      </c>
      <c r="J113" s="340">
        <f t="shared" si="33"/>
        <v>1.5707043872780764</v>
      </c>
      <c r="K113" s="348">
        <f t="shared" si="34"/>
        <v>1.4160566405689292</v>
      </c>
      <c r="L113" s="349">
        <f t="shared" si="35"/>
        <v>0.78669887467199262</v>
      </c>
      <c r="M113" s="337">
        <f t="shared" si="36"/>
        <v>1.0000135084790305</v>
      </c>
      <c r="N113" s="340">
        <f t="shared" si="37"/>
        <v>5.1977547011194695E-3</v>
      </c>
      <c r="O113" s="341">
        <f t="shared" si="38"/>
        <v>0.9999708139026372</v>
      </c>
      <c r="P113" s="342">
        <f t="shared" si="39"/>
        <v>1.3026917554557868E-3</v>
      </c>
      <c r="Q113" s="343">
        <f t="shared" si="40"/>
        <v>17.965043158088029</v>
      </c>
      <c r="R113" s="344">
        <f t="shared" si="41"/>
        <v>-77.80871701836287</v>
      </c>
      <c r="S113" s="346">
        <f t="shared" si="42"/>
        <v>102.19128298163713</v>
      </c>
      <c r="U113" s="319">
        <f t="shared" si="49"/>
        <v>1000000000</v>
      </c>
      <c r="V113" s="319">
        <f t="shared" si="50"/>
        <v>33113119.359999996</v>
      </c>
      <c r="X113" s="345">
        <f t="shared" si="43"/>
        <v>19.998763895727535</v>
      </c>
      <c r="Y113" s="346">
        <f t="shared" si="44"/>
        <v>-45.218016446306798</v>
      </c>
      <c r="AA113" s="345">
        <f t="shared" si="45"/>
        <v>33.976453225961961</v>
      </c>
      <c r="AB113" s="346">
        <f t="shared" si="46"/>
        <v>-32.590700572056072</v>
      </c>
      <c r="AD113">
        <f t="shared" si="51"/>
        <v>0</v>
      </c>
      <c r="AE113">
        <f t="shared" si="52"/>
        <v>0</v>
      </c>
    </row>
    <row r="114" spans="1:31" x14ac:dyDescent="0.2">
      <c r="A114" s="347">
        <v>5821.4</v>
      </c>
      <c r="B114" s="364">
        <f t="shared" si="48"/>
        <v>5.8213999999999997</v>
      </c>
      <c r="C114" s="337">
        <f t="shared" si="26"/>
        <v>1.1901692138301814</v>
      </c>
      <c r="D114" s="338">
        <f t="shared" si="27"/>
        <v>0.5731136738361795</v>
      </c>
      <c r="E114" s="338">
        <f t="shared" si="28"/>
        <v>1.0000000591071907</v>
      </c>
      <c r="F114" s="339">
        <f t="shared" si="29"/>
        <v>3.4382317456266678E-4</v>
      </c>
      <c r="G114" s="338">
        <f t="shared" si="30"/>
        <v>1</v>
      </c>
      <c r="H114" s="339">
        <f t="shared" si="31"/>
        <v>0</v>
      </c>
      <c r="I114" s="337">
        <f t="shared" si="32"/>
        <v>11003.356343395944</v>
      </c>
      <c r="J114" s="340">
        <f t="shared" si="33"/>
        <v>1.5707054454337765</v>
      </c>
      <c r="K114" s="348">
        <f t="shared" si="34"/>
        <v>1.4243457033676414</v>
      </c>
      <c r="L114" s="349">
        <f t="shared" si="35"/>
        <v>0.79248664021620729</v>
      </c>
      <c r="M114" s="337">
        <f t="shared" si="36"/>
        <v>1.0000138248737114</v>
      </c>
      <c r="N114" s="340">
        <f t="shared" si="37"/>
        <v>5.2582724236764711E-3</v>
      </c>
      <c r="O114" s="341">
        <f t="shared" si="38"/>
        <v>0.9999701303037184</v>
      </c>
      <c r="P114" s="342">
        <f t="shared" si="39"/>
        <v>1.3178602494910031E-3</v>
      </c>
      <c r="Q114" s="343">
        <f t="shared" si="40"/>
        <v>17.885870317323242</v>
      </c>
      <c r="R114" s="344">
        <f t="shared" si="41"/>
        <v>-77.782732888499609</v>
      </c>
      <c r="S114" s="346">
        <f t="shared" si="42"/>
        <v>102.21726711150039</v>
      </c>
      <c r="U114" s="319">
        <f t="shared" si="49"/>
        <v>1000000000</v>
      </c>
      <c r="V114" s="319">
        <f t="shared" si="50"/>
        <v>33888697.959999993</v>
      </c>
      <c r="X114" s="345">
        <f t="shared" si="43"/>
        <v>19.948908960832803</v>
      </c>
      <c r="Y114" s="346">
        <f t="shared" si="44"/>
        <v>-44.88992994538112</v>
      </c>
      <c r="AA114" s="345">
        <f t="shared" si="45"/>
        <v>33.94713532009191</v>
      </c>
      <c r="AB114" s="346">
        <f t="shared" si="46"/>
        <v>-32.892802943118483</v>
      </c>
      <c r="AD114">
        <f t="shared" si="51"/>
        <v>0</v>
      </c>
      <c r="AE114">
        <f t="shared" si="52"/>
        <v>0</v>
      </c>
    </row>
    <row r="115" spans="1:31" x14ac:dyDescent="0.2">
      <c r="A115" s="347">
        <v>5888.4</v>
      </c>
      <c r="B115" s="364">
        <f t="shared" si="48"/>
        <v>5.8883999999999999</v>
      </c>
      <c r="C115" s="337">
        <f t="shared" si="26"/>
        <v>1.1942132158638292</v>
      </c>
      <c r="D115" s="338">
        <f t="shared" si="27"/>
        <v>0.57833965323458814</v>
      </c>
      <c r="E115" s="338">
        <f t="shared" si="28"/>
        <v>1.0000000604755801</v>
      </c>
      <c r="F115" s="339">
        <f t="shared" si="29"/>
        <v>3.4778032419141016E-4</v>
      </c>
      <c r="G115" s="338">
        <f t="shared" si="30"/>
        <v>1</v>
      </c>
      <c r="H115" s="339">
        <f t="shared" si="31"/>
        <v>0</v>
      </c>
      <c r="I115" s="337">
        <f t="shared" si="32"/>
        <v>11129.996819733789</v>
      </c>
      <c r="J115" s="340">
        <f t="shared" si="33"/>
        <v>1.5707064795094443</v>
      </c>
      <c r="K115" s="348">
        <f t="shared" si="34"/>
        <v>1.4326819261937083</v>
      </c>
      <c r="L115" s="349">
        <f t="shared" si="35"/>
        <v>0.79820724199618176</v>
      </c>
      <c r="M115" s="337">
        <f t="shared" si="36"/>
        <v>1.0000141449308355</v>
      </c>
      <c r="N115" s="340">
        <f t="shared" si="37"/>
        <v>5.318790107717403E-3</v>
      </c>
      <c r="O115" s="341">
        <f t="shared" si="38"/>
        <v>0.99996943879157296</v>
      </c>
      <c r="P115" s="342">
        <f t="shared" si="39"/>
        <v>1.3330287751172911E-3</v>
      </c>
      <c r="Q115" s="343">
        <f t="shared" si="40"/>
        <v>17.807700535675085</v>
      </c>
      <c r="R115" s="344">
        <f t="shared" si="41"/>
        <v>-77.758562134135659</v>
      </c>
      <c r="S115" s="346">
        <f t="shared" si="42"/>
        <v>102.24143786586434</v>
      </c>
      <c r="U115" s="319">
        <f t="shared" si="49"/>
        <v>1000000000</v>
      </c>
      <c r="V115" s="319">
        <f t="shared" si="50"/>
        <v>34673254.559999995</v>
      </c>
      <c r="X115" s="345">
        <f t="shared" si="43"/>
        <v>19.900196378199215</v>
      </c>
      <c r="Y115" s="346">
        <f t="shared" si="44"/>
        <v>-44.565690262795968</v>
      </c>
      <c r="AA115" s="345">
        <f t="shared" si="45"/>
        <v>33.917678121077337</v>
      </c>
      <c r="AB115" s="346">
        <f t="shared" si="46"/>
        <v>-33.19287187133969</v>
      </c>
      <c r="AD115">
        <f t="shared" si="51"/>
        <v>0</v>
      </c>
      <c r="AE115">
        <f t="shared" si="52"/>
        <v>0</v>
      </c>
    </row>
    <row r="116" spans="1:31" x14ac:dyDescent="0.2">
      <c r="A116" s="347">
        <v>5957</v>
      </c>
      <c r="B116" s="364">
        <f t="shared" si="48"/>
        <v>5.9569999999999999</v>
      </c>
      <c r="C116" s="337">
        <f t="shared" si="26"/>
        <v>1.1983873523245108</v>
      </c>
      <c r="D116" s="338">
        <f t="shared" si="27"/>
        <v>0.5836537391165455</v>
      </c>
      <c r="E116" s="338">
        <f t="shared" si="28"/>
        <v>1.0000000618928717</v>
      </c>
      <c r="F116" s="339">
        <f t="shared" si="29"/>
        <v>3.5183197290447924E-4</v>
      </c>
      <c r="G116" s="338">
        <f t="shared" si="30"/>
        <v>1</v>
      </c>
      <c r="H116" s="339">
        <f t="shared" si="31"/>
        <v>0</v>
      </c>
      <c r="I116" s="337">
        <f t="shared" si="32"/>
        <v>11259.661546264884</v>
      </c>
      <c r="J116" s="340">
        <f t="shared" si="33"/>
        <v>1.5707075141785309</v>
      </c>
      <c r="K116" s="348">
        <f t="shared" si="34"/>
        <v>1.4412652311475067</v>
      </c>
      <c r="L116" s="349">
        <f t="shared" si="35"/>
        <v>0.80399569599610832</v>
      </c>
      <c r="M116" s="337">
        <f t="shared" si="36"/>
        <v>1.0000144764257903</v>
      </c>
      <c r="N116" s="340">
        <f t="shared" si="37"/>
        <v>5.3807529498135611E-3</v>
      </c>
      <c r="O116" s="341">
        <f t="shared" si="38"/>
        <v>0.99996872256676361</v>
      </c>
      <c r="P116" s="342">
        <f t="shared" si="39"/>
        <v>1.3485595673028638E-3</v>
      </c>
      <c r="Q116" s="343">
        <f t="shared" si="40"/>
        <v>17.728673647807895</v>
      </c>
      <c r="R116" s="344">
        <f t="shared" si="41"/>
        <v>-77.735650040998266</v>
      </c>
      <c r="S116" s="346">
        <f t="shared" si="42"/>
        <v>102.26434995900173</v>
      </c>
      <c r="U116" s="319">
        <f t="shared" si="49"/>
        <v>1000000000</v>
      </c>
      <c r="V116" s="319">
        <f t="shared" si="50"/>
        <v>35485849</v>
      </c>
      <c r="X116" s="345">
        <f t="shared" si="43"/>
        <v>19.851470133654299</v>
      </c>
      <c r="Y116" s="346">
        <f t="shared" si="44"/>
        <v>-44.237645769830308</v>
      </c>
      <c r="AA116" s="345">
        <f t="shared" si="45"/>
        <v>33.887377477755066</v>
      </c>
      <c r="AB116" s="346">
        <f t="shared" si="46"/>
        <v>-33.498004271167964</v>
      </c>
      <c r="AD116">
        <f t="shared" si="51"/>
        <v>0</v>
      </c>
      <c r="AE116">
        <f t="shared" si="52"/>
        <v>0</v>
      </c>
    </row>
    <row r="117" spans="1:31" x14ac:dyDescent="0.2">
      <c r="A117" s="347">
        <v>6025.6</v>
      </c>
      <c r="B117" s="364">
        <f t="shared" si="48"/>
        <v>6.0256000000000007</v>
      </c>
      <c r="C117" s="337">
        <f t="shared" si="26"/>
        <v>1.2025950951738382</v>
      </c>
      <c r="D117" s="338">
        <f t="shared" si="27"/>
        <v>0.58893078639623564</v>
      </c>
      <c r="E117" s="338">
        <f t="shared" si="28"/>
        <v>1.0000000633265793</v>
      </c>
      <c r="F117" s="339">
        <f t="shared" si="29"/>
        <v>3.5588362160599712E-4</v>
      </c>
      <c r="G117" s="338">
        <f t="shared" si="30"/>
        <v>1</v>
      </c>
      <c r="H117" s="339">
        <f t="shared" si="31"/>
        <v>0</v>
      </c>
      <c r="I117" s="337">
        <f t="shared" si="32"/>
        <v>11389.326272807761</v>
      </c>
      <c r="J117" s="340">
        <f t="shared" si="33"/>
        <v>1.5707085252887028</v>
      </c>
      <c r="K117" s="348">
        <f t="shared" si="34"/>
        <v>1.4498962547207874</v>
      </c>
      <c r="L117" s="349">
        <f t="shared" si="35"/>
        <v>0.80971542408432351</v>
      </c>
      <c r="M117" s="337">
        <f t="shared" si="36"/>
        <v>1.0000148117601921</v>
      </c>
      <c r="N117" s="340">
        <f t="shared" si="37"/>
        <v>5.4427157505916894E-3</v>
      </c>
      <c r="O117" s="341">
        <f t="shared" si="38"/>
        <v>0.99996799804627157</v>
      </c>
      <c r="P117" s="342">
        <f t="shared" si="39"/>
        <v>1.3640903933779367E-3</v>
      </c>
      <c r="Q117" s="343">
        <f t="shared" si="40"/>
        <v>17.650639212073006</v>
      </c>
      <c r="R117" s="344">
        <f t="shared" si="41"/>
        <v>-77.714552146706907</v>
      </c>
      <c r="S117" s="346">
        <f t="shared" si="42"/>
        <v>102.28544785329309</v>
      </c>
      <c r="U117" s="319">
        <f t="shared" si="49"/>
        <v>1000000000</v>
      </c>
      <c r="V117" s="319">
        <f t="shared" si="50"/>
        <v>36307855.360000007</v>
      </c>
      <c r="X117" s="345">
        <f t="shared" si="43"/>
        <v>19.803873619248705</v>
      </c>
      <c r="Y117" s="346">
        <f t="shared" si="44"/>
        <v>-43.913537629359659</v>
      </c>
      <c r="AA117" s="345">
        <f t="shared" si="45"/>
        <v>33.856939556425772</v>
      </c>
      <c r="AB117" s="346">
        <f t="shared" si="46"/>
        <v>-33.801014517347227</v>
      </c>
      <c r="AD117">
        <f t="shared" si="51"/>
        <v>0</v>
      </c>
      <c r="AE117">
        <f t="shared" si="52"/>
        <v>0</v>
      </c>
    </row>
    <row r="118" spans="1:31" x14ac:dyDescent="0.2">
      <c r="A118" s="347">
        <v>6095.8</v>
      </c>
      <c r="B118" s="364">
        <f t="shared" si="48"/>
        <v>6.0958000000000006</v>
      </c>
      <c r="C118" s="337">
        <f t="shared" si="26"/>
        <v>1.2069354023365289</v>
      </c>
      <c r="D118" s="338">
        <f t="shared" si="27"/>
        <v>0.594292668215324</v>
      </c>
      <c r="E118" s="338">
        <f t="shared" si="28"/>
        <v>1.000000064810721</v>
      </c>
      <c r="F118" s="339">
        <f t="shared" si="29"/>
        <v>3.6002976939049683E-4</v>
      </c>
      <c r="G118" s="338">
        <f t="shared" si="30"/>
        <v>1</v>
      </c>
      <c r="H118" s="339">
        <f t="shared" si="31"/>
        <v>0</v>
      </c>
      <c r="I118" s="337">
        <f t="shared" si="32"/>
        <v>11522.015249544173</v>
      </c>
      <c r="J118" s="340">
        <f t="shared" si="33"/>
        <v>1.5707095364218935</v>
      </c>
      <c r="K118" s="348">
        <f t="shared" si="34"/>
        <v>1.4587771023145515</v>
      </c>
      <c r="L118" s="349">
        <f t="shared" si="35"/>
        <v>0.81549829375076299</v>
      </c>
      <c r="M118" s="337">
        <f t="shared" si="36"/>
        <v>1.0000151588906161</v>
      </c>
      <c r="N118" s="340">
        <f t="shared" si="37"/>
        <v>5.5061237046182656E-3</v>
      </c>
      <c r="O118" s="341">
        <f t="shared" si="38"/>
        <v>0.99996724803917647</v>
      </c>
      <c r="P118" s="342">
        <f t="shared" si="39"/>
        <v>1.3799834899551162E-3</v>
      </c>
      <c r="Q118" s="343">
        <f t="shared" si="40"/>
        <v>17.571782732601349</v>
      </c>
      <c r="R118" s="344">
        <f t="shared" si="41"/>
        <v>-77.694795312210431</v>
      </c>
      <c r="S118" s="346">
        <f t="shared" si="42"/>
        <v>102.30520468778957</v>
      </c>
      <c r="U118" s="319">
        <f t="shared" si="49"/>
        <v>1000000000</v>
      </c>
      <c r="V118" s="319">
        <f t="shared" si="50"/>
        <v>37158777.640000001</v>
      </c>
      <c r="X118" s="345">
        <f t="shared" si="43"/>
        <v>19.756302575360003</v>
      </c>
      <c r="Y118" s="346">
        <f t="shared" si="44"/>
        <v>-43.585894545441711</v>
      </c>
      <c r="AA118" s="345">
        <f t="shared" si="45"/>
        <v>33.825654120842813</v>
      </c>
      <c r="AB118" s="346">
        <f t="shared" si="46"/>
        <v>-34.108900766768706</v>
      </c>
      <c r="AD118">
        <f t="shared" si="51"/>
        <v>0</v>
      </c>
      <c r="AE118">
        <f t="shared" si="52"/>
        <v>0</v>
      </c>
    </row>
    <row r="119" spans="1:31" x14ac:dyDescent="0.2">
      <c r="A119" s="347">
        <v>6166</v>
      </c>
      <c r="B119" s="364">
        <f t="shared" si="48"/>
        <v>6.1660000000000004</v>
      </c>
      <c r="C119" s="337">
        <f t="shared" si="26"/>
        <v>1.2113101593785609</v>
      </c>
      <c r="D119" s="338">
        <f t="shared" si="27"/>
        <v>0.59961597231181107</v>
      </c>
      <c r="E119" s="338">
        <f t="shared" si="28"/>
        <v>1.000000066312053</v>
      </c>
      <c r="F119" s="339">
        <f t="shared" si="29"/>
        <v>3.6417591716261826E-4</v>
      </c>
      <c r="G119" s="338">
        <f t="shared" si="30"/>
        <v>1</v>
      </c>
      <c r="H119" s="339">
        <f t="shared" si="31"/>
        <v>0</v>
      </c>
      <c r="I119" s="337">
        <f t="shared" si="32"/>
        <v>11654.704226292099</v>
      </c>
      <c r="J119" s="340">
        <f t="shared" si="33"/>
        <v>1.570710524531552</v>
      </c>
      <c r="K119" s="348">
        <f t="shared" si="34"/>
        <v>1.4677061424112603</v>
      </c>
      <c r="L119" s="349">
        <f t="shared" si="35"/>
        <v>0.82121099038760992</v>
      </c>
      <c r="M119" s="337">
        <f t="shared" si="36"/>
        <v>1.0000155100416668</v>
      </c>
      <c r="N119" s="340">
        <f t="shared" si="37"/>
        <v>5.5695316143689298E-3</v>
      </c>
      <c r="O119" s="341">
        <f t="shared" si="38"/>
        <v>0.99996648934491772</v>
      </c>
      <c r="P119" s="342">
        <f t="shared" si="39"/>
        <v>1.3958766228481597E-3</v>
      </c>
      <c r="Q119" s="343">
        <f t="shared" si="40"/>
        <v>17.493906883729174</v>
      </c>
      <c r="R119" s="344">
        <f t="shared" si="41"/>
        <v>-77.676847435852423</v>
      </c>
      <c r="S119" s="346">
        <f t="shared" si="42"/>
        <v>102.32315256414758</v>
      </c>
      <c r="U119" s="319">
        <f t="shared" si="49"/>
        <v>1000000000</v>
      </c>
      <c r="V119" s="319">
        <f t="shared" si="50"/>
        <v>38019556</v>
      </c>
      <c r="X119" s="345">
        <f t="shared" si="43"/>
        <v>19.709846789729784</v>
      </c>
      <c r="Y119" s="346">
        <f t="shared" si="44"/>
        <v>-43.26227075827159</v>
      </c>
      <c r="AA119" s="345">
        <f t="shared" si="45"/>
        <v>33.794234057600853</v>
      </c>
      <c r="AB119" s="346">
        <f t="shared" si="46"/>
        <v>-34.414576677580833</v>
      </c>
      <c r="AD119">
        <f t="shared" si="51"/>
        <v>0</v>
      </c>
      <c r="AE119">
        <f t="shared" si="52"/>
        <v>0</v>
      </c>
    </row>
    <row r="120" spans="1:31" x14ac:dyDescent="0.2">
      <c r="A120" s="347">
        <v>6237.8</v>
      </c>
      <c r="B120" s="364">
        <f t="shared" si="48"/>
        <v>6.2378</v>
      </c>
      <c r="C120" s="337">
        <f t="shared" si="26"/>
        <v>1.2158198749615317</v>
      </c>
      <c r="D120" s="338">
        <f t="shared" si="27"/>
        <v>0.60502081999638002</v>
      </c>
      <c r="E120" s="338">
        <f t="shared" si="28"/>
        <v>1.0000000678653862</v>
      </c>
      <c r="F120" s="339">
        <f t="shared" si="29"/>
        <v>3.6841656401630782E-4</v>
      </c>
      <c r="G120" s="338">
        <f t="shared" si="30"/>
        <v>1</v>
      </c>
      <c r="H120" s="339">
        <f t="shared" si="31"/>
        <v>0</v>
      </c>
      <c r="I120" s="337">
        <f t="shared" si="32"/>
        <v>11790.417453233815</v>
      </c>
      <c r="J120" s="340">
        <f t="shared" si="33"/>
        <v>1.5707115121557911</v>
      </c>
      <c r="K120" s="348">
        <f t="shared" si="34"/>
        <v>1.4768876349189728</v>
      </c>
      <c r="L120" s="349">
        <f t="shared" si="35"/>
        <v>0.82698224223197936</v>
      </c>
      <c r="M120" s="337">
        <f t="shared" si="36"/>
        <v>1.0000158733552844</v>
      </c>
      <c r="N120" s="340">
        <f t="shared" si="37"/>
        <v>5.6343846723113126E-3</v>
      </c>
      <c r="O120" s="341">
        <f t="shared" si="38"/>
        <v>0.99996570437206611</v>
      </c>
      <c r="P120" s="342">
        <f t="shared" si="39"/>
        <v>1.4121320303912101E-3</v>
      </c>
      <c r="Q120" s="343">
        <f t="shared" si="40"/>
        <v>17.415241324810079</v>
      </c>
      <c r="R120" s="344">
        <f t="shared" si="41"/>
        <v>-77.660314812169574</v>
      </c>
      <c r="S120" s="346">
        <f t="shared" si="42"/>
        <v>102.33968518783043</v>
      </c>
      <c r="U120" s="319">
        <f t="shared" si="49"/>
        <v>1000000000</v>
      </c>
      <c r="V120" s="319">
        <f t="shared" si="50"/>
        <v>38910148.840000004</v>
      </c>
      <c r="X120" s="345">
        <f t="shared" si="43"/>
        <v>19.663451974782159</v>
      </c>
      <c r="Y120" s="346">
        <f t="shared" si="44"/>
        <v>-42.935374777917858</v>
      </c>
      <c r="AA120" s="345">
        <f t="shared" si="45"/>
        <v>33.761963313629387</v>
      </c>
      <c r="AB120" s="346">
        <f t="shared" si="46"/>
        <v>-34.724940034251695</v>
      </c>
      <c r="AD120">
        <f t="shared" si="51"/>
        <v>0</v>
      </c>
      <c r="AE120">
        <f t="shared" si="52"/>
        <v>0</v>
      </c>
    </row>
    <row r="121" spans="1:31" x14ac:dyDescent="0.2">
      <c r="A121" s="347">
        <v>6309.6</v>
      </c>
      <c r="B121" s="364">
        <f t="shared" si="48"/>
        <v>6.3096000000000005</v>
      </c>
      <c r="C121" s="337">
        <f t="shared" si="26"/>
        <v>1.2203648444344726</v>
      </c>
      <c r="D121" s="338">
        <f t="shared" si="27"/>
        <v>0.61038556519435216</v>
      </c>
      <c r="E121" s="338">
        <f t="shared" si="28"/>
        <v>1.0000000694367024</v>
      </c>
      <c r="F121" s="339">
        <f t="shared" si="29"/>
        <v>3.7265721085674686E-4</v>
      </c>
      <c r="G121" s="338">
        <f t="shared" si="30"/>
        <v>1</v>
      </c>
      <c r="H121" s="339">
        <f t="shared" si="31"/>
        <v>0</v>
      </c>
      <c r="I121" s="337">
        <f t="shared" si="32"/>
        <v>11926.13068018677</v>
      </c>
      <c r="J121" s="340">
        <f t="shared" si="33"/>
        <v>1.5707124773027195</v>
      </c>
      <c r="K121" s="348">
        <f t="shared" si="34"/>
        <v>1.4861177098644067</v>
      </c>
      <c r="L121" s="349">
        <f t="shared" si="35"/>
        <v>0.8326819930439473</v>
      </c>
      <c r="M121" s="337">
        <f t="shared" si="36"/>
        <v>1.0000162408748847</v>
      </c>
      <c r="N121" s="340">
        <f t="shared" si="37"/>
        <v>5.6992376828576977E-3</v>
      </c>
      <c r="O121" s="341">
        <f t="shared" si="38"/>
        <v>0.99996491031154433</v>
      </c>
      <c r="P121" s="342">
        <f t="shared" si="39"/>
        <v>1.428387476809582E-3</v>
      </c>
      <c r="Q121" s="343">
        <f t="shared" si="40"/>
        <v>17.337543518215426</v>
      </c>
      <c r="R121" s="344">
        <f t="shared" si="41"/>
        <v>-77.645579904303716</v>
      </c>
      <c r="S121" s="346">
        <f t="shared" si="42"/>
        <v>102.35442009569628</v>
      </c>
      <c r="U121" s="319">
        <f t="shared" si="49"/>
        <v>1000000000</v>
      </c>
      <c r="V121" s="319">
        <f t="shared" si="50"/>
        <v>39811052.160000004</v>
      </c>
      <c r="X121" s="345">
        <f t="shared" si="43"/>
        <v>19.618156252059219</v>
      </c>
      <c r="Y121" s="346">
        <f t="shared" si="44"/>
        <v>-42.61257421438561</v>
      </c>
      <c r="AA121" s="345">
        <f t="shared" si="45"/>
        <v>33.729561229757678</v>
      </c>
      <c r="AB121" s="346">
        <f t="shared" si="46"/>
        <v>-35.033005689918099</v>
      </c>
      <c r="AD121">
        <f t="shared" si="51"/>
        <v>0</v>
      </c>
      <c r="AE121">
        <f t="shared" si="52"/>
        <v>0</v>
      </c>
    </row>
    <row r="122" spans="1:31" x14ac:dyDescent="0.2">
      <c r="A122" s="347">
        <v>6383.05</v>
      </c>
      <c r="B122" s="364">
        <f t="shared" si="48"/>
        <v>6.3830499999999999</v>
      </c>
      <c r="C122" s="337">
        <f t="shared" si="26"/>
        <v>1.2250503288755699</v>
      </c>
      <c r="D122" s="338">
        <f t="shared" si="27"/>
        <v>0.6158322447722806</v>
      </c>
      <c r="E122" s="338">
        <f t="shared" si="28"/>
        <v>1.0000000710627361</v>
      </c>
      <c r="F122" s="339">
        <f t="shared" si="29"/>
        <v>3.7699530987393899E-4</v>
      </c>
      <c r="G122" s="338">
        <f t="shared" si="30"/>
        <v>1</v>
      </c>
      <c r="H122" s="339">
        <f t="shared" si="31"/>
        <v>0</v>
      </c>
      <c r="I122" s="337">
        <f t="shared" si="32"/>
        <v>12064.962665151968</v>
      </c>
      <c r="J122" s="340">
        <f t="shared" si="33"/>
        <v>1.5707134421620221</v>
      </c>
      <c r="K122" s="348">
        <f t="shared" si="34"/>
        <v>1.495609228626662</v>
      </c>
      <c r="L122" s="349">
        <f t="shared" si="35"/>
        <v>0.83843974022311873</v>
      </c>
      <c r="M122" s="337">
        <f t="shared" si="36"/>
        <v>1.0000166211923418</v>
      </c>
      <c r="N122" s="340">
        <f t="shared" si="37"/>
        <v>5.7655809984922257E-3</v>
      </c>
      <c r="O122" s="341">
        <f t="shared" si="38"/>
        <v>0.99996408859978647</v>
      </c>
      <c r="P122" s="342">
        <f t="shared" si="39"/>
        <v>1.4450165222293294E-3</v>
      </c>
      <c r="Q122" s="343">
        <f t="shared" si="40"/>
        <v>17.259032669385931</v>
      </c>
      <c r="R122" s="344">
        <f t="shared" si="41"/>
        <v>-77.6323177372998</v>
      </c>
      <c r="S122" s="346">
        <f t="shared" si="42"/>
        <v>102.3676822627002</v>
      </c>
      <c r="U122" s="319">
        <f t="shared" si="49"/>
        <v>1000000000</v>
      </c>
      <c r="V122" s="319">
        <f t="shared" si="50"/>
        <v>40743327.302500002</v>
      </c>
      <c r="X122" s="345">
        <f t="shared" si="43"/>
        <v>19.572923111322975</v>
      </c>
      <c r="Y122" s="346">
        <f t="shared" si="44"/>
        <v>-42.286536075493807</v>
      </c>
      <c r="AA122" s="345">
        <f t="shared" si="45"/>
        <v>33.696283521664427</v>
      </c>
      <c r="AB122" s="346">
        <f t="shared" si="46"/>
        <v>-35.345781661805987</v>
      </c>
      <c r="AD122">
        <f t="shared" si="51"/>
        <v>0</v>
      </c>
      <c r="AE122">
        <f t="shared" si="52"/>
        <v>0</v>
      </c>
    </row>
    <row r="123" spans="1:31" x14ac:dyDescent="0.2">
      <c r="A123" s="347">
        <v>6456.5</v>
      </c>
      <c r="B123" s="364">
        <f t="shared" si="48"/>
        <v>6.4565000000000001</v>
      </c>
      <c r="C123" s="337">
        <f t="shared" si="26"/>
        <v>1.2297718784888807</v>
      </c>
      <c r="D123" s="338">
        <f t="shared" si="27"/>
        <v>0.62123726003664947</v>
      </c>
      <c r="E123" s="338">
        <f t="shared" si="28"/>
        <v>1.0000000727075888</v>
      </c>
      <c r="F123" s="339">
        <f t="shared" si="29"/>
        <v>3.8133340887694161E-4</v>
      </c>
      <c r="G123" s="338">
        <f t="shared" si="30"/>
        <v>1</v>
      </c>
      <c r="H123" s="339">
        <f t="shared" si="31"/>
        <v>0</v>
      </c>
      <c r="I123" s="337">
        <f t="shared" si="32"/>
        <v>12203.79465012814</v>
      </c>
      <c r="J123" s="340">
        <f t="shared" si="33"/>
        <v>1.5707143850685903</v>
      </c>
      <c r="K123" s="348">
        <f t="shared" si="34"/>
        <v>1.5051497030246017</v>
      </c>
      <c r="L123" s="349">
        <f t="shared" si="35"/>
        <v>0.84412468229008708</v>
      </c>
      <c r="M123" s="337">
        <f t="shared" si="36"/>
        <v>1.0000170059113043</v>
      </c>
      <c r="N123" s="340">
        <f t="shared" si="37"/>
        <v>5.8319242633725647E-3</v>
      </c>
      <c r="O123" s="341">
        <f t="shared" si="38"/>
        <v>0.9999632573778835</v>
      </c>
      <c r="P123" s="342">
        <f t="shared" si="39"/>
        <v>1.4616456092792118E-3</v>
      </c>
      <c r="Q123" s="343">
        <f t="shared" si="40"/>
        <v>17.181477073043723</v>
      </c>
      <c r="R123" s="344">
        <f t="shared" si="41"/>
        <v>-77.620838548309877</v>
      </c>
      <c r="S123" s="346">
        <f t="shared" si="42"/>
        <v>102.37916145169012</v>
      </c>
      <c r="U123" s="319">
        <f t="shared" si="49"/>
        <v>1000000000</v>
      </c>
      <c r="V123" s="319">
        <f t="shared" si="50"/>
        <v>41686392.25</v>
      </c>
      <c r="X123" s="345">
        <f t="shared" si="43"/>
        <v>19.528772809804206</v>
      </c>
      <c r="Y123" s="346">
        <f t="shared" si="44"/>
        <v>-41.964668101555951</v>
      </c>
      <c r="AA123" s="345">
        <f t="shared" si="45"/>
        <v>33.662878226840981</v>
      </c>
      <c r="AB123" s="346">
        <f t="shared" si="46"/>
        <v>-35.656170446753912</v>
      </c>
      <c r="AD123">
        <f t="shared" si="51"/>
        <v>0</v>
      </c>
      <c r="AE123">
        <f t="shared" si="52"/>
        <v>0</v>
      </c>
    </row>
    <row r="124" spans="1:31" x14ac:dyDescent="0.2">
      <c r="A124" s="347">
        <v>6531.7</v>
      </c>
      <c r="B124" s="364">
        <f t="shared" si="48"/>
        <v>6.5316999999999998</v>
      </c>
      <c r="C124" s="337">
        <f t="shared" si="26"/>
        <v>1.2346428547116923</v>
      </c>
      <c r="D124" s="338">
        <f t="shared" si="27"/>
        <v>0.62672805993281977</v>
      </c>
      <c r="E124" s="338">
        <f t="shared" si="28"/>
        <v>1.0000000744111284</v>
      </c>
      <c r="F124" s="339">
        <f t="shared" si="29"/>
        <v>3.8577486624839872E-4</v>
      </c>
      <c r="G124" s="338">
        <f t="shared" si="30"/>
        <v>1</v>
      </c>
      <c r="H124" s="339">
        <f t="shared" si="31"/>
        <v>0</v>
      </c>
      <c r="I124" s="337">
        <f t="shared" si="32"/>
        <v>12345.934408753261</v>
      </c>
      <c r="J124" s="340">
        <f t="shared" si="33"/>
        <v>1.5707153284704292</v>
      </c>
      <c r="K124" s="348">
        <f t="shared" si="34"/>
        <v>1.5149672394960527</v>
      </c>
      <c r="L124" s="349">
        <f t="shared" si="35"/>
        <v>0.8498707009115849</v>
      </c>
      <c r="M124" s="337">
        <f t="shared" si="36"/>
        <v>1.0000174043565304</v>
      </c>
      <c r="N124" s="340">
        <f t="shared" si="37"/>
        <v>5.8998481518957677E-3</v>
      </c>
      <c r="O124" s="341">
        <f t="shared" si="38"/>
        <v>0.99996239649878815</v>
      </c>
      <c r="P124" s="342">
        <f t="shared" si="39"/>
        <v>1.4786709401271747E-3</v>
      </c>
      <c r="Q124" s="343">
        <f t="shared" si="40"/>
        <v>17.103034716221348</v>
      </c>
      <c r="R124" s="344">
        <f t="shared" si="41"/>
        <v>-77.610882400408883</v>
      </c>
      <c r="S124" s="346">
        <f t="shared" si="42"/>
        <v>102.38911759959112</v>
      </c>
      <c r="U124" s="319">
        <f t="shared" si="49"/>
        <v>1000000000</v>
      </c>
      <c r="V124" s="319">
        <f t="shared" si="50"/>
        <v>42663104.890000001</v>
      </c>
      <c r="X124" s="345">
        <f t="shared" si="43"/>
        <v>19.484658753344302</v>
      </c>
      <c r="Y124" s="346">
        <f t="shared" si="44"/>
        <v>-41.639391290253108</v>
      </c>
      <c r="AA124" s="345">
        <f t="shared" si="45"/>
        <v>33.628549926478513</v>
      </c>
      <c r="AB124" s="346">
        <f t="shared" si="46"/>
        <v>-35.971491110155782</v>
      </c>
      <c r="AD124">
        <f t="shared" si="51"/>
        <v>0</v>
      </c>
      <c r="AE124">
        <f t="shared" si="52"/>
        <v>0</v>
      </c>
    </row>
    <row r="125" spans="1:31" x14ac:dyDescent="0.2">
      <c r="A125" s="347">
        <v>6606.9</v>
      </c>
      <c r="B125" s="364">
        <f t="shared" si="48"/>
        <v>6.6068999999999996</v>
      </c>
      <c r="C125" s="337">
        <f t="shared" si="26"/>
        <v>1.2395507608403806</v>
      </c>
      <c r="D125" s="338">
        <f t="shared" si="27"/>
        <v>0.63217554218429339</v>
      </c>
      <c r="E125" s="338">
        <f t="shared" si="28"/>
        <v>1.0000000761343943</v>
      </c>
      <c r="F125" s="339">
        <f t="shared" si="29"/>
        <v>3.9021632360463574E-4</v>
      </c>
      <c r="G125" s="338">
        <f t="shared" si="30"/>
        <v>1</v>
      </c>
      <c r="H125" s="339">
        <f t="shared" si="31"/>
        <v>0</v>
      </c>
      <c r="I125" s="337">
        <f t="shared" si="32"/>
        <v>12488.074167389119</v>
      </c>
      <c r="J125" s="340">
        <f t="shared" si="33"/>
        <v>1.5707162503965932</v>
      </c>
      <c r="K125" s="348">
        <f t="shared" si="34"/>
        <v>1.5248341501847369</v>
      </c>
      <c r="L125" s="349">
        <f t="shared" si="35"/>
        <v>0.85554254200974544</v>
      </c>
      <c r="M125" s="337">
        <f t="shared" si="36"/>
        <v>1.0000178074154877</v>
      </c>
      <c r="N125" s="340">
        <f t="shared" si="37"/>
        <v>5.96777198597866E-3</v>
      </c>
      <c r="O125" s="341">
        <f t="shared" si="38"/>
        <v>0.99996152565097995</v>
      </c>
      <c r="P125" s="342">
        <f t="shared" si="39"/>
        <v>1.4956963156291317E-3</v>
      </c>
      <c r="Q125" s="343">
        <f t="shared" si="40"/>
        <v>17.025536702681144</v>
      </c>
      <c r="R125" s="344">
        <f t="shared" si="41"/>
        <v>-77.60269316228694</v>
      </c>
      <c r="S125" s="346">
        <f t="shared" si="42"/>
        <v>102.39730683771306</v>
      </c>
      <c r="U125" s="319">
        <f t="shared" si="49"/>
        <v>1000000000</v>
      </c>
      <c r="V125" s="319">
        <f t="shared" si="50"/>
        <v>43651127.609999992</v>
      </c>
      <c r="X125" s="345">
        <f t="shared" si="43"/>
        <v>19.441612538766961</v>
      </c>
      <c r="Y125" s="346">
        <f t="shared" si="44"/>
        <v>-41.318363304392363</v>
      </c>
      <c r="AA125" s="345">
        <f t="shared" si="45"/>
        <v>33.59409812751565</v>
      </c>
      <c r="AB125" s="346">
        <f t="shared" si="46"/>
        <v>-36.284329857894605</v>
      </c>
      <c r="AD125">
        <f t="shared" si="51"/>
        <v>0</v>
      </c>
      <c r="AE125">
        <f t="shared" si="52"/>
        <v>0</v>
      </c>
    </row>
    <row r="126" spans="1:31" x14ac:dyDescent="0.2">
      <c r="A126" s="347">
        <v>6683.85</v>
      </c>
      <c r="B126" s="364">
        <f t="shared" si="48"/>
        <v>6.6838500000000005</v>
      </c>
      <c r="C126" s="337">
        <f t="shared" si="26"/>
        <v>1.2446106534483343</v>
      </c>
      <c r="D126" s="338">
        <f t="shared" si="27"/>
        <v>0.63770515223743895</v>
      </c>
      <c r="E126" s="338">
        <f t="shared" si="28"/>
        <v>1.0000000779181837</v>
      </c>
      <c r="F126" s="339">
        <f t="shared" si="29"/>
        <v>3.9476113932755984E-4</v>
      </c>
      <c r="G126" s="338">
        <f t="shared" si="30"/>
        <v>1</v>
      </c>
      <c r="H126" s="339">
        <f t="shared" si="31"/>
        <v>0</v>
      </c>
      <c r="I126" s="337">
        <f t="shared" si="32"/>
        <v>12633.521699674182</v>
      </c>
      <c r="J126" s="340">
        <f t="shared" si="33"/>
        <v>1.5707171723022051</v>
      </c>
      <c r="K126" s="348">
        <f t="shared" si="34"/>
        <v>1.5349807942635316</v>
      </c>
      <c r="L126" s="349">
        <f t="shared" si="35"/>
        <v>0.86127070254454197</v>
      </c>
      <c r="M126" s="337">
        <f t="shared" si="36"/>
        <v>1.0000182246301674</v>
      </c>
      <c r="N126" s="340">
        <f t="shared" si="37"/>
        <v>6.0372764373827778E-3</v>
      </c>
      <c r="O126" s="341">
        <f t="shared" si="38"/>
        <v>0.99996062421804388</v>
      </c>
      <c r="P126" s="342">
        <f t="shared" si="39"/>
        <v>1.5131179401148141E-3</v>
      </c>
      <c r="Q126" s="343">
        <f t="shared" si="40"/>
        <v>16.947184463890956</v>
      </c>
      <c r="R126" s="344">
        <f t="shared" si="41"/>
        <v>-77.596089977479721</v>
      </c>
      <c r="S126" s="346">
        <f t="shared" si="42"/>
        <v>102.40391002252028</v>
      </c>
      <c r="U126" s="319">
        <f t="shared" si="49"/>
        <v>1000000000</v>
      </c>
      <c r="V126" s="319">
        <f t="shared" si="50"/>
        <v>44673850.822500005</v>
      </c>
      <c r="X126" s="345">
        <f t="shared" si="43"/>
        <v>19.398636410803782</v>
      </c>
      <c r="Y126" s="346">
        <f t="shared" si="44"/>
        <v>-40.994199014028204</v>
      </c>
      <c r="AA126" s="345">
        <f t="shared" si="45"/>
        <v>33.558722016688641</v>
      </c>
      <c r="AB126" s="346">
        <f t="shared" si="46"/>
        <v>-36.601890963451517</v>
      </c>
      <c r="AD126">
        <f t="shared" si="51"/>
        <v>0</v>
      </c>
      <c r="AE126">
        <f t="shared" si="52"/>
        <v>0</v>
      </c>
    </row>
    <row r="127" spans="1:31" x14ac:dyDescent="0.2">
      <c r="A127" s="347">
        <v>6760.8</v>
      </c>
      <c r="B127" s="364">
        <f t="shared" si="48"/>
        <v>6.7608000000000006</v>
      </c>
      <c r="C127" s="337">
        <f t="shared" si="26"/>
        <v>1.2497082931607402</v>
      </c>
      <c r="D127" s="338">
        <f t="shared" si="27"/>
        <v>0.64318981759536675</v>
      </c>
      <c r="E127" s="338">
        <f t="shared" si="28"/>
        <v>1.0000000797226283</v>
      </c>
      <c r="F127" s="339">
        <f t="shared" si="29"/>
        <v>3.9930595503417601E-4</v>
      </c>
      <c r="G127" s="338">
        <f t="shared" si="30"/>
        <v>1</v>
      </c>
      <c r="H127" s="339">
        <f t="shared" si="31"/>
        <v>0</v>
      </c>
      <c r="I127" s="337">
        <f t="shared" si="32"/>
        <v>12778.969231969739</v>
      </c>
      <c r="J127" s="340">
        <f t="shared" si="33"/>
        <v>1.5707180732219466</v>
      </c>
      <c r="K127" s="348">
        <f t="shared" si="34"/>
        <v>1.5451771414381368</v>
      </c>
      <c r="L127" s="349">
        <f t="shared" si="35"/>
        <v>0.86692344831556312</v>
      </c>
      <c r="M127" s="337">
        <f t="shared" si="36"/>
        <v>1.0000186466757999</v>
      </c>
      <c r="N127" s="340">
        <f t="shared" si="37"/>
        <v>6.1067808304556548E-3</v>
      </c>
      <c r="O127" s="341">
        <f t="shared" si="38"/>
        <v>0.99995971234702996</v>
      </c>
      <c r="P127" s="342">
        <f t="shared" si="39"/>
        <v>1.5305396124464133E-3</v>
      </c>
      <c r="Q127" s="343">
        <f t="shared" si="40"/>
        <v>16.869764679431032</v>
      </c>
      <c r="R127" s="344">
        <f t="shared" si="41"/>
        <v>-77.591231396002669</v>
      </c>
      <c r="S127" s="346">
        <f t="shared" si="42"/>
        <v>102.40876860399733</v>
      </c>
      <c r="U127" s="319">
        <f t="shared" si="49"/>
        <v>1000000000</v>
      </c>
      <c r="V127" s="319">
        <f t="shared" si="50"/>
        <v>45708416.640000001</v>
      </c>
      <c r="X127" s="345">
        <f t="shared" si="43"/>
        <v>19.356711445244748</v>
      </c>
      <c r="Y127" s="346">
        <f t="shared" si="44"/>
        <v>-40.674354465602349</v>
      </c>
      <c r="AA127" s="345">
        <f t="shared" si="45"/>
        <v>33.523227197787747</v>
      </c>
      <c r="AB127" s="346">
        <f t="shared" si="46"/>
        <v>-36.916876930400321</v>
      </c>
      <c r="AD127">
        <f t="shared" si="51"/>
        <v>0</v>
      </c>
      <c r="AE127">
        <f t="shared" si="52"/>
        <v>0</v>
      </c>
    </row>
    <row r="128" spans="1:31" x14ac:dyDescent="0.2">
      <c r="A128" s="347">
        <v>6839.55</v>
      </c>
      <c r="B128" s="364">
        <f t="shared" si="48"/>
        <v>6.83955</v>
      </c>
      <c r="C128" s="337">
        <f t="shared" si="26"/>
        <v>1.2549637778148772</v>
      </c>
      <c r="D128" s="338">
        <f t="shared" si="27"/>
        <v>0.64875647458790719</v>
      </c>
      <c r="E128" s="338">
        <f t="shared" si="28"/>
        <v>1.0000000815906678</v>
      </c>
      <c r="F128" s="339">
        <f t="shared" si="29"/>
        <v>4.0395708220222911E-4</v>
      </c>
      <c r="G128" s="338">
        <f t="shared" si="30"/>
        <v>1</v>
      </c>
      <c r="H128" s="339">
        <f t="shared" si="31"/>
        <v>0</v>
      </c>
      <c r="I128" s="337">
        <f t="shared" si="32"/>
        <v>12927.819045732995</v>
      </c>
      <c r="J128" s="340">
        <f t="shared" si="33"/>
        <v>1.5707189742269607</v>
      </c>
      <c r="K128" s="348">
        <f t="shared" si="34"/>
        <v>1.5556624405287709</v>
      </c>
      <c r="L128" s="349">
        <f t="shared" si="35"/>
        <v>0.87263151472413103</v>
      </c>
      <c r="M128" s="337">
        <f t="shared" si="36"/>
        <v>1.0000190835956198</v>
      </c>
      <c r="N128" s="340">
        <f t="shared" si="37"/>
        <v>6.1779109961900922E-3</v>
      </c>
      <c r="O128" s="341">
        <f t="shared" si="38"/>
        <v>0.99995876833852004</v>
      </c>
      <c r="P128" s="342">
        <f t="shared" si="39"/>
        <v>1.5483688593897276E-3</v>
      </c>
      <c r="Q128" s="343">
        <f t="shared" si="40"/>
        <v>16.791471349862789</v>
      </c>
      <c r="R128" s="344">
        <f t="shared" si="41"/>
        <v>-77.588011365999535</v>
      </c>
      <c r="S128" s="346">
        <f t="shared" si="42"/>
        <v>102.41198863400047</v>
      </c>
      <c r="U128" s="319">
        <f t="shared" si="49"/>
        <v>1000000000</v>
      </c>
      <c r="V128" s="319">
        <f t="shared" si="50"/>
        <v>46779444.202500001</v>
      </c>
      <c r="X128" s="345">
        <f t="shared" si="43"/>
        <v>19.314860680663266</v>
      </c>
      <c r="Y128" s="346">
        <f t="shared" si="44"/>
        <v>-40.351433432919301</v>
      </c>
      <c r="AA128" s="345">
        <f t="shared" si="45"/>
        <v>33.48678463280099</v>
      </c>
      <c r="AB128" s="346">
        <f t="shared" si="46"/>
        <v>-37.236577933080227</v>
      </c>
      <c r="AD128">
        <f t="shared" si="51"/>
        <v>0</v>
      </c>
      <c r="AE128">
        <f t="shared" si="52"/>
        <v>0</v>
      </c>
    </row>
    <row r="129" spans="1:31" x14ac:dyDescent="0.2">
      <c r="A129" s="347">
        <v>6918.3</v>
      </c>
      <c r="B129" s="364">
        <f t="shared" si="48"/>
        <v>6.9183000000000003</v>
      </c>
      <c r="C129" s="337">
        <f t="shared" si="26"/>
        <v>1.26025782583076</v>
      </c>
      <c r="D129" s="338">
        <f t="shared" si="27"/>
        <v>0.65427653299751953</v>
      </c>
      <c r="E129" s="338">
        <f t="shared" si="28"/>
        <v>1.0000000834803402</v>
      </c>
      <c r="F129" s="339">
        <f t="shared" si="29"/>
        <v>4.0860820935280454E-4</v>
      </c>
      <c r="G129" s="338">
        <f t="shared" si="30"/>
        <v>1</v>
      </c>
      <c r="H129" s="339">
        <f t="shared" si="31"/>
        <v>0</v>
      </c>
      <c r="I129" s="337">
        <f t="shared" si="32"/>
        <v>13076.668859506508</v>
      </c>
      <c r="J129" s="340">
        <f t="shared" si="33"/>
        <v>1.5707198547199577</v>
      </c>
      <c r="K129" s="348">
        <f t="shared" si="34"/>
        <v>1.5661977466232559</v>
      </c>
      <c r="L129" s="349">
        <f t="shared" si="35"/>
        <v>0.87826296993360742</v>
      </c>
      <c r="M129" s="337">
        <f t="shared" si="36"/>
        <v>1.0000195255750326</v>
      </c>
      <c r="N129" s="340">
        <f t="shared" si="37"/>
        <v>6.2490410994095018E-3</v>
      </c>
      <c r="O129" s="341">
        <f t="shared" si="38"/>
        <v>0.99995781339789336</v>
      </c>
      <c r="P129" s="342">
        <f t="shared" si="39"/>
        <v>1.5661981576111815E-3</v>
      </c>
      <c r="Q129" s="343">
        <f t="shared" si="40"/>
        <v>16.714098915567757</v>
      </c>
      <c r="R129" s="344">
        <f t="shared" si="41"/>
        <v>-77.586509756341812</v>
      </c>
      <c r="S129" s="346">
        <f t="shared" si="42"/>
        <v>102.41349024365819</v>
      </c>
      <c r="U129" s="319">
        <f t="shared" si="49"/>
        <v>1000000000</v>
      </c>
      <c r="V129" s="319">
        <f t="shared" si="50"/>
        <v>47862874.890000001</v>
      </c>
      <c r="X129" s="345">
        <f t="shared" si="43"/>
        <v>19.274044176313051</v>
      </c>
      <c r="Y129" s="346">
        <f t="shared" si="44"/>
        <v>-40.032900719778787</v>
      </c>
      <c r="AA129" s="345">
        <f t="shared" si="45"/>
        <v>33.450228702856172</v>
      </c>
      <c r="AB129" s="346">
        <f t="shared" si="46"/>
        <v>-37.553609036563032</v>
      </c>
      <c r="AD129">
        <f t="shared" si="51"/>
        <v>0</v>
      </c>
      <c r="AE129">
        <f t="shared" si="52"/>
        <v>0</v>
      </c>
    </row>
    <row r="130" spans="1:31" x14ac:dyDescent="0.2">
      <c r="A130" s="347">
        <v>6998.9</v>
      </c>
      <c r="B130" s="364">
        <f t="shared" si="48"/>
        <v>6.9988999999999999</v>
      </c>
      <c r="C130" s="337">
        <f t="shared" si="26"/>
        <v>1.2657156698394778</v>
      </c>
      <c r="D130" s="338">
        <f t="shared" si="27"/>
        <v>0.65987827692936096</v>
      </c>
      <c r="E130" s="338">
        <f t="shared" si="28"/>
        <v>1.0000000854368063</v>
      </c>
      <c r="F130" s="339">
        <f t="shared" si="29"/>
        <v>4.1336860105940272E-4</v>
      </c>
      <c r="G130" s="338">
        <f t="shared" si="30"/>
        <v>1</v>
      </c>
      <c r="H130" s="339">
        <f t="shared" si="31"/>
        <v>0</v>
      </c>
      <c r="I130" s="337">
        <f t="shared" si="32"/>
        <v>13229.015462566227</v>
      </c>
      <c r="J130" s="340">
        <f t="shared" si="33"/>
        <v>1.5707207353796637</v>
      </c>
      <c r="K130" s="348">
        <f t="shared" si="34"/>
        <v>1.5770312857931597</v>
      </c>
      <c r="L130" s="349">
        <f t="shared" si="35"/>
        <v>0.8839486211582771</v>
      </c>
      <c r="M130" s="337">
        <f t="shared" si="36"/>
        <v>1.0000199831767258</v>
      </c>
      <c r="N130" s="340">
        <f t="shared" si="37"/>
        <v>6.321842130043674E-3</v>
      </c>
      <c r="O130" s="341">
        <f t="shared" si="38"/>
        <v>0.99995682470338265</v>
      </c>
      <c r="P130" s="342">
        <f t="shared" si="39"/>
        <v>1.5844463565540432E-3</v>
      </c>
      <c r="Q130" s="343">
        <f t="shared" si="40"/>
        <v>16.635834799290173</v>
      </c>
      <c r="R130" s="344">
        <f t="shared" si="41"/>
        <v>-77.586696666906022</v>
      </c>
      <c r="S130" s="346">
        <f t="shared" si="42"/>
        <v>102.41330333309398</v>
      </c>
      <c r="U130" s="319">
        <f t="shared" si="49"/>
        <v>1000000000</v>
      </c>
      <c r="V130" s="319">
        <f t="shared" si="50"/>
        <v>48984601.209999993</v>
      </c>
      <c r="X130" s="345">
        <f t="shared" si="43"/>
        <v>19.233306531718597</v>
      </c>
      <c r="Y130" s="346">
        <f t="shared" si="44"/>
        <v>-39.711358550338296</v>
      </c>
      <c r="AA130" s="345">
        <f t="shared" si="45"/>
        <v>33.412702231173043</v>
      </c>
      <c r="AB130" s="346">
        <f t="shared" si="46"/>
        <v>-37.875338116567718</v>
      </c>
      <c r="AD130">
        <f t="shared" si="51"/>
        <v>0</v>
      </c>
      <c r="AE130">
        <f t="shared" si="52"/>
        <v>0</v>
      </c>
    </row>
    <row r="131" spans="1:31" x14ac:dyDescent="0.2">
      <c r="A131" s="347">
        <v>7079.5</v>
      </c>
      <c r="B131" s="364">
        <f t="shared" si="48"/>
        <v>7.0795000000000003</v>
      </c>
      <c r="C131" s="337">
        <f t="shared" si="26"/>
        <v>1.2712128896460873</v>
      </c>
      <c r="D131" s="338">
        <f t="shared" si="27"/>
        <v>0.66543174563021745</v>
      </c>
      <c r="E131" s="338">
        <f t="shared" si="28"/>
        <v>1.0000000874159336</v>
      </c>
      <c r="F131" s="339">
        <f t="shared" si="29"/>
        <v>4.1812899274726588E-4</v>
      </c>
      <c r="G131" s="338">
        <f t="shared" si="30"/>
        <v>1</v>
      </c>
      <c r="H131" s="339">
        <f t="shared" si="31"/>
        <v>0</v>
      </c>
      <c r="I131" s="337">
        <f t="shared" si="32"/>
        <v>13381.362065635974</v>
      </c>
      <c r="J131" s="340">
        <f t="shared" si="33"/>
        <v>1.5707215959867751</v>
      </c>
      <c r="K131" s="348">
        <f t="shared" si="34"/>
        <v>1.5879151084932295</v>
      </c>
      <c r="L131" s="349">
        <f t="shared" si="35"/>
        <v>0.88955651089064014</v>
      </c>
      <c r="M131" s="337">
        <f t="shared" si="36"/>
        <v>1.00002044607851</v>
      </c>
      <c r="N131" s="340">
        <f t="shared" si="37"/>
        <v>6.3946430936656154E-3</v>
      </c>
      <c r="O131" s="341">
        <f t="shared" si="38"/>
        <v>0.99995582455709009</v>
      </c>
      <c r="P131" s="342">
        <f t="shared" si="39"/>
        <v>1.6026946104644398E-3</v>
      </c>
      <c r="Q131" s="343">
        <f t="shared" si="40"/>
        <v>16.558480344768405</v>
      </c>
      <c r="R131" s="344">
        <f t="shared" si="41"/>
        <v>-77.588571866181397</v>
      </c>
      <c r="S131" s="346">
        <f t="shared" si="42"/>
        <v>102.4114281338186</v>
      </c>
      <c r="U131" s="319">
        <f t="shared" si="49"/>
        <v>1000000000</v>
      </c>
      <c r="V131" s="319">
        <f t="shared" si="50"/>
        <v>50119320.25</v>
      </c>
      <c r="X131" s="345">
        <f t="shared" si="43"/>
        <v>19.193585992799715</v>
      </c>
      <c r="Y131" s="346">
        <f t="shared" si="44"/>
        <v>-39.394270633452145</v>
      </c>
      <c r="AA131" s="345">
        <f t="shared" si="45"/>
        <v>33.375068315570154</v>
      </c>
      <c r="AB131" s="346">
        <f t="shared" si="46"/>
        <v>-38.194301232729273</v>
      </c>
      <c r="AD131">
        <f t="shared" si="51"/>
        <v>0</v>
      </c>
      <c r="AE131">
        <f t="shared" si="52"/>
        <v>0</v>
      </c>
    </row>
    <row r="132" spans="1:31" x14ac:dyDescent="0.2">
      <c r="A132" s="347">
        <v>7161.95</v>
      </c>
      <c r="B132" s="364">
        <f t="shared" si="48"/>
        <v>7.16195</v>
      </c>
      <c r="C132" s="337">
        <f t="shared" si="26"/>
        <v>1.2768764979304648</v>
      </c>
      <c r="D132" s="338">
        <f t="shared" si="27"/>
        <v>0.67106302758907599</v>
      </c>
      <c r="E132" s="338">
        <f t="shared" si="28"/>
        <v>1.0000000894639351</v>
      </c>
      <c r="F132" s="339">
        <f t="shared" si="29"/>
        <v>4.2299864898899997E-4</v>
      </c>
      <c r="G132" s="338">
        <f t="shared" si="30"/>
        <v>1</v>
      </c>
      <c r="H132" s="339">
        <f t="shared" si="31"/>
        <v>0</v>
      </c>
      <c r="I132" s="337">
        <f t="shared" si="32"/>
        <v>13537.205457992159</v>
      </c>
      <c r="J132" s="340">
        <f t="shared" si="33"/>
        <v>1.5707224563048598</v>
      </c>
      <c r="K132" s="348">
        <f t="shared" si="34"/>
        <v>1.5990997034859158</v>
      </c>
      <c r="L132" s="349">
        <f t="shared" si="35"/>
        <v>0.89521395002762938</v>
      </c>
      <c r="M132" s="337">
        <f t="shared" si="36"/>
        <v>1.0000209250891692</v>
      </c>
      <c r="N132" s="340">
        <f t="shared" si="37"/>
        <v>6.4691149770058284E-3</v>
      </c>
      <c r="O132" s="341">
        <f t="shared" si="38"/>
        <v>0.99995478960551309</v>
      </c>
      <c r="P132" s="342">
        <f t="shared" si="39"/>
        <v>1.6213617714099431E-3</v>
      </c>
      <c r="Q132" s="343">
        <f t="shared" si="40"/>
        <v>16.480264343774639</v>
      </c>
      <c r="R132" s="344">
        <f t="shared" si="41"/>
        <v>-77.592179926265075</v>
      </c>
      <c r="S132" s="346">
        <f t="shared" si="42"/>
        <v>102.40782007373492</v>
      </c>
      <c r="U132" s="319">
        <f t="shared" si="49"/>
        <v>1000000000</v>
      </c>
      <c r="V132" s="319">
        <f t="shared" si="50"/>
        <v>51293527.802499995</v>
      </c>
      <c r="X132" s="345">
        <f t="shared" si="43"/>
        <v>19.15397309701379</v>
      </c>
      <c r="Y132" s="346">
        <f t="shared" si="44"/>
        <v>-39.074439464888137</v>
      </c>
      <c r="AA132" s="345">
        <f t="shared" si="45"/>
        <v>33.33646521036232</v>
      </c>
      <c r="AB132" s="346">
        <f t="shared" si="46"/>
        <v>-38.517740461376953</v>
      </c>
      <c r="AD132">
        <f t="shared" si="51"/>
        <v>0</v>
      </c>
      <c r="AE132">
        <f t="shared" si="52"/>
        <v>0</v>
      </c>
    </row>
    <row r="133" spans="1:31" x14ac:dyDescent="0.2">
      <c r="A133" s="347">
        <v>7244.4</v>
      </c>
      <c r="B133" s="364">
        <f t="shared" si="48"/>
        <v>7.2443999999999997</v>
      </c>
      <c r="C133" s="337">
        <f t="shared" si="26"/>
        <v>1.2825802393261903</v>
      </c>
      <c r="D133" s="338">
        <f t="shared" si="27"/>
        <v>0.67664439967337597</v>
      </c>
      <c r="E133" s="338">
        <f t="shared" si="28"/>
        <v>1.0000000915356504</v>
      </c>
      <c r="F133" s="339">
        <f t="shared" si="29"/>
        <v>4.2786830521067236E-4</v>
      </c>
      <c r="G133" s="338">
        <f t="shared" si="30"/>
        <v>1</v>
      </c>
      <c r="H133" s="339">
        <f t="shared" si="31"/>
        <v>0</v>
      </c>
      <c r="I133" s="337">
        <f t="shared" si="32"/>
        <v>13693.048850358131</v>
      </c>
      <c r="J133" s="340">
        <f t="shared" si="33"/>
        <v>1.5707232970400322</v>
      </c>
      <c r="K133" s="348">
        <f t="shared" si="34"/>
        <v>1.6103347683365306</v>
      </c>
      <c r="L133" s="349">
        <f t="shared" si="35"/>
        <v>0.90079262343923405</v>
      </c>
      <c r="M133" s="337">
        <f t="shared" si="36"/>
        <v>1.0000214096460003</v>
      </c>
      <c r="N133" s="340">
        <f t="shared" si="37"/>
        <v>6.5435867885888918E-3</v>
      </c>
      <c r="O133" s="341">
        <f t="shared" si="38"/>
        <v>0.99995374267042325</v>
      </c>
      <c r="P133" s="342">
        <f t="shared" si="39"/>
        <v>1.6400289912156703E-3</v>
      </c>
      <c r="Q133" s="343">
        <f t="shared" si="40"/>
        <v>16.402946024404667</v>
      </c>
      <c r="R133" s="344">
        <f t="shared" si="41"/>
        <v>-77.597440182061263</v>
      </c>
      <c r="S133" s="346">
        <f t="shared" si="42"/>
        <v>102.40255981793874</v>
      </c>
      <c r="U133" s="319">
        <f t="shared" si="49"/>
        <v>1000000000</v>
      </c>
      <c r="V133" s="319">
        <f t="shared" si="50"/>
        <v>52481331.359999992</v>
      </c>
      <c r="X133" s="345">
        <f t="shared" si="43"/>
        <v>19.115358685959869</v>
      </c>
      <c r="Y133" s="346">
        <f t="shared" si="44"/>
        <v>-38.759120113834506</v>
      </c>
      <c r="AA133" s="345">
        <f t="shared" si="45"/>
        <v>33.297761302046261</v>
      </c>
      <c r="AB133" s="346">
        <f t="shared" si="46"/>
        <v>-38.838320068226714</v>
      </c>
      <c r="AD133">
        <f t="shared" si="51"/>
        <v>0</v>
      </c>
      <c r="AE133">
        <f t="shared" si="52"/>
        <v>0</v>
      </c>
    </row>
    <row r="134" spans="1:31" x14ac:dyDescent="0.2">
      <c r="A134" s="347">
        <v>7328.75</v>
      </c>
      <c r="B134" s="364">
        <f t="shared" si="48"/>
        <v>7.3287500000000003</v>
      </c>
      <c r="C134" s="337">
        <f t="shared" si="26"/>
        <v>1.2884563944912226</v>
      </c>
      <c r="D134" s="338">
        <f t="shared" si="27"/>
        <v>0.68230307314317895</v>
      </c>
      <c r="E134" s="338">
        <f t="shared" si="28"/>
        <v>1.000000093679646</v>
      </c>
      <c r="F134" s="339">
        <f t="shared" si="29"/>
        <v>4.3285017908049076E-4</v>
      </c>
      <c r="G134" s="338">
        <f t="shared" si="30"/>
        <v>1</v>
      </c>
      <c r="H134" s="339">
        <f t="shared" si="31"/>
        <v>0</v>
      </c>
      <c r="I134" s="337">
        <f t="shared" si="32"/>
        <v>13852.483539829047</v>
      </c>
      <c r="J134" s="340">
        <f t="shared" si="33"/>
        <v>1.5707241375735204</v>
      </c>
      <c r="K134" s="348">
        <f t="shared" si="34"/>
        <v>1.6218798711260209</v>
      </c>
      <c r="L134" s="349">
        <f t="shared" si="35"/>
        <v>0.90641969272486544</v>
      </c>
      <c r="M134" s="337">
        <f t="shared" si="36"/>
        <v>1.0000219111084372</v>
      </c>
      <c r="N134" s="340">
        <f t="shared" si="37"/>
        <v>6.6197746735320471E-3</v>
      </c>
      <c r="O134" s="341">
        <f t="shared" si="38"/>
        <v>0.99995265920855991</v>
      </c>
      <c r="P134" s="342">
        <f t="shared" si="39"/>
        <v>1.6591264450780809E-3</v>
      </c>
      <c r="Q134" s="343">
        <f t="shared" si="40"/>
        <v>16.324748060736866</v>
      </c>
      <c r="R134" s="344">
        <f t="shared" si="41"/>
        <v>-77.604473134874894</v>
      </c>
      <c r="S134" s="346">
        <f t="shared" si="42"/>
        <v>102.39552686512511</v>
      </c>
      <c r="U134" s="319">
        <f t="shared" si="49"/>
        <v>1000000000</v>
      </c>
      <c r="V134" s="319">
        <f t="shared" si="50"/>
        <v>53710576.5625</v>
      </c>
      <c r="X134" s="345">
        <f t="shared" si="43"/>
        <v>19.076854907243476</v>
      </c>
      <c r="Y134" s="346">
        <f t="shared" si="44"/>
        <v>-38.441126195655457</v>
      </c>
      <c r="AA134" s="345">
        <f t="shared" si="45"/>
        <v>33.258067117094853</v>
      </c>
      <c r="AB134" s="346">
        <f t="shared" si="46"/>
        <v>-39.16334693921943</v>
      </c>
      <c r="AD134">
        <f t="shared" si="51"/>
        <v>0</v>
      </c>
      <c r="AE134">
        <f t="shared" si="52"/>
        <v>0</v>
      </c>
    </row>
    <row r="135" spans="1:31" x14ac:dyDescent="0.2">
      <c r="A135" s="347">
        <v>7413.1</v>
      </c>
      <c r="B135" s="364">
        <f t="shared" si="48"/>
        <v>7.4131</v>
      </c>
      <c r="C135" s="337">
        <f t="shared" si="26"/>
        <v>1.2943734314221818</v>
      </c>
      <c r="D135" s="338">
        <f t="shared" si="27"/>
        <v>0.68791018921524272</v>
      </c>
      <c r="E135" s="338">
        <f t="shared" si="28"/>
        <v>1.0000000958484609</v>
      </c>
      <c r="F135" s="339">
        <f t="shared" si="29"/>
        <v>4.3783205292882319E-4</v>
      </c>
      <c r="G135" s="338">
        <f t="shared" si="30"/>
        <v>1</v>
      </c>
      <c r="H135" s="339">
        <f t="shared" si="31"/>
        <v>0</v>
      </c>
      <c r="I135" s="337">
        <f t="shared" si="32"/>
        <v>14011.918229309527</v>
      </c>
      <c r="J135" s="340">
        <f t="shared" si="33"/>
        <v>1.5707249589789785</v>
      </c>
      <c r="K135" s="348">
        <f t="shared" si="34"/>
        <v>1.633475602095003</v>
      </c>
      <c r="L135" s="349">
        <f t="shared" si="35"/>
        <v>0.91196704461524392</v>
      </c>
      <c r="M135" s="337">
        <f t="shared" si="36"/>
        <v>1.0000224183755893</v>
      </c>
      <c r="N135" s="340">
        <f t="shared" si="37"/>
        <v>6.6959624816239523E-3</v>
      </c>
      <c r="O135" s="341">
        <f t="shared" si="38"/>
        <v>0.99995156320452216</v>
      </c>
      <c r="P135" s="342">
        <f t="shared" si="39"/>
        <v>1.6782239619799449E-3</v>
      </c>
      <c r="Q135" s="343">
        <f t="shared" si="40"/>
        <v>16.247436236382555</v>
      </c>
      <c r="R135" s="344">
        <f t="shared" si="41"/>
        <v>-77.61311843995351</v>
      </c>
      <c r="S135" s="346">
        <f t="shared" si="42"/>
        <v>102.38688156004649</v>
      </c>
      <c r="U135" s="319">
        <f t="shared" si="49"/>
        <v>1000000000</v>
      </c>
      <c r="V135" s="319">
        <f t="shared" si="50"/>
        <v>54954051.610000007</v>
      </c>
      <c r="X135" s="345">
        <f t="shared" si="43"/>
        <v>19.039330838375868</v>
      </c>
      <c r="Y135" s="346">
        <f t="shared" si="44"/>
        <v>-38.127698647424737</v>
      </c>
      <c r="AA135" s="345">
        <f t="shared" si="45"/>
        <v>33.218279361608154</v>
      </c>
      <c r="AB135" s="346">
        <f t="shared" si="46"/>
        <v>-39.485419792528759</v>
      </c>
      <c r="AD135">
        <f t="shared" si="51"/>
        <v>0</v>
      </c>
      <c r="AE135">
        <f t="shared" si="52"/>
        <v>0</v>
      </c>
    </row>
    <row r="136" spans="1:31" x14ac:dyDescent="0.2">
      <c r="A136" s="347">
        <v>7499.45</v>
      </c>
      <c r="B136" s="364">
        <f t="shared" si="48"/>
        <v>7.4994499999999995</v>
      </c>
      <c r="C136" s="337">
        <f t="shared" si="26"/>
        <v>1.3004725302540814</v>
      </c>
      <c r="D136" s="338">
        <f t="shared" si="27"/>
        <v>0.69359721777052508</v>
      </c>
      <c r="E136" s="338">
        <f t="shared" si="28"/>
        <v>1.0000000980944088</v>
      </c>
      <c r="F136" s="339">
        <f t="shared" si="29"/>
        <v>4.4293205061589407E-4</v>
      </c>
      <c r="G136" s="338">
        <f t="shared" si="30"/>
        <v>1</v>
      </c>
      <c r="H136" s="339">
        <f t="shared" si="31"/>
        <v>0</v>
      </c>
      <c r="I136" s="337">
        <f t="shared" si="32"/>
        <v>14175.133231531774</v>
      </c>
      <c r="J136" s="340">
        <f t="shared" si="33"/>
        <v>1.5707257807206907</v>
      </c>
      <c r="K136" s="348">
        <f t="shared" si="34"/>
        <v>1.6453976018082881</v>
      </c>
      <c r="L136" s="349">
        <f t="shared" si="35"/>
        <v>0.91756476028662726</v>
      </c>
      <c r="M136" s="337">
        <f t="shared" si="36"/>
        <v>1.000022943683204</v>
      </c>
      <c r="N136" s="340">
        <f t="shared" si="37"/>
        <v>6.7739566776651664E-3</v>
      </c>
      <c r="O136" s="341">
        <f t="shared" si="38"/>
        <v>0.99995042822165603</v>
      </c>
      <c r="P136" s="342">
        <f t="shared" si="39"/>
        <v>1.697774360988627E-3</v>
      </c>
      <c r="Q136" s="343">
        <f t="shared" si="40"/>
        <v>16.169182739909942</v>
      </c>
      <c r="R136" s="344">
        <f t="shared" si="41"/>
        <v>-77.623579458868647</v>
      </c>
      <c r="S136" s="346">
        <f t="shared" si="42"/>
        <v>102.37642054113135</v>
      </c>
      <c r="U136" s="319">
        <f t="shared" si="49"/>
        <v>1000000000</v>
      </c>
      <c r="V136" s="319">
        <f t="shared" si="50"/>
        <v>56241750.302499995</v>
      </c>
      <c r="X136" s="345">
        <f t="shared" si="43"/>
        <v>19.001899326189335</v>
      </c>
      <c r="Y136" s="346">
        <f t="shared" si="44"/>
        <v>-37.811488984770556</v>
      </c>
      <c r="AA136" s="345">
        <f t="shared" si="45"/>
        <v>33.177457377322071</v>
      </c>
      <c r="AB136" s="346">
        <f t="shared" si="46"/>
        <v>-39.812090474098099</v>
      </c>
      <c r="AD136">
        <f t="shared" si="51"/>
        <v>0</v>
      </c>
      <c r="AE136">
        <f t="shared" si="52"/>
        <v>0</v>
      </c>
    </row>
    <row r="137" spans="1:31" x14ac:dyDescent="0.2">
      <c r="A137" s="347">
        <v>7585.8</v>
      </c>
      <c r="B137" s="364">
        <f t="shared" si="48"/>
        <v>7.5857999999999999</v>
      </c>
      <c r="C137" s="337">
        <f t="shared" si="26"/>
        <v>1.3066132958978585</v>
      </c>
      <c r="D137" s="338">
        <f t="shared" si="27"/>
        <v>0.69923097180385474</v>
      </c>
      <c r="E137" s="338">
        <f t="shared" si="28"/>
        <v>1.0000001003663666</v>
      </c>
      <c r="F137" s="339">
        <f t="shared" si="29"/>
        <v>4.4803204827992363E-4</v>
      </c>
      <c r="G137" s="338">
        <f t="shared" si="30"/>
        <v>1</v>
      </c>
      <c r="H137" s="339">
        <f t="shared" si="31"/>
        <v>0</v>
      </c>
      <c r="I137" s="337">
        <f t="shared" si="32"/>
        <v>14338.348233763378</v>
      </c>
      <c r="J137" s="340">
        <f t="shared" si="33"/>
        <v>1.5707265837544495</v>
      </c>
      <c r="K137" s="348">
        <f t="shared" si="34"/>
        <v>1.6573704164272622</v>
      </c>
      <c r="L137" s="349">
        <f t="shared" si="35"/>
        <v>0.92308177116061885</v>
      </c>
      <c r="M137" s="337">
        <f t="shared" si="36"/>
        <v>1.0000234750740467</v>
      </c>
      <c r="N137" s="340">
        <f t="shared" si="37"/>
        <v>6.8519507912919711E-3</v>
      </c>
      <c r="O137" s="341">
        <f t="shared" si="38"/>
        <v>0.99994928009480122</v>
      </c>
      <c r="P137" s="342">
        <f t="shared" si="39"/>
        <v>1.7173248276008838E-3</v>
      </c>
      <c r="Q137" s="343">
        <f t="shared" si="40"/>
        <v>16.091805279433423</v>
      </c>
      <c r="R137" s="344">
        <f t="shared" si="41"/>
        <v>-77.635611044065072</v>
      </c>
      <c r="S137" s="346">
        <f t="shared" si="42"/>
        <v>102.36438895593493</v>
      </c>
      <c r="U137" s="319">
        <f t="shared" si="49"/>
        <v>1000000000</v>
      </c>
      <c r="V137" s="319">
        <f t="shared" si="50"/>
        <v>57544361.640000001</v>
      </c>
      <c r="X137" s="345">
        <f t="shared" si="43"/>
        <v>18.965429675358347</v>
      </c>
      <c r="Y137" s="346">
        <f t="shared" si="44"/>
        <v>-37.499902289789873</v>
      </c>
      <c r="AA137" s="345">
        <f t="shared" si="45"/>
        <v>33.136549567676539</v>
      </c>
      <c r="AB137" s="346">
        <f t="shared" si="46"/>
        <v>-40.1357087542752</v>
      </c>
      <c r="AD137">
        <f t="shared" si="51"/>
        <v>0</v>
      </c>
      <c r="AE137">
        <f t="shared" si="52"/>
        <v>0</v>
      </c>
    </row>
    <row r="138" spans="1:31" x14ac:dyDescent="0.2">
      <c r="A138" s="347">
        <v>7674.15</v>
      </c>
      <c r="B138" s="364">
        <f t="shared" si="48"/>
        <v>7.67415</v>
      </c>
      <c r="C138" s="337">
        <f t="shared" si="26"/>
        <v>1.312938806987882</v>
      </c>
      <c r="D138" s="338">
        <f t="shared" si="27"/>
        <v>0.7049404820162829</v>
      </c>
      <c r="E138" s="338">
        <f t="shared" si="28"/>
        <v>1.0000001027178671</v>
      </c>
      <c r="F138" s="339">
        <f t="shared" si="29"/>
        <v>4.5325016978002602E-4</v>
      </c>
      <c r="G138" s="338">
        <f t="shared" si="30"/>
        <v>1</v>
      </c>
      <c r="H138" s="339">
        <f t="shared" si="31"/>
        <v>0</v>
      </c>
      <c r="I138" s="337">
        <f t="shared" si="32"/>
        <v>14505.343548736968</v>
      </c>
      <c r="J138" s="340">
        <f t="shared" si="33"/>
        <v>1.5707273866834519</v>
      </c>
      <c r="K138" s="348">
        <f t="shared" si="34"/>
        <v>1.6696719937977436</v>
      </c>
      <c r="L138" s="349">
        <f t="shared" si="35"/>
        <v>0.92864449866255727</v>
      </c>
      <c r="M138" s="337">
        <f t="shared" si="36"/>
        <v>1.0000240250689205</v>
      </c>
      <c r="N138" s="340">
        <f t="shared" si="37"/>
        <v>6.9317512833341642E-3</v>
      </c>
      <c r="O138" s="341">
        <f t="shared" si="38"/>
        <v>0.99994809177138233</v>
      </c>
      <c r="P138" s="342">
        <f t="shared" si="39"/>
        <v>1.7373281841413177E-3</v>
      </c>
      <c r="Q138" s="343">
        <f t="shared" si="40"/>
        <v>16.01351630001259</v>
      </c>
      <c r="R138" s="344">
        <f t="shared" si="41"/>
        <v>-77.649486441304575</v>
      </c>
      <c r="S138" s="346">
        <f t="shared" si="42"/>
        <v>102.35051355869543</v>
      </c>
      <c r="U138" s="319">
        <f t="shared" si="49"/>
        <v>1000000000</v>
      </c>
      <c r="V138" s="319">
        <f t="shared" si="50"/>
        <v>58892578.222499996</v>
      </c>
      <c r="X138" s="345">
        <f t="shared" si="43"/>
        <v>18.929078591710159</v>
      </c>
      <c r="Y138" s="346">
        <f t="shared" si="44"/>
        <v>-37.185799716828718</v>
      </c>
      <c r="AA138" s="345">
        <f t="shared" si="45"/>
        <v>33.094611671903905</v>
      </c>
      <c r="AB138" s="346">
        <f t="shared" si="46"/>
        <v>-40.463686724475856</v>
      </c>
      <c r="AD138">
        <f t="shared" si="51"/>
        <v>0</v>
      </c>
      <c r="AE138">
        <f t="shared" si="52"/>
        <v>0</v>
      </c>
    </row>
    <row r="139" spans="1:31" x14ac:dyDescent="0.2">
      <c r="A139" s="347">
        <v>7762.5</v>
      </c>
      <c r="B139" s="364">
        <f t="shared" si="48"/>
        <v>7.7625000000000002</v>
      </c>
      <c r="C139" s="337">
        <f t="shared" si="26"/>
        <v>1.3193067066994162</v>
      </c>
      <c r="D139" s="338">
        <f t="shared" si="27"/>
        <v>0.71059505888044505</v>
      </c>
      <c r="E139" s="338">
        <f t="shared" si="28"/>
        <v>1.0000001050965963</v>
      </c>
      <c r="F139" s="339">
        <f t="shared" si="29"/>
        <v>4.5846829125544556E-4</v>
      </c>
      <c r="G139" s="338">
        <f t="shared" si="30"/>
        <v>1</v>
      </c>
      <c r="H139" s="339">
        <f t="shared" si="31"/>
        <v>0</v>
      </c>
      <c r="I139" s="337">
        <f t="shared" si="32"/>
        <v>14672.338863719697</v>
      </c>
      <c r="J139" s="340">
        <f t="shared" si="33"/>
        <v>1.5707281713351529</v>
      </c>
      <c r="K139" s="348">
        <f t="shared" si="34"/>
        <v>1.682024480741543</v>
      </c>
      <c r="L139" s="349">
        <f t="shared" si="35"/>
        <v>0.93412569035641246</v>
      </c>
      <c r="M139" s="337">
        <f t="shared" si="36"/>
        <v>1.0000245814320587</v>
      </c>
      <c r="N139" s="340">
        <f t="shared" si="37"/>
        <v>7.011551687090614E-3</v>
      </c>
      <c r="O139" s="341">
        <f t="shared" si="38"/>
        <v>0.99994688968805912</v>
      </c>
      <c r="P139" s="342">
        <f t="shared" si="39"/>
        <v>1.757331613102382E-3</v>
      </c>
      <c r="Q139" s="343">
        <f t="shared" si="40"/>
        <v>15.936092635327563</v>
      </c>
      <c r="R139" s="344">
        <f t="shared" si="41"/>
        <v>-77.664884999098192</v>
      </c>
      <c r="S139" s="346">
        <f t="shared" si="42"/>
        <v>102.33511500090181</v>
      </c>
      <c r="U139" s="319">
        <f t="shared" si="49"/>
        <v>1000000000</v>
      </c>
      <c r="V139" s="319">
        <f t="shared" si="50"/>
        <v>60256406.25</v>
      </c>
      <c r="X139" s="345">
        <f t="shared" si="43"/>
        <v>18.893670166081279</v>
      </c>
      <c r="Y139" s="346">
        <f t="shared" si="44"/>
        <v>-36.876367749284604</v>
      </c>
      <c r="AA139" s="345">
        <f t="shared" si="45"/>
        <v>33.05259643284775</v>
      </c>
      <c r="AB139" s="346">
        <f t="shared" si="46"/>
        <v>-40.78851724981358</v>
      </c>
      <c r="AD139">
        <f t="shared" si="51"/>
        <v>0</v>
      </c>
      <c r="AE139">
        <f t="shared" si="52"/>
        <v>0</v>
      </c>
    </row>
    <row r="140" spans="1:31" x14ac:dyDescent="0.2">
      <c r="A140" s="347">
        <v>7852.9</v>
      </c>
      <c r="B140" s="364">
        <f t="shared" si="48"/>
        <v>7.8529</v>
      </c>
      <c r="C140" s="337">
        <f t="shared" si="26"/>
        <v>1.325865600132409</v>
      </c>
      <c r="D140" s="338">
        <f t="shared" si="27"/>
        <v>0.71632443102708954</v>
      </c>
      <c r="E140" s="338">
        <f t="shared" si="28"/>
        <v>1.0000001075587033</v>
      </c>
      <c r="F140" s="339">
        <f t="shared" si="29"/>
        <v>4.6380748966059002E-4</v>
      </c>
      <c r="G140" s="338">
        <f t="shared" si="30"/>
        <v>1</v>
      </c>
      <c r="H140" s="339">
        <f t="shared" si="31"/>
        <v>0</v>
      </c>
      <c r="I140" s="337">
        <f t="shared" si="32"/>
        <v>14843.208999262946</v>
      </c>
      <c r="J140" s="340">
        <f t="shared" si="33"/>
        <v>1.5707289559183695</v>
      </c>
      <c r="K140" s="348">
        <f t="shared" si="34"/>
        <v>1.6947151185055891</v>
      </c>
      <c r="L140" s="349">
        <f t="shared" si="35"/>
        <v>0.93965118753714871</v>
      </c>
      <c r="M140" s="337">
        <f t="shared" si="36"/>
        <v>1.0000251572961989</v>
      </c>
      <c r="N140" s="340">
        <f t="shared" si="37"/>
        <v>7.0932036206764627E-3</v>
      </c>
      <c r="O140" s="341">
        <f t="shared" si="38"/>
        <v>0.99994564547007747</v>
      </c>
      <c r="P140" s="342">
        <f t="shared" si="39"/>
        <v>1.777799260841161E-3</v>
      </c>
      <c r="Q140" s="343">
        <f t="shared" si="40"/>
        <v>15.857742558810621</v>
      </c>
      <c r="R140" s="344">
        <f t="shared" si="41"/>
        <v>-77.682156235000775</v>
      </c>
      <c r="S140" s="346">
        <f t="shared" si="42"/>
        <v>102.31784376499922</v>
      </c>
      <c r="U140" s="319">
        <f t="shared" si="49"/>
        <v>1000000000</v>
      </c>
      <c r="V140" s="319">
        <f t="shared" si="50"/>
        <v>61668038.409999996</v>
      </c>
      <c r="X140" s="345">
        <f t="shared" si="43"/>
        <v>18.858383914699157</v>
      </c>
      <c r="Y140" s="346">
        <f t="shared" si="44"/>
        <v>-36.564503345251175</v>
      </c>
      <c r="AA140" s="345">
        <f t="shared" si="45"/>
        <v>33.009532607712927</v>
      </c>
      <c r="AB140" s="346">
        <f t="shared" si="46"/>
        <v>-41.117652889749607</v>
      </c>
      <c r="AD140">
        <f t="shared" si="51"/>
        <v>0</v>
      </c>
      <c r="AE140">
        <f t="shared" si="52"/>
        <v>0</v>
      </c>
    </row>
    <row r="141" spans="1:31" x14ac:dyDescent="0.2">
      <c r="A141" s="347">
        <v>7943.3</v>
      </c>
      <c r="B141" s="364">
        <f t="shared" si="48"/>
        <v>7.9432999999999998</v>
      </c>
      <c r="C141" s="337">
        <f t="shared" ref="C141:C204" si="53">SQRT(1+(A141/pole1)^2)</f>
        <v>1.3324675867430171</v>
      </c>
      <c r="D141" s="338">
        <f t="shared" ref="D141:D204" si="54">ATAN(A141/pole1)</f>
        <v>0.7219972131349347</v>
      </c>
      <c r="E141" s="338">
        <f t="shared" ref="E141:E204" si="55">SQRT(1+(A141/Zero1)^2)</f>
        <v>1.0000001100493174</v>
      </c>
      <c r="F141" s="339">
        <f t="shared" ref="F141:F204" si="56">ATAN(A141/Zero1)</f>
        <v>4.6914668803929094E-4</v>
      </c>
      <c r="G141" s="338">
        <f t="shared" ref="G141:G204" si="57">IF(VIN_nom&gt;Vout, 1, SQRT(1+(A141/z_RHP)^2))</f>
        <v>1</v>
      </c>
      <c r="H141" s="339">
        <f t="shared" ref="H141:H204" si="58">IF(VIN_nom&gt;Vout, 0, -ATAN(A141/z_RHP))</f>
        <v>0</v>
      </c>
      <c r="I141" s="337">
        <f t="shared" ref="I141:I204" si="59">SQRT(1+(A141/Pole2)^2)</f>
        <v>15014.079134815125</v>
      </c>
      <c r="J141" s="340">
        <f t="shared" ref="J141:J204" si="60">ATAN(A141/Pole2)</f>
        <v>1.5707297226434358</v>
      </c>
      <c r="K141" s="348">
        <f t="shared" ref="K141:K147" si="61">SQRT(1+(A141/Zero2)^2)</f>
        <v>1.7074567277692261</v>
      </c>
      <c r="L141" s="349">
        <f t="shared" ref="L141:L147" si="62">ATAN(A141/Zero2)</f>
        <v>0.94509438265697443</v>
      </c>
      <c r="M141" s="337">
        <f t="shared" ref="M141:M204" si="63">SQRT(1+(A141/pole4)^2)</f>
        <v>1.0000257398275372</v>
      </c>
      <c r="N141" s="340">
        <f t="shared" ref="N141:N204" si="64">ATAN(A141/pole4)</f>
        <v>7.174855459679514E-3</v>
      </c>
      <c r="O141" s="341">
        <f t="shared" ref="O141:O204" si="65">SQRT((1-(V141/pterm2))^2+(A141/pterm1)^2)</f>
        <v>0.99994438684624276</v>
      </c>
      <c r="P141" s="342">
        <f t="shared" ref="P141:P204" si="66">IF((ATAN((A141/pterm1)/(1-A141^2/pterm2))&gt;0),ATAN((A141/pterm1)/(1-A141^2/pterm2)),PI()+ATAN((A141/pterm1)/(1-A141^2/pterm2)))</f>
        <v>1.7982669861670089E-3</v>
      </c>
      <c r="Q141" s="343">
        <f t="shared" ref="Q141:Q204" si="67">20*LOG10(((E141*K141*G141)/(C141*I141*O141*M141))*Adc)</f>
        <v>15.780247531871737</v>
      </c>
      <c r="R141" s="344">
        <f t="shared" ref="R141:R204" si="68">((F141+L141+H141)-(D141+J141+P141+N141))*radconv</f>
        <v>-77.70089963708584</v>
      </c>
      <c r="S141" s="346">
        <f t="shared" ref="S141:S204" si="69">IF(R141&gt;0,R141,R141+180)</f>
        <v>102.29910036291416</v>
      </c>
      <c r="U141" s="319">
        <f t="shared" si="49"/>
        <v>1000000000</v>
      </c>
      <c r="V141" s="319">
        <f t="shared" si="50"/>
        <v>63096014.890000001</v>
      </c>
      <c r="X141" s="345">
        <f t="shared" ref="X141:X204" si="70">20*LOG10((K141/(I141*M141))*AEA)</f>
        <v>18.824020941268675</v>
      </c>
      <c r="Y141" s="346">
        <f t="shared" ref="Y141:Y204" si="71">(L141-(J141+N141))*radconv</f>
        <v>-36.257353473342683</v>
      </c>
      <c r="AA141" s="345">
        <f t="shared" ref="AA141:AA204" si="72">20*LOG10((E141*G141/(C141*O141))*Acs*Am)</f>
        <v>32.966400554204526</v>
      </c>
      <c r="AB141" s="346">
        <f t="shared" ref="AB141:AB204" si="73">(F141+H141-(D141+P141))*radconv</f>
        <v>-41.443546163743164</v>
      </c>
      <c r="AD141">
        <f t="shared" si="51"/>
        <v>0</v>
      </c>
      <c r="AE141">
        <f t="shared" si="52"/>
        <v>0</v>
      </c>
    </row>
    <row r="142" spans="1:31" x14ac:dyDescent="0.2">
      <c r="A142" s="347">
        <v>8035.8</v>
      </c>
      <c r="B142" s="364">
        <f t="shared" ref="B142:B205" si="74">A142/1000</f>
        <v>8.0358000000000001</v>
      </c>
      <c r="C142" s="337">
        <f t="shared" si="53"/>
        <v>1.3392668796775116</v>
      </c>
      <c r="D142" s="338">
        <f t="shared" si="54"/>
        <v>0.72774369234565595</v>
      </c>
      <c r="E142" s="338">
        <f t="shared" si="55"/>
        <v>1.0000001126272968</v>
      </c>
      <c r="F142" s="339">
        <f t="shared" si="56"/>
        <v>4.7460991644113486E-4</v>
      </c>
      <c r="G142" s="338">
        <f t="shared" si="57"/>
        <v>1</v>
      </c>
      <c r="H142" s="339">
        <f t="shared" si="58"/>
        <v>0</v>
      </c>
      <c r="I142" s="337">
        <f t="shared" si="59"/>
        <v>15188.918598746361</v>
      </c>
      <c r="J142" s="340">
        <f t="shared" si="60"/>
        <v>1.5707304893230436</v>
      </c>
      <c r="K142" s="348">
        <f t="shared" si="61"/>
        <v>1.7205459058186872</v>
      </c>
      <c r="L142" s="349">
        <f t="shared" si="62"/>
        <v>0.95058040633860852</v>
      </c>
      <c r="M142" s="337">
        <f t="shared" si="63"/>
        <v>1.0000263427924343</v>
      </c>
      <c r="N142" s="340">
        <f t="shared" si="64"/>
        <v>7.2584039790888327E-3</v>
      </c>
      <c r="O142" s="341">
        <f t="shared" si="65"/>
        <v>0.99994308407275412</v>
      </c>
      <c r="P142" s="342">
        <f t="shared" si="66"/>
        <v>1.8192102598070332E-3</v>
      </c>
      <c r="Q142" s="343">
        <f t="shared" si="67"/>
        <v>15.701812210369994</v>
      </c>
      <c r="R142" s="344">
        <f t="shared" si="68"/>
        <v>-77.721540485988271</v>
      </c>
      <c r="S142" s="346">
        <f t="shared" si="69"/>
        <v>102.27845951401173</v>
      </c>
      <c r="U142" s="319">
        <f t="shared" ref="U142:U205" si="75">IF(Q142&lt;0,A142,1000000000)</f>
        <v>1000000000</v>
      </c>
      <c r="V142" s="319">
        <f t="shared" ref="V142:V205" si="76">A142^2</f>
        <v>64574081.640000001</v>
      </c>
      <c r="X142" s="345">
        <f t="shared" si="70"/>
        <v>18.789783790794896</v>
      </c>
      <c r="Y142" s="346">
        <f t="shared" si="71"/>
        <v>-35.947858374775066</v>
      </c>
      <c r="AA142" s="345">
        <f t="shared" si="72"/>
        <v>32.922202383176568</v>
      </c>
      <c r="AB142" s="346">
        <f t="shared" si="73"/>
        <v>-41.773682111213212</v>
      </c>
      <c r="AD142">
        <f t="shared" ref="AD142:AD205" si="77">SUM((Q143&lt;0)*(Q142&gt;0))*A142</f>
        <v>0</v>
      </c>
      <c r="AE142">
        <f t="shared" si="52"/>
        <v>0</v>
      </c>
    </row>
    <row r="143" spans="1:31" x14ac:dyDescent="0.2">
      <c r="A143" s="347">
        <v>8128.3</v>
      </c>
      <c r="B143" s="364">
        <f t="shared" si="74"/>
        <v>8.1282999999999994</v>
      </c>
      <c r="C143" s="337">
        <f t="shared" si="53"/>
        <v>1.3461099502972327</v>
      </c>
      <c r="D143" s="338">
        <f t="shared" si="54"/>
        <v>0.73343193232532788</v>
      </c>
      <c r="E143" s="338">
        <f t="shared" si="55"/>
        <v>1.0000001152351232</v>
      </c>
      <c r="F143" s="339">
        <f t="shared" si="56"/>
        <v>4.8007314481464749E-4</v>
      </c>
      <c r="G143" s="338">
        <f t="shared" si="57"/>
        <v>1</v>
      </c>
      <c r="H143" s="339">
        <f t="shared" si="58"/>
        <v>0</v>
      </c>
      <c r="I143" s="337">
        <f t="shared" si="59"/>
        <v>15363.758062686318</v>
      </c>
      <c r="J143" s="340">
        <f t="shared" si="60"/>
        <v>1.5707312385530339</v>
      </c>
      <c r="K143" s="348">
        <f t="shared" si="61"/>
        <v>1.73368608339679</v>
      </c>
      <c r="L143" s="349">
        <f t="shared" si="62"/>
        <v>0.95598342982862672</v>
      </c>
      <c r="M143" s="337">
        <f t="shared" si="63"/>
        <v>1.0000269527378622</v>
      </c>
      <c r="N143" s="340">
        <f t="shared" si="64"/>
        <v>7.3419523971640201E-3</v>
      </c>
      <c r="O143" s="341">
        <f t="shared" si="65"/>
        <v>0.99994176621634678</v>
      </c>
      <c r="P143" s="342">
        <f t="shared" si="66"/>
        <v>1.8401536165733999E-3</v>
      </c>
      <c r="Q143" s="343">
        <f t="shared" si="67"/>
        <v>15.624222139139787</v>
      </c>
      <c r="R143" s="344">
        <f t="shared" si="68"/>
        <v>-77.743599032598425</v>
      </c>
      <c r="S143" s="346">
        <f t="shared" si="69"/>
        <v>102.25640096740158</v>
      </c>
      <c r="U143" s="319">
        <f t="shared" si="75"/>
        <v>1000000000</v>
      </c>
      <c r="V143" s="319">
        <f t="shared" si="76"/>
        <v>66069260.890000001</v>
      </c>
      <c r="X143" s="345">
        <f t="shared" si="70"/>
        <v>18.756450364262697</v>
      </c>
      <c r="Y143" s="346">
        <f t="shared" si="71"/>
        <v>-35.643117831295797</v>
      </c>
      <c r="AA143" s="345">
        <f t="shared" si="72"/>
        <v>32.877945738478559</v>
      </c>
      <c r="AB143" s="346">
        <f t="shared" si="73"/>
        <v>-42.100481201302649</v>
      </c>
      <c r="AD143">
        <f t="shared" si="77"/>
        <v>0</v>
      </c>
      <c r="AE143">
        <f t="shared" si="52"/>
        <v>0</v>
      </c>
    </row>
    <row r="144" spans="1:31" x14ac:dyDescent="0.2">
      <c r="A144" s="347">
        <v>8222.9500000000007</v>
      </c>
      <c r="B144" s="364">
        <f t="shared" si="74"/>
        <v>8.2229500000000009</v>
      </c>
      <c r="C144" s="337">
        <f t="shared" si="53"/>
        <v>1.3531566990314439</v>
      </c>
      <c r="D144" s="338">
        <f t="shared" si="54"/>
        <v>0.7391926407331022</v>
      </c>
      <c r="E144" s="338">
        <f t="shared" si="55"/>
        <v>1.0000001179344595</v>
      </c>
      <c r="F144" s="339">
        <f t="shared" si="56"/>
        <v>4.8566335630447231E-4</v>
      </c>
      <c r="G144" s="338">
        <f t="shared" si="57"/>
        <v>1</v>
      </c>
      <c r="H144" s="339">
        <f t="shared" si="58"/>
        <v>0</v>
      </c>
      <c r="I144" s="337">
        <f t="shared" si="59"/>
        <v>15542.661362823877</v>
      </c>
      <c r="J144" s="340">
        <f t="shared" si="60"/>
        <v>1.5707319877491344</v>
      </c>
      <c r="K144" s="348">
        <f t="shared" si="61"/>
        <v>1.7471832723630178</v>
      </c>
      <c r="L144" s="349">
        <f t="shared" si="62"/>
        <v>0.96142774896778949</v>
      </c>
      <c r="M144" s="337">
        <f t="shared" si="63"/>
        <v>1.0000275840861781</v>
      </c>
      <c r="N144" s="340">
        <f t="shared" si="64"/>
        <v>7.4274426453320806E-3</v>
      </c>
      <c r="O144" s="341">
        <f t="shared" si="65"/>
        <v>0.99994040211582902</v>
      </c>
      <c r="P144" s="342">
        <f t="shared" si="66"/>
        <v>1.861583851920945E-3</v>
      </c>
      <c r="Q144" s="343">
        <f t="shared" si="67"/>
        <v>15.545678874992788</v>
      </c>
      <c r="R144" s="344">
        <f t="shared" si="68"/>
        <v>-77.76757552509909</v>
      </c>
      <c r="S144" s="346">
        <f t="shared" si="69"/>
        <v>102.23242447490091</v>
      </c>
      <c r="U144" s="319">
        <f t="shared" si="75"/>
        <v>1000000000</v>
      </c>
      <c r="V144" s="319">
        <f t="shared" si="76"/>
        <v>67616906.702500015</v>
      </c>
      <c r="X144" s="345">
        <f t="shared" si="70"/>
        <v>18.723246375700139</v>
      </c>
      <c r="Y144" s="346">
        <f t="shared" si="71"/>
        <v>-35.336122478132815</v>
      </c>
      <c r="AA144" s="345">
        <f t="shared" si="72"/>
        <v>32.83260646289412</v>
      </c>
      <c r="AB144" s="346">
        <f t="shared" si="73"/>
        <v>-42.431453046966269</v>
      </c>
      <c r="AD144">
        <f t="shared" si="77"/>
        <v>0</v>
      </c>
      <c r="AE144">
        <f t="shared" si="52"/>
        <v>0</v>
      </c>
    </row>
    <row r="145" spans="1:31" x14ac:dyDescent="0.2">
      <c r="A145" s="347">
        <v>8270.2750000000015</v>
      </c>
      <c r="B145" s="364">
        <f t="shared" si="74"/>
        <v>8.2702750000000016</v>
      </c>
      <c r="C145" s="337">
        <f t="shared" si="53"/>
        <v>1.3566967816252211</v>
      </c>
      <c r="D145" s="338">
        <f t="shared" si="54"/>
        <v>0.7420505064991183</v>
      </c>
      <c r="E145" s="338">
        <f t="shared" si="55"/>
        <v>1.0000001192958463</v>
      </c>
      <c r="F145" s="339">
        <f t="shared" si="56"/>
        <v>4.8845846203802372E-4</v>
      </c>
      <c r="G145" s="338">
        <f t="shared" si="57"/>
        <v>1</v>
      </c>
      <c r="H145" s="339">
        <f t="shared" si="58"/>
        <v>0</v>
      </c>
      <c r="I145" s="337">
        <f t="shared" si="59"/>
        <v>15632.113012895872</v>
      </c>
      <c r="J145" s="340">
        <f t="shared" si="60"/>
        <v>1.5707323559164967</v>
      </c>
      <c r="K145" s="348">
        <f t="shared" si="61"/>
        <v>1.7539510628653441</v>
      </c>
      <c r="L145" s="349">
        <f t="shared" si="62"/>
        <v>0.96411844692562976</v>
      </c>
      <c r="M145" s="337">
        <f t="shared" si="63"/>
        <v>1.0000279025011274</v>
      </c>
      <c r="N145" s="340">
        <f t="shared" si="64"/>
        <v>7.4701877287804436E-3</v>
      </c>
      <c r="O145" s="341">
        <f t="shared" si="65"/>
        <v>0.9999397141434907</v>
      </c>
      <c r="P145" s="342">
        <f t="shared" si="66"/>
        <v>1.8722990029293599E-3</v>
      </c>
      <c r="Q145" s="343">
        <f t="shared" si="67"/>
        <v>15.506722192030228</v>
      </c>
      <c r="R145" s="344">
        <f t="shared" si="68"/>
        <v>-77.780077527472628</v>
      </c>
      <c r="S145" s="346">
        <f t="shared" si="69"/>
        <v>102.21992247252737</v>
      </c>
      <c r="U145" s="319">
        <f t="shared" si="75"/>
        <v>1000000000</v>
      </c>
      <c r="V145" s="319">
        <f t="shared" si="76"/>
        <v>68397448.575625017</v>
      </c>
      <c r="X145" s="345">
        <f t="shared" si="70"/>
        <v>18.706977761559852</v>
      </c>
      <c r="Y145" s="346">
        <f t="shared" si="71"/>
        <v>-35.184427048343302</v>
      </c>
      <c r="AA145" s="345">
        <f t="shared" si="72"/>
        <v>32.809918394071843</v>
      </c>
      <c r="AB145" s="346">
        <f t="shared" si="73"/>
        <v>-42.59565047912934</v>
      </c>
      <c r="AD145">
        <f t="shared" si="77"/>
        <v>0</v>
      </c>
      <c r="AE145">
        <f t="shared" si="52"/>
        <v>0</v>
      </c>
    </row>
    <row r="146" spans="1:31" x14ac:dyDescent="0.2">
      <c r="A146" s="347">
        <v>8317.6</v>
      </c>
      <c r="B146" s="364">
        <f t="shared" si="74"/>
        <v>8.3176000000000005</v>
      </c>
      <c r="C146" s="337">
        <f t="shared" si="53"/>
        <v>1.3602478871716772</v>
      </c>
      <c r="D146" s="338">
        <f t="shared" si="54"/>
        <v>0.74489347371703907</v>
      </c>
      <c r="E146" s="338">
        <f t="shared" si="55"/>
        <v>1.000000120665046</v>
      </c>
      <c r="F146" s="339">
        <f t="shared" si="56"/>
        <v>4.9125356776394261E-4</v>
      </c>
      <c r="G146" s="338">
        <f t="shared" si="57"/>
        <v>1</v>
      </c>
      <c r="H146" s="339">
        <f t="shared" si="58"/>
        <v>0</v>
      </c>
      <c r="I146" s="337">
        <f t="shared" si="59"/>
        <v>15721.56466296996</v>
      </c>
      <c r="J146" s="340">
        <f t="shared" si="60"/>
        <v>1.5707327198943042</v>
      </c>
      <c r="K146" s="348">
        <f t="shared" si="61"/>
        <v>1.7607314540482506</v>
      </c>
      <c r="L146" s="349">
        <f t="shared" si="62"/>
        <v>0.96678844090179772</v>
      </c>
      <c r="M146" s="337">
        <f t="shared" si="63"/>
        <v>1.0000282227432689</v>
      </c>
      <c r="N146" s="340">
        <f t="shared" si="64"/>
        <v>7.512932784930126E-3</v>
      </c>
      <c r="O146" s="341">
        <f t="shared" si="65"/>
        <v>0.99993902222309983</v>
      </c>
      <c r="P146" s="342">
        <f t="shared" si="66"/>
        <v>1.8830141763317967E-3</v>
      </c>
      <c r="Q146" s="343">
        <f t="shared" si="67"/>
        <v>15.46797153875697</v>
      </c>
      <c r="R146" s="344">
        <f t="shared" si="68"/>
        <v>-77.792911916364403</v>
      </c>
      <c r="S146" s="346">
        <f t="shared" si="69"/>
        <v>102.2070880836356</v>
      </c>
      <c r="U146" s="319">
        <f t="shared" si="75"/>
        <v>1000000000</v>
      </c>
      <c r="V146" s="319">
        <f t="shared" si="76"/>
        <v>69182469.760000005</v>
      </c>
      <c r="X146" s="345">
        <f t="shared" si="70"/>
        <v>18.69092639089909</v>
      </c>
      <c r="Y146" s="346">
        <f t="shared" si="71"/>
        <v>-35.033917627716178</v>
      </c>
      <c r="AA146" s="345">
        <f t="shared" si="72"/>
        <v>32.787219111459351</v>
      </c>
      <c r="AB146" s="346">
        <f t="shared" si="73"/>
        <v>-42.758994288648218</v>
      </c>
      <c r="AD146">
        <f t="shared" si="77"/>
        <v>0</v>
      </c>
      <c r="AE146">
        <f t="shared" si="52"/>
        <v>0</v>
      </c>
    </row>
    <row r="147" spans="1:31" x14ac:dyDescent="0.2">
      <c r="A147" s="347">
        <v>8366.0499999999993</v>
      </c>
      <c r="B147" s="364">
        <f t="shared" si="74"/>
        <v>8.3660499999999995</v>
      </c>
      <c r="C147" s="337">
        <f t="shared" si="53"/>
        <v>1.3638947380738868</v>
      </c>
      <c r="D147" s="338">
        <f t="shared" si="54"/>
        <v>0.74778866307160863</v>
      </c>
      <c r="E147" s="338">
        <f t="shared" si="55"/>
        <v>1.0000001220748873</v>
      </c>
      <c r="F147" s="339">
        <f t="shared" si="56"/>
        <v>4.9411511815051297E-4</v>
      </c>
      <c r="G147" s="338">
        <f t="shared" si="57"/>
        <v>1</v>
      </c>
      <c r="H147" s="339">
        <f t="shared" si="58"/>
        <v>0</v>
      </c>
      <c r="I147" s="337">
        <f t="shared" si="59"/>
        <v>15813.142738959192</v>
      </c>
      <c r="J147" s="340">
        <f t="shared" si="60"/>
        <v>1.570733088258625</v>
      </c>
      <c r="K147" s="348">
        <f t="shared" si="61"/>
        <v>1.7676859294217768</v>
      </c>
      <c r="L147" s="349">
        <f t="shared" si="62"/>
        <v>0.96950066658183243</v>
      </c>
      <c r="M147" s="337">
        <f t="shared" si="63"/>
        <v>1.0000285524909993</v>
      </c>
      <c r="N147" s="340">
        <f t="shared" si="64"/>
        <v>7.556693939169812E-3</v>
      </c>
      <c r="O147" s="341">
        <f t="shared" si="65"/>
        <v>0.99993830976457621</v>
      </c>
      <c r="P147" s="342">
        <f t="shared" si="66"/>
        <v>1.8939840919275565E-3</v>
      </c>
      <c r="Q147" s="343">
        <f t="shared" si="67"/>
        <v>15.428510148750174</v>
      </c>
      <c r="R147" s="344">
        <f t="shared" si="68"/>
        <v>-77.806387973005542</v>
      </c>
      <c r="S147" s="346">
        <f t="shared" si="69"/>
        <v>102.19361202699446</v>
      </c>
      <c r="U147" s="319">
        <f t="shared" si="75"/>
        <v>1000000000</v>
      </c>
      <c r="V147" s="319">
        <f t="shared" si="76"/>
        <v>69990792.602499992</v>
      </c>
      <c r="X147" s="345">
        <f t="shared" si="70"/>
        <v>18.674714677279173</v>
      </c>
      <c r="Y147" s="346">
        <f t="shared" si="71"/>
        <v>-34.881046978153968</v>
      </c>
      <c r="AA147" s="345">
        <f t="shared" si="72"/>
        <v>32.763969435072468</v>
      </c>
      <c r="AB147" s="346">
        <f t="shared" si="73"/>
        <v>-42.925340994851574</v>
      </c>
      <c r="AD147">
        <f t="shared" si="77"/>
        <v>0</v>
      </c>
      <c r="AE147">
        <f t="shared" si="52"/>
        <v>0</v>
      </c>
    </row>
    <row r="148" spans="1:31" x14ac:dyDescent="0.2">
      <c r="A148" s="350">
        <v>8414.5</v>
      </c>
      <c r="B148" s="364">
        <f t="shared" si="74"/>
        <v>8.4145000000000003</v>
      </c>
      <c r="C148" s="337">
        <f t="shared" si="53"/>
        <v>1.3675529602784868</v>
      </c>
      <c r="D148" s="338">
        <f t="shared" si="54"/>
        <v>0.75066838711761041</v>
      </c>
      <c r="E148" s="338">
        <f t="shared" si="55"/>
        <v>1.0000001234929172</v>
      </c>
      <c r="F148" s="339">
        <f t="shared" si="56"/>
        <v>4.9697666852899117E-4</v>
      </c>
      <c r="G148" s="338">
        <f t="shared" si="57"/>
        <v>1</v>
      </c>
      <c r="H148" s="339">
        <f t="shared" si="58"/>
        <v>0</v>
      </c>
      <c r="I148" s="337">
        <f t="shared" si="59"/>
        <v>15904.720814950551</v>
      </c>
      <c r="J148" s="340">
        <f t="shared" si="60"/>
        <v>1.5707334523809227</v>
      </c>
      <c r="K148" s="348">
        <f t="shared" ref="K148:K157" si="78">SQRT(1+(A148/Zero2)^2)</f>
        <v>1.7746533062197916</v>
      </c>
      <c r="L148" s="349">
        <f t="shared" ref="L148:L157" si="79">ATAN(A148/Zero2)</f>
        <v>0.97219161526295017</v>
      </c>
      <c r="M148" s="337">
        <f t="shared" si="63"/>
        <v>1.0000288841538216</v>
      </c>
      <c r="N148" s="340">
        <f t="shared" si="64"/>
        <v>7.6004550644662473E-3</v>
      </c>
      <c r="O148" s="341">
        <f t="shared" si="65"/>
        <v>0.99993759316806552</v>
      </c>
      <c r="P148" s="342">
        <f t="shared" si="66"/>
        <v>1.9049540312666088E-3</v>
      </c>
      <c r="Q148" s="343">
        <f t="shared" si="67"/>
        <v>15.389258675205442</v>
      </c>
      <c r="R148" s="344">
        <f t="shared" si="68"/>
        <v>-77.820196771628417</v>
      </c>
      <c r="S148" s="346">
        <f t="shared" si="69"/>
        <v>102.17980322837158</v>
      </c>
      <c r="U148" s="319">
        <f t="shared" si="75"/>
        <v>1000000000</v>
      </c>
      <c r="V148" s="319">
        <f t="shared" si="76"/>
        <v>70803810.25</v>
      </c>
      <c r="X148" s="345">
        <f t="shared" si="70"/>
        <v>18.658722968411013</v>
      </c>
      <c r="Y148" s="346">
        <f t="shared" si="71"/>
        <v>-34.729395166123446</v>
      </c>
      <c r="AA148" s="345">
        <f t="shared" si="72"/>
        <v>32.740709670395894</v>
      </c>
      <c r="AB148" s="346">
        <f t="shared" si="73"/>
        <v>-43.090801605504971</v>
      </c>
      <c r="AD148">
        <f t="shared" si="77"/>
        <v>0</v>
      </c>
      <c r="AE148">
        <f t="shared" si="52"/>
        <v>0</v>
      </c>
    </row>
    <row r="149" spans="1:31" x14ac:dyDescent="0.2">
      <c r="A149" s="350">
        <v>8462.9500000000007</v>
      </c>
      <c r="B149" s="364">
        <f t="shared" si="74"/>
        <v>8.4629500000000011</v>
      </c>
      <c r="C149" s="337">
        <f t="shared" si="53"/>
        <v>1.3712224627745346</v>
      </c>
      <c r="D149" s="338">
        <f t="shared" si="54"/>
        <v>0.75353272206121602</v>
      </c>
      <c r="E149" s="338">
        <f t="shared" si="55"/>
        <v>1.0000001249191355</v>
      </c>
      <c r="F149" s="339">
        <f t="shared" si="56"/>
        <v>4.9983821889933047E-4</v>
      </c>
      <c r="G149" s="338">
        <f t="shared" si="57"/>
        <v>1</v>
      </c>
      <c r="H149" s="339">
        <f t="shared" si="58"/>
        <v>0</v>
      </c>
      <c r="I149" s="337">
        <f t="shared" si="59"/>
        <v>15996.298890943994</v>
      </c>
      <c r="J149" s="340">
        <f t="shared" si="60"/>
        <v>1.5707338123340535</v>
      </c>
      <c r="K149" s="348">
        <f t="shared" si="78"/>
        <v>1.7816334330827386</v>
      </c>
      <c r="L149" s="349">
        <f t="shared" si="79"/>
        <v>0.97486149782271203</v>
      </c>
      <c r="M149" s="337">
        <f t="shared" si="63"/>
        <v>1.0000292177317343</v>
      </c>
      <c r="N149" s="340">
        <f t="shared" si="64"/>
        <v>7.6442161606518483E-3</v>
      </c>
      <c r="O149" s="341">
        <f t="shared" si="65"/>
        <v>0.99993687243356844</v>
      </c>
      <c r="P149" s="342">
        <f t="shared" si="66"/>
        <v>1.9159239944865143E-3</v>
      </c>
      <c r="Q149" s="343">
        <f t="shared" si="67"/>
        <v>15.350214169651608</v>
      </c>
      <c r="R149" s="344">
        <f t="shared" si="68"/>
        <v>-77.834330600303446</v>
      </c>
      <c r="S149" s="346">
        <f t="shared" si="69"/>
        <v>102.16566939969655</v>
      </c>
      <c r="U149" s="319">
        <f t="shared" si="75"/>
        <v>1000000000</v>
      </c>
      <c r="V149" s="319">
        <f t="shared" si="76"/>
        <v>71621522.702500015</v>
      </c>
      <c r="X149" s="345">
        <f t="shared" si="70"/>
        <v>18.642947492030235</v>
      </c>
      <c r="Y149" s="346">
        <f t="shared" si="71"/>
        <v>-34.578950113395123</v>
      </c>
      <c r="AA149" s="345">
        <f t="shared" si="72"/>
        <v>32.717440641222836</v>
      </c>
      <c r="AB149" s="346">
        <f t="shared" si="73"/>
        <v>-43.255380486908308</v>
      </c>
      <c r="AD149">
        <f t="shared" si="77"/>
        <v>0</v>
      </c>
      <c r="AE149">
        <f t="shared" si="52"/>
        <v>0</v>
      </c>
    </row>
    <row r="150" spans="1:31" x14ac:dyDescent="0.2">
      <c r="A150" s="350">
        <v>8511.4</v>
      </c>
      <c r="B150" s="364">
        <f t="shared" si="74"/>
        <v>8.5114000000000001</v>
      </c>
      <c r="C150" s="337">
        <f t="shared" si="53"/>
        <v>1.3749031552435462</v>
      </c>
      <c r="D150" s="338">
        <f t="shared" si="54"/>
        <v>0.75638174430638416</v>
      </c>
      <c r="E150" s="338">
        <f t="shared" si="55"/>
        <v>1.0000001263535423</v>
      </c>
      <c r="F150" s="339">
        <f t="shared" si="56"/>
        <v>5.0269976926148384E-4</v>
      </c>
      <c r="G150" s="338">
        <f t="shared" si="57"/>
        <v>1</v>
      </c>
      <c r="H150" s="339">
        <f t="shared" si="58"/>
        <v>0</v>
      </c>
      <c r="I150" s="337">
        <f t="shared" si="59"/>
        <v>16087.876966939482</v>
      </c>
      <c r="J150" s="340">
        <f t="shared" si="60"/>
        <v>1.5707341681892149</v>
      </c>
      <c r="K150" s="348">
        <f t="shared" si="78"/>
        <v>1.7886261607389553</v>
      </c>
      <c r="L150" s="349">
        <f t="shared" si="79"/>
        <v>0.97751052305129082</v>
      </c>
      <c r="M150" s="337">
        <f t="shared" si="63"/>
        <v>1.000029553224735</v>
      </c>
      <c r="N150" s="340">
        <f t="shared" si="64"/>
        <v>7.6879772275590379E-3</v>
      </c>
      <c r="O150" s="341">
        <f t="shared" si="65"/>
        <v>0.9999361475610854</v>
      </c>
      <c r="P150" s="342">
        <f t="shared" si="66"/>
        <v>1.9268939817248334E-3</v>
      </c>
      <c r="Q150" s="343">
        <f t="shared" si="67"/>
        <v>15.311373748200189</v>
      </c>
      <c r="R150" s="344">
        <f t="shared" si="68"/>
        <v>-77.848781877936801</v>
      </c>
      <c r="S150" s="346">
        <f t="shared" si="69"/>
        <v>102.1512181220632</v>
      </c>
      <c r="U150" s="319">
        <f t="shared" si="75"/>
        <v>1000000000</v>
      </c>
      <c r="V150" s="319">
        <f t="shared" si="76"/>
        <v>72443929.959999993</v>
      </c>
      <c r="X150" s="345">
        <f t="shared" si="70"/>
        <v>18.627384552737478</v>
      </c>
      <c r="Y150" s="346">
        <f t="shared" si="71"/>
        <v>-34.429699861242973</v>
      </c>
      <c r="AA150" s="345">
        <f t="shared" si="72"/>
        <v>32.694163159064182</v>
      </c>
      <c r="AB150" s="346">
        <f t="shared" si="73"/>
        <v>-43.419082016693835</v>
      </c>
      <c r="AD150">
        <f t="shared" si="77"/>
        <v>0</v>
      </c>
      <c r="AE150">
        <f t="shared" si="52"/>
        <v>0</v>
      </c>
    </row>
    <row r="151" spans="1:31" x14ac:dyDescent="0.2">
      <c r="A151" s="350">
        <v>8560.9500000000007</v>
      </c>
      <c r="B151" s="364">
        <f t="shared" si="74"/>
        <v>8.5609500000000001</v>
      </c>
      <c r="C151" s="337">
        <f t="shared" si="53"/>
        <v>1.3786788940246721</v>
      </c>
      <c r="D151" s="338">
        <f t="shared" si="54"/>
        <v>0.7592796919169349</v>
      </c>
      <c r="E151" s="338">
        <f t="shared" si="55"/>
        <v>1.000000127828985</v>
      </c>
      <c r="F151" s="339">
        <f t="shared" si="56"/>
        <v>5.0562628773479922E-4</v>
      </c>
      <c r="G151" s="338">
        <f t="shared" si="57"/>
        <v>1</v>
      </c>
      <c r="H151" s="339">
        <f t="shared" si="58"/>
        <v>0</v>
      </c>
      <c r="I151" s="337">
        <f t="shared" si="59"/>
        <v>16181.534214941083</v>
      </c>
      <c r="J151" s="340">
        <f t="shared" si="60"/>
        <v>1.5707345279575704</v>
      </c>
      <c r="K151" s="348">
        <f t="shared" si="78"/>
        <v>1.7957905297783314</v>
      </c>
      <c r="L151" s="349">
        <f t="shared" si="79"/>
        <v>0.98019833365968201</v>
      </c>
      <c r="M151" s="337">
        <f t="shared" si="63"/>
        <v>1.0000298983155074</v>
      </c>
      <c r="N151" s="340">
        <f t="shared" si="64"/>
        <v>7.7327318073232487E-3</v>
      </c>
      <c r="O151" s="341">
        <f t="shared" si="65"/>
        <v>0.99993540195125519</v>
      </c>
      <c r="P151" s="342">
        <f t="shared" si="66"/>
        <v>1.9381130545468549E-3</v>
      </c>
      <c r="Q151" s="343">
        <f t="shared" si="67"/>
        <v>15.271859648302327</v>
      </c>
      <c r="R151" s="344">
        <f t="shared" si="68"/>
        <v>-77.863881831405664</v>
      </c>
      <c r="S151" s="346">
        <f t="shared" si="69"/>
        <v>102.13611816859434</v>
      </c>
      <c r="U151" s="319">
        <f t="shared" si="75"/>
        <v>1000000000</v>
      </c>
      <c r="V151" s="319">
        <f t="shared" si="76"/>
        <v>73289864.902500018</v>
      </c>
      <c r="X151" s="345">
        <f t="shared" si="70"/>
        <v>18.611684332807638</v>
      </c>
      <c r="Y151" s="346">
        <f t="shared" si="71"/>
        <v>-34.278284518821394</v>
      </c>
      <c r="AA151" s="345">
        <f t="shared" si="72"/>
        <v>32.67034927909615</v>
      </c>
      <c r="AB151" s="346">
        <f t="shared" si="73"/>
        <v>-43.585597312584248</v>
      </c>
      <c r="AD151">
        <f t="shared" si="77"/>
        <v>0</v>
      </c>
      <c r="AE151">
        <f t="shared" si="52"/>
        <v>0</v>
      </c>
    </row>
    <row r="152" spans="1:31" x14ac:dyDescent="0.2">
      <c r="A152" s="350">
        <v>8610.5</v>
      </c>
      <c r="B152" s="364">
        <f t="shared" si="74"/>
        <v>8.6105</v>
      </c>
      <c r="C152" s="337">
        <f t="shared" si="53"/>
        <v>1.3824661477886302</v>
      </c>
      <c r="D152" s="338">
        <f t="shared" si="54"/>
        <v>0.76216178581774974</v>
      </c>
      <c r="E152" s="338">
        <f t="shared" si="55"/>
        <v>1.0000001293129923</v>
      </c>
      <c r="F152" s="339">
        <f t="shared" si="56"/>
        <v>5.0855280619945345E-4</v>
      </c>
      <c r="G152" s="338">
        <f t="shared" si="57"/>
        <v>1</v>
      </c>
      <c r="H152" s="339">
        <f t="shared" si="58"/>
        <v>0</v>
      </c>
      <c r="I152" s="337">
        <f t="shared" si="59"/>
        <v>16275.191462944749</v>
      </c>
      <c r="J152" s="340">
        <f t="shared" si="60"/>
        <v>1.5707348835852788</v>
      </c>
      <c r="K152" s="348">
        <f t="shared" si="78"/>
        <v>1.8029677690358621</v>
      </c>
      <c r="L152" s="349">
        <f t="shared" si="79"/>
        <v>0.98286476417503643</v>
      </c>
      <c r="M152" s="337">
        <f t="shared" si="63"/>
        <v>1.0000302454093106</v>
      </c>
      <c r="N152" s="340">
        <f t="shared" si="64"/>
        <v>7.7774863561099646E-3</v>
      </c>
      <c r="O152" s="341">
        <f t="shared" si="65"/>
        <v>0.99993465201341103</v>
      </c>
      <c r="P152" s="342">
        <f t="shared" si="66"/>
        <v>1.9493321527813167E-3</v>
      </c>
      <c r="Q152" s="343">
        <f t="shared" si="67"/>
        <v>15.232553103111602</v>
      </c>
      <c r="R152" s="344">
        <f t="shared" si="68"/>
        <v>-77.87929818575401</v>
      </c>
      <c r="S152" s="346">
        <f t="shared" si="69"/>
        <v>102.12070181424599</v>
      </c>
      <c r="U152" s="319">
        <f t="shared" si="75"/>
        <v>1000000000</v>
      </c>
      <c r="V152" s="319">
        <f t="shared" si="76"/>
        <v>74140710.25</v>
      </c>
      <c r="X152" s="345">
        <f t="shared" si="70"/>
        <v>18.596198830768703</v>
      </c>
      <c r="Y152" s="346">
        <f t="shared" si="71"/>
        <v>-34.128093926481334</v>
      </c>
      <c r="AA152" s="345">
        <f t="shared" si="72"/>
        <v>32.646528235944366</v>
      </c>
      <c r="AB152" s="346">
        <f t="shared" si="73"/>
        <v>-43.751204259272662</v>
      </c>
      <c r="AD152">
        <f t="shared" si="77"/>
        <v>0</v>
      </c>
      <c r="AE152">
        <f t="shared" si="52"/>
        <v>0</v>
      </c>
    </row>
    <row r="153" spans="1:31" x14ac:dyDescent="0.2">
      <c r="A153" s="350">
        <v>8660.0499999999993</v>
      </c>
      <c r="B153" s="364">
        <f t="shared" si="74"/>
        <v>8.66005</v>
      </c>
      <c r="C153" s="337">
        <f t="shared" si="53"/>
        <v>1.386264822159166</v>
      </c>
      <c r="D153" s="338">
        <f t="shared" si="54"/>
        <v>0.76502810826068823</v>
      </c>
      <c r="E153" s="338">
        <f t="shared" si="55"/>
        <v>1.0000001308055639</v>
      </c>
      <c r="F153" s="339">
        <f t="shared" si="56"/>
        <v>5.1147932465539676E-4</v>
      </c>
      <c r="G153" s="338">
        <f t="shared" si="57"/>
        <v>1</v>
      </c>
      <c r="H153" s="339">
        <f t="shared" si="58"/>
        <v>0</v>
      </c>
      <c r="I153" s="337">
        <f t="shared" si="59"/>
        <v>16368.848710950451</v>
      </c>
      <c r="J153" s="340">
        <f t="shared" si="60"/>
        <v>1.5707352351434138</v>
      </c>
      <c r="K153" s="348">
        <f t="shared" si="78"/>
        <v>1.8101577254210799</v>
      </c>
      <c r="L153" s="349">
        <f t="shared" si="79"/>
        <v>0.98551003122045844</v>
      </c>
      <c r="M153" s="337">
        <f t="shared" si="63"/>
        <v>1.000030594506143</v>
      </c>
      <c r="N153" s="340">
        <f t="shared" si="64"/>
        <v>7.8222408737399357E-3</v>
      </c>
      <c r="O153" s="341">
        <f t="shared" si="65"/>
        <v>0.99993389774755337</v>
      </c>
      <c r="P153" s="342">
        <f t="shared" si="66"/>
        <v>1.9605512765753673E-3</v>
      </c>
      <c r="Q153" s="343">
        <f t="shared" si="67"/>
        <v>15.193451226590295</v>
      </c>
      <c r="R153" s="344">
        <f t="shared" si="68"/>
        <v>-77.895023246147034</v>
      </c>
      <c r="S153" s="346">
        <f t="shared" si="69"/>
        <v>102.10497675385297</v>
      </c>
      <c r="U153" s="319">
        <f t="shared" si="75"/>
        <v>1000000000</v>
      </c>
      <c r="V153" s="319">
        <f t="shared" si="76"/>
        <v>74996466.002499983</v>
      </c>
      <c r="X153" s="345">
        <f t="shared" si="70"/>
        <v>18.580924331657329</v>
      </c>
      <c r="Y153" s="346">
        <f t="shared" si="71"/>
        <v>-33.979115676695109</v>
      </c>
      <c r="AA153" s="345">
        <f t="shared" si="72"/>
        <v>32.622700858534436</v>
      </c>
      <c r="AB153" s="346">
        <f t="shared" si="73"/>
        <v>-43.915907569451896</v>
      </c>
      <c r="AD153">
        <f t="shared" si="77"/>
        <v>0</v>
      </c>
      <c r="AE153">
        <f t="shared" si="52"/>
        <v>0</v>
      </c>
    </row>
    <row r="154" spans="1:31" x14ac:dyDescent="0.2">
      <c r="A154" s="350">
        <v>8709.6</v>
      </c>
      <c r="B154" s="364">
        <f t="shared" si="74"/>
        <v>8.7096</v>
      </c>
      <c r="C154" s="337">
        <f t="shared" si="53"/>
        <v>1.3900748235085916</v>
      </c>
      <c r="D154" s="338">
        <f t="shared" si="54"/>
        <v>0.76787874163650249</v>
      </c>
      <c r="E154" s="338">
        <f t="shared" si="55"/>
        <v>1.0000001323067003</v>
      </c>
      <c r="F154" s="339">
        <f t="shared" si="56"/>
        <v>5.1440584310257908E-4</v>
      </c>
      <c r="G154" s="338">
        <f t="shared" si="57"/>
        <v>1</v>
      </c>
      <c r="H154" s="339">
        <f t="shared" si="58"/>
        <v>0</v>
      </c>
      <c r="I154" s="337">
        <f t="shared" si="59"/>
        <v>16462.505958958154</v>
      </c>
      <c r="J154" s="340">
        <f t="shared" si="60"/>
        <v>1.5707355827014331</v>
      </c>
      <c r="K154" s="348">
        <f t="shared" si="78"/>
        <v>1.8173602479970592</v>
      </c>
      <c r="L154" s="349">
        <f t="shared" si="79"/>
        <v>0.98813434917882415</v>
      </c>
      <c r="M154" s="337">
        <f t="shared" si="63"/>
        <v>1.0000309456060017</v>
      </c>
      <c r="N154" s="340">
        <f t="shared" si="64"/>
        <v>7.866995360033914E-3</v>
      </c>
      <c r="O154" s="341">
        <f t="shared" si="65"/>
        <v>0.99993313915368287</v>
      </c>
      <c r="P154" s="342">
        <f t="shared" si="66"/>
        <v>1.971770426076156E-3</v>
      </c>
      <c r="Q154" s="343">
        <f t="shared" si="67"/>
        <v>15.154551196211351</v>
      </c>
      <c r="R154" s="344">
        <f t="shared" si="68"/>
        <v>-77.911049453970861</v>
      </c>
      <c r="S154" s="346">
        <f t="shared" si="69"/>
        <v>102.08895054602914</v>
      </c>
      <c r="U154" s="319">
        <f t="shared" si="75"/>
        <v>1000000000</v>
      </c>
      <c r="V154" s="319">
        <f t="shared" si="76"/>
        <v>75857132.160000011</v>
      </c>
      <c r="X154" s="345">
        <f t="shared" si="70"/>
        <v>18.565857196955832</v>
      </c>
      <c r="Y154" s="346">
        <f t="shared" si="71"/>
        <v>-33.831337490198067</v>
      </c>
      <c r="AA154" s="345">
        <f t="shared" si="72"/>
        <v>32.598867962856986</v>
      </c>
      <c r="AB154" s="346">
        <f t="shared" si="73"/>
        <v>-44.079711963772787</v>
      </c>
      <c r="AD154">
        <f t="shared" si="77"/>
        <v>0</v>
      </c>
      <c r="AE154">
        <f t="shared" ref="AE154:AE217" si="80">IF(AD154&gt;0,S154,0)</f>
        <v>0</v>
      </c>
    </row>
    <row r="155" spans="1:31" x14ac:dyDescent="0.2">
      <c r="A155" s="350">
        <v>8760.3250000000007</v>
      </c>
      <c r="B155" s="364">
        <f t="shared" si="74"/>
        <v>8.7603249999999999</v>
      </c>
      <c r="C155" s="337">
        <f t="shared" si="53"/>
        <v>1.3939868091214509</v>
      </c>
      <c r="D155" s="338">
        <f t="shared" si="54"/>
        <v>0.77078080788619252</v>
      </c>
      <c r="E155" s="338">
        <f t="shared" si="55"/>
        <v>1.0000001338523052</v>
      </c>
      <c r="F155" s="339">
        <f t="shared" si="56"/>
        <v>5.1740175930401302E-4</v>
      </c>
      <c r="G155" s="338">
        <f t="shared" si="57"/>
        <v>1</v>
      </c>
      <c r="H155" s="339">
        <f t="shared" si="58"/>
        <v>0</v>
      </c>
      <c r="I155" s="337">
        <f t="shared" si="59"/>
        <v>16558.384140699665</v>
      </c>
      <c r="J155" s="340">
        <f t="shared" si="60"/>
        <v>1.5707359344285816</v>
      </c>
      <c r="K155" s="348">
        <f t="shared" si="78"/>
        <v>1.8247464283704911</v>
      </c>
      <c r="L155" s="349">
        <f t="shared" si="79"/>
        <v>0.99079942003870103</v>
      </c>
      <c r="M155" s="337">
        <f t="shared" si="63"/>
        <v>1.000031307106475</v>
      </c>
      <c r="N155" s="340">
        <f t="shared" si="64"/>
        <v>7.9128110956469145E-3</v>
      </c>
      <c r="O155" s="341">
        <f t="shared" si="65"/>
        <v>0.9999323580877798</v>
      </c>
      <c r="P155" s="342">
        <f t="shared" si="66"/>
        <v>1.9832556467719187E-3</v>
      </c>
      <c r="Q155" s="343">
        <f t="shared" si="67"/>
        <v>15.114934913733769</v>
      </c>
      <c r="R155" s="344">
        <f t="shared" si="68"/>
        <v>-77.927759891675876</v>
      </c>
      <c r="S155" s="346">
        <f t="shared" si="69"/>
        <v>102.07224010832412</v>
      </c>
      <c r="U155" s="319">
        <f t="shared" si="75"/>
        <v>1000000000</v>
      </c>
      <c r="V155" s="319">
        <f t="shared" si="76"/>
        <v>76743294.105625018</v>
      </c>
      <c r="X155" s="345">
        <f t="shared" si="70"/>
        <v>18.550643847267132</v>
      </c>
      <c r="Y155" s="346">
        <f t="shared" si="71"/>
        <v>-33.681285378419432</v>
      </c>
      <c r="AA155" s="345">
        <f t="shared" si="72"/>
        <v>32.574465030068104</v>
      </c>
      <c r="AB155" s="346">
        <f t="shared" si="73"/>
        <v>-44.246474513256473</v>
      </c>
      <c r="AD155">
        <f t="shared" si="77"/>
        <v>0</v>
      </c>
      <c r="AE155">
        <f t="shared" si="80"/>
        <v>0</v>
      </c>
    </row>
    <row r="156" spans="1:31" x14ac:dyDescent="0.2">
      <c r="A156" s="350">
        <v>8811.0499999999993</v>
      </c>
      <c r="B156" s="364">
        <f t="shared" si="74"/>
        <v>8.8110499999999998</v>
      </c>
      <c r="C156" s="337">
        <f t="shared" si="53"/>
        <v>1.3979104691092732</v>
      </c>
      <c r="D156" s="338">
        <f t="shared" si="54"/>
        <v>0.773666607267262</v>
      </c>
      <c r="E156" s="338">
        <f t="shared" si="55"/>
        <v>1.0000001354068857</v>
      </c>
      <c r="F156" s="339">
        <f t="shared" si="56"/>
        <v>5.2039767549615882E-4</v>
      </c>
      <c r="G156" s="338">
        <f t="shared" si="57"/>
        <v>1</v>
      </c>
      <c r="H156" s="339">
        <f t="shared" si="58"/>
        <v>0</v>
      </c>
      <c r="I156" s="337">
        <f t="shared" si="59"/>
        <v>16654.262322443192</v>
      </c>
      <c r="J156" s="340">
        <f t="shared" si="60"/>
        <v>1.5707362821059612</v>
      </c>
      <c r="K156" s="348">
        <f t="shared" si="78"/>
        <v>1.8321454646408777</v>
      </c>
      <c r="L156" s="349">
        <f t="shared" si="79"/>
        <v>0.99344298401336684</v>
      </c>
      <c r="M156" s="337">
        <f t="shared" si="63"/>
        <v>1.0000316707060941</v>
      </c>
      <c r="N156" s="340">
        <f t="shared" si="64"/>
        <v>7.9586267980399708E-3</v>
      </c>
      <c r="O156" s="341">
        <f t="shared" si="65"/>
        <v>0.99993157248616726</v>
      </c>
      <c r="P156" s="342">
        <f t="shared" si="66"/>
        <v>1.9947408947201457E-3</v>
      </c>
      <c r="Q156" s="343">
        <f t="shared" si="67"/>
        <v>15.075524374454472</v>
      </c>
      <c r="R156" s="344">
        <f t="shared" si="68"/>
        <v>-77.94477032784043</v>
      </c>
      <c r="S156" s="346">
        <f t="shared" si="69"/>
        <v>102.05522967215957</v>
      </c>
      <c r="U156" s="319">
        <f t="shared" si="75"/>
        <v>1000000000</v>
      </c>
      <c r="V156" s="319">
        <f t="shared" si="76"/>
        <v>77634602.102499992</v>
      </c>
      <c r="X156" s="345">
        <f t="shared" si="70"/>
        <v>18.535640334258822</v>
      </c>
      <c r="Y156" s="346">
        <f t="shared" si="71"/>
        <v>-33.532465286457231</v>
      </c>
      <c r="AA156" s="345">
        <f t="shared" si="72"/>
        <v>32.550058003797119</v>
      </c>
      <c r="AB156" s="346">
        <f t="shared" si="73"/>
        <v>-44.41230504138322</v>
      </c>
      <c r="AD156">
        <f t="shared" si="77"/>
        <v>0</v>
      </c>
      <c r="AE156">
        <f t="shared" si="80"/>
        <v>0</v>
      </c>
    </row>
    <row r="157" spans="1:31" x14ac:dyDescent="0.2">
      <c r="A157" s="350">
        <v>8861.7749999999996</v>
      </c>
      <c r="B157" s="364">
        <f t="shared" si="74"/>
        <v>8.8617749999999997</v>
      </c>
      <c r="C157" s="337">
        <f t="shared" si="53"/>
        <v>1.4018457054449875</v>
      </c>
      <c r="D157" s="338">
        <f t="shared" si="54"/>
        <v>0.77653622850512627</v>
      </c>
      <c r="E157" s="338">
        <f t="shared" si="55"/>
        <v>1.0000001369704414</v>
      </c>
      <c r="F157" s="339">
        <f t="shared" si="56"/>
        <v>5.2339359167896313E-4</v>
      </c>
      <c r="G157" s="338">
        <f t="shared" si="57"/>
        <v>1</v>
      </c>
      <c r="H157" s="339">
        <f t="shared" si="58"/>
        <v>0</v>
      </c>
      <c r="I157" s="337">
        <f t="shared" si="59"/>
        <v>16750.140504188716</v>
      </c>
      <c r="J157" s="340">
        <f t="shared" si="60"/>
        <v>1.5707366258031144</v>
      </c>
      <c r="K157" s="348">
        <f t="shared" si="78"/>
        <v>1.8395572016819037</v>
      </c>
      <c r="L157" s="349">
        <f t="shared" si="79"/>
        <v>0.99606526388942707</v>
      </c>
      <c r="M157" s="337">
        <f t="shared" si="63"/>
        <v>1.0000320364048567</v>
      </c>
      <c r="N157" s="340">
        <f t="shared" si="64"/>
        <v>8.0044424670207802E-3</v>
      </c>
      <c r="O157" s="341">
        <f t="shared" si="65"/>
        <v>0.99993078234884614</v>
      </c>
      <c r="P157" s="342">
        <f t="shared" si="66"/>
        <v>2.0062261700787096E-3</v>
      </c>
      <c r="Q157" s="343">
        <f t="shared" si="67"/>
        <v>15.036316746270511</v>
      </c>
      <c r="R157" s="344">
        <f t="shared" si="68"/>
        <v>-77.962073085306628</v>
      </c>
      <c r="S157" s="346">
        <f t="shared" si="69"/>
        <v>102.03792691469337</v>
      </c>
      <c r="U157" s="319">
        <f t="shared" si="75"/>
        <v>1000000000</v>
      </c>
      <c r="V157" s="319">
        <f t="shared" si="76"/>
        <v>78531056.15062499</v>
      </c>
      <c r="X157" s="345">
        <f t="shared" si="70"/>
        <v>18.520842991678908</v>
      </c>
      <c r="Y157" s="346">
        <f t="shared" si="71"/>
        <v>-33.384864453552701</v>
      </c>
      <c r="AA157" s="345">
        <f t="shared" si="72"/>
        <v>32.525647718193071</v>
      </c>
      <c r="AB157" s="346">
        <f t="shared" si="73"/>
        <v>-44.577208631753919</v>
      </c>
      <c r="AD157">
        <f t="shared" si="77"/>
        <v>0</v>
      </c>
      <c r="AE157">
        <f t="shared" si="80"/>
        <v>0</v>
      </c>
    </row>
    <row r="158" spans="1:31" x14ac:dyDescent="0.2">
      <c r="A158" s="347">
        <v>8912.5</v>
      </c>
      <c r="B158" s="364">
        <f t="shared" si="74"/>
        <v>8.9124999999999996</v>
      </c>
      <c r="C158" s="337">
        <f t="shared" si="53"/>
        <v>1.4057924209115455</v>
      </c>
      <c r="D158" s="338">
        <f t="shared" si="54"/>
        <v>0.77938976039899133</v>
      </c>
      <c r="E158" s="338">
        <f t="shared" si="55"/>
        <v>1.0000001385429729</v>
      </c>
      <c r="F158" s="339">
        <f t="shared" si="56"/>
        <v>5.2638950785237207E-4</v>
      </c>
      <c r="G158" s="338">
        <f t="shared" si="57"/>
        <v>1</v>
      </c>
      <c r="H158" s="339">
        <f t="shared" si="58"/>
        <v>0</v>
      </c>
      <c r="I158" s="337">
        <f t="shared" si="59"/>
        <v>16846.018685936197</v>
      </c>
      <c r="J158" s="340">
        <f t="shared" si="60"/>
        <v>1.5707369655880008</v>
      </c>
      <c r="K158" s="348">
        <f t="shared" ref="K158:K214" si="81">SQRT(1+(A158/Zero2)^2)</f>
        <v>1.8469814865931165</v>
      </c>
      <c r="L158" s="349">
        <f t="shared" ref="L158:L214" si="82">ATAN(A158/Zero2)</f>
        <v>0.99866648005142733</v>
      </c>
      <c r="M158" s="337">
        <f t="shared" si="63"/>
        <v>1.0000324042027604</v>
      </c>
      <c r="N158" s="340">
        <f t="shared" si="64"/>
        <v>8.0502581023970416E-3</v>
      </c>
      <c r="O158" s="341">
        <f t="shared" si="65"/>
        <v>0.99992998767581698</v>
      </c>
      <c r="P158" s="342">
        <f t="shared" si="66"/>
        <v>2.0177114730054822E-3</v>
      </c>
      <c r="Q158" s="343">
        <f t="shared" si="67"/>
        <v>14.997309259698886</v>
      </c>
      <c r="R158" s="344">
        <f t="shared" si="68"/>
        <v>-77.979660628681671</v>
      </c>
      <c r="S158" s="346">
        <f t="shared" si="69"/>
        <v>102.02033937131833</v>
      </c>
      <c r="U158" s="319">
        <f t="shared" si="75"/>
        <v>1000000000</v>
      </c>
      <c r="V158" s="319">
        <f t="shared" si="76"/>
        <v>79432656.25</v>
      </c>
      <c r="X158" s="345">
        <f t="shared" si="70"/>
        <v>18.506248229528047</v>
      </c>
      <c r="Y158" s="346">
        <f t="shared" si="71"/>
        <v>-33.238470256484298</v>
      </c>
      <c r="AA158" s="345">
        <f t="shared" si="72"/>
        <v>32.501234993772307</v>
      </c>
      <c r="AB158" s="346">
        <f t="shared" si="73"/>
        <v>-44.741190372197359</v>
      </c>
      <c r="AD158">
        <f t="shared" si="77"/>
        <v>0</v>
      </c>
      <c r="AE158">
        <f t="shared" si="80"/>
        <v>0</v>
      </c>
    </row>
    <row r="159" spans="1:31" x14ac:dyDescent="0.2">
      <c r="A159" s="347">
        <v>8964.4</v>
      </c>
      <c r="B159" s="364">
        <f t="shared" si="74"/>
        <v>8.9643999999999995</v>
      </c>
      <c r="C159" s="337">
        <f t="shared" si="53"/>
        <v>1.4098423390845285</v>
      </c>
      <c r="D159" s="338">
        <f t="shared" si="54"/>
        <v>0.7822928318208564</v>
      </c>
      <c r="E159" s="338">
        <f t="shared" si="55"/>
        <v>1.0000001401612206</v>
      </c>
      <c r="F159" s="339">
        <f t="shared" si="56"/>
        <v>5.2945482177851899E-4</v>
      </c>
      <c r="G159" s="338">
        <f t="shared" si="57"/>
        <v>1</v>
      </c>
      <c r="H159" s="339">
        <f t="shared" si="58"/>
        <v>0</v>
      </c>
      <c r="I159" s="337">
        <f t="shared" si="59"/>
        <v>16944.117801417615</v>
      </c>
      <c r="J159" s="340">
        <f t="shared" si="60"/>
        <v>1.5707373092637216</v>
      </c>
      <c r="K159" s="348">
        <f t="shared" si="81"/>
        <v>1.8545905785830301</v>
      </c>
      <c r="L159" s="349">
        <f t="shared" si="82"/>
        <v>1.0013063772080735</v>
      </c>
      <c r="M159" s="337">
        <f t="shared" si="63"/>
        <v>1.0000327826930182</v>
      </c>
      <c r="N159" s="340">
        <f t="shared" si="64"/>
        <v>8.0971349816790026E-3</v>
      </c>
      <c r="O159" s="341">
        <f t="shared" si="65"/>
        <v>0.9999291699003634</v>
      </c>
      <c r="P159" s="342">
        <f t="shared" si="66"/>
        <v>2.0294628515685892E-3</v>
      </c>
      <c r="Q159" s="343">
        <f t="shared" si="67"/>
        <v>14.957602523820743</v>
      </c>
      <c r="R159" s="344">
        <f t="shared" si="68"/>
        <v>-77.997942616728253</v>
      </c>
      <c r="S159" s="346">
        <f t="shared" si="69"/>
        <v>102.00205738327175</v>
      </c>
      <c r="U159" s="319">
        <f t="shared" si="75"/>
        <v>1000000000</v>
      </c>
      <c r="V159" s="319">
        <f t="shared" si="76"/>
        <v>80360467.359999999</v>
      </c>
      <c r="X159" s="345">
        <f t="shared" si="70"/>
        <v>18.491521399909313</v>
      </c>
      <c r="Y159" s="346">
        <f t="shared" si="71"/>
        <v>-33.089920829398061</v>
      </c>
      <c r="AA159" s="345">
        <f t="shared" si="72"/>
        <v>32.476255087512897</v>
      </c>
      <c r="AB159" s="346">
        <f t="shared" si="73"/>
        <v>-44.908021787330171</v>
      </c>
      <c r="AD159">
        <f t="shared" si="77"/>
        <v>0</v>
      </c>
      <c r="AE159">
        <f t="shared" si="80"/>
        <v>0</v>
      </c>
    </row>
    <row r="160" spans="1:31" x14ac:dyDescent="0.2">
      <c r="A160" s="347">
        <v>9016.2999999999993</v>
      </c>
      <c r="B160" s="364">
        <f t="shared" si="74"/>
        <v>9.0162999999999993</v>
      </c>
      <c r="C160" s="337">
        <f t="shared" si="53"/>
        <v>1.4139040710340514</v>
      </c>
      <c r="D160" s="338">
        <f t="shared" si="54"/>
        <v>0.78517924810626349</v>
      </c>
      <c r="E160" s="338">
        <f t="shared" si="55"/>
        <v>1.0000001417888642</v>
      </c>
      <c r="F160" s="339">
        <f t="shared" si="56"/>
        <v>5.3252013569471607E-4</v>
      </c>
      <c r="G160" s="338">
        <f t="shared" si="57"/>
        <v>1</v>
      </c>
      <c r="H160" s="339">
        <f t="shared" si="58"/>
        <v>0</v>
      </c>
      <c r="I160" s="337">
        <f t="shared" si="59"/>
        <v>17042.216916901012</v>
      </c>
      <c r="J160" s="340">
        <f t="shared" si="60"/>
        <v>1.5707376489828813</v>
      </c>
      <c r="K160" s="348">
        <f t="shared" si="81"/>
        <v>1.8622124896457894</v>
      </c>
      <c r="L160" s="349">
        <f t="shared" si="82"/>
        <v>1.0039246826429706</v>
      </c>
      <c r="M160" s="337">
        <f t="shared" si="63"/>
        <v>1.0000331633807882</v>
      </c>
      <c r="N160" s="340">
        <f t="shared" si="64"/>
        <v>8.144011825374246E-3</v>
      </c>
      <c r="O160" s="341">
        <f t="shared" si="65"/>
        <v>0.99992834737663794</v>
      </c>
      <c r="P160" s="342">
        <f t="shared" si="66"/>
        <v>2.0412142593262583E-3</v>
      </c>
      <c r="Q160" s="343">
        <f t="shared" si="67"/>
        <v>14.91809963702581</v>
      </c>
      <c r="R160" s="344">
        <f t="shared" si="68"/>
        <v>-78.01650722321763</v>
      </c>
      <c r="S160" s="346">
        <f t="shared" si="69"/>
        <v>101.98349277678237</v>
      </c>
      <c r="U160" s="319">
        <f t="shared" si="75"/>
        <v>1000000000</v>
      </c>
      <c r="V160" s="319">
        <f t="shared" si="76"/>
        <v>81293665.689999983</v>
      </c>
      <c r="X160" s="345">
        <f t="shared" si="70"/>
        <v>18.476999277720335</v>
      </c>
      <c r="Y160" s="346">
        <f t="shared" si="71"/>
        <v>-32.942608288108659</v>
      </c>
      <c r="AA160" s="345">
        <f t="shared" si="72"/>
        <v>32.451274322906947</v>
      </c>
      <c r="AB160" s="346">
        <f t="shared" si="73"/>
        <v>-45.073898935108943</v>
      </c>
      <c r="AD160">
        <f t="shared" si="77"/>
        <v>0</v>
      </c>
      <c r="AE160">
        <f t="shared" si="80"/>
        <v>0</v>
      </c>
    </row>
    <row r="161" spans="1:31" x14ac:dyDescent="0.2">
      <c r="A161" s="347">
        <v>9068.2000000000007</v>
      </c>
      <c r="B161" s="364">
        <f t="shared" si="74"/>
        <v>9.0682000000000009</v>
      </c>
      <c r="C161" s="337">
        <f t="shared" si="53"/>
        <v>1.4179775152400451</v>
      </c>
      <c r="D161" s="338">
        <f t="shared" si="54"/>
        <v>0.78804910448903553</v>
      </c>
      <c r="E161" s="338">
        <f t="shared" si="55"/>
        <v>1.000000143425904</v>
      </c>
      <c r="F161" s="339">
        <f t="shared" si="56"/>
        <v>5.3558544960090608E-4</v>
      </c>
      <c r="G161" s="338">
        <f t="shared" si="57"/>
        <v>1</v>
      </c>
      <c r="H161" s="339">
        <f t="shared" si="58"/>
        <v>0</v>
      </c>
      <c r="I161" s="337">
        <f t="shared" si="59"/>
        <v>17140.316032386359</v>
      </c>
      <c r="J161" s="340">
        <f t="shared" si="60"/>
        <v>1.570737984813414</v>
      </c>
      <c r="K161" s="348">
        <f t="shared" si="81"/>
        <v>1.8698470630212549</v>
      </c>
      <c r="L161" s="349">
        <f t="shared" si="82"/>
        <v>1.0065216247123385</v>
      </c>
      <c r="M161" s="337">
        <f t="shared" si="63"/>
        <v>1.0000335462660679</v>
      </c>
      <c r="N161" s="340">
        <f t="shared" si="64"/>
        <v>8.1908886332768011E-3</v>
      </c>
      <c r="O161" s="341">
        <f t="shared" si="65"/>
        <v>0.99992752010464125</v>
      </c>
      <c r="P161" s="342">
        <f t="shared" si="66"/>
        <v>2.052965696447594E-3</v>
      </c>
      <c r="Q161" s="343">
        <f t="shared" si="67"/>
        <v>14.878797825657495</v>
      </c>
      <c r="R161" s="344">
        <f t="shared" si="68"/>
        <v>-78.03534682468846</v>
      </c>
      <c r="S161" s="346">
        <f t="shared" si="69"/>
        <v>101.96465317531154</v>
      </c>
      <c r="U161" s="319">
        <f t="shared" si="75"/>
        <v>1000000000</v>
      </c>
      <c r="V161" s="319">
        <f t="shared" si="76"/>
        <v>82232251.24000001</v>
      </c>
      <c r="X161" s="345">
        <f t="shared" si="70"/>
        <v>18.462678253791957</v>
      </c>
      <c r="Y161" s="346">
        <f t="shared" si="71"/>
        <v>-32.796519552649009</v>
      </c>
      <c r="AA161" s="345">
        <f t="shared" si="72"/>
        <v>32.426293535467011</v>
      </c>
      <c r="AB161" s="346">
        <f t="shared" si="73"/>
        <v>-45.238827272039487</v>
      </c>
      <c r="AD161">
        <f t="shared" si="77"/>
        <v>0</v>
      </c>
      <c r="AE161">
        <f t="shared" si="80"/>
        <v>0</v>
      </c>
    </row>
    <row r="162" spans="1:31" x14ac:dyDescent="0.2">
      <c r="A162" s="347">
        <v>9120.1</v>
      </c>
      <c r="B162" s="364">
        <f t="shared" si="74"/>
        <v>9.1201000000000008</v>
      </c>
      <c r="C162" s="337">
        <f t="shared" si="53"/>
        <v>1.4220625710545722</v>
      </c>
      <c r="D162" s="338">
        <f t="shared" si="54"/>
        <v>0.79090249620452657</v>
      </c>
      <c r="E162" s="338">
        <f t="shared" si="55"/>
        <v>1.0000001450723401</v>
      </c>
      <c r="F162" s="339">
        <f t="shared" si="56"/>
        <v>5.3865076349703122E-4</v>
      </c>
      <c r="G162" s="338">
        <f t="shared" si="57"/>
        <v>1</v>
      </c>
      <c r="H162" s="339">
        <f t="shared" si="58"/>
        <v>0</v>
      </c>
      <c r="I162" s="337">
        <f t="shared" si="59"/>
        <v>17238.415147873613</v>
      </c>
      <c r="J162" s="340">
        <f t="shared" si="60"/>
        <v>1.5707383168217068</v>
      </c>
      <c r="K162" s="348">
        <f t="shared" si="81"/>
        <v>1.8774941442407391</v>
      </c>
      <c r="L162" s="349">
        <f t="shared" si="82"/>
        <v>1.0090974292138699</v>
      </c>
      <c r="M162" s="337">
        <f t="shared" si="63"/>
        <v>1.0000339313488547</v>
      </c>
      <c r="N162" s="340">
        <f t="shared" si="64"/>
        <v>8.2377654051806817E-3</v>
      </c>
      <c r="O162" s="341">
        <f t="shared" si="65"/>
        <v>0.99992668808437435</v>
      </c>
      <c r="P162" s="342">
        <f t="shared" si="66"/>
        <v>2.0647171631017007E-3</v>
      </c>
      <c r="Q162" s="343">
        <f t="shared" si="67"/>
        <v>14.839694377586</v>
      </c>
      <c r="R162" s="344">
        <f t="shared" si="68"/>
        <v>-78.054453944271472</v>
      </c>
      <c r="S162" s="346">
        <f t="shared" si="69"/>
        <v>101.94554605572853</v>
      </c>
      <c r="U162" s="319">
        <f t="shared" si="75"/>
        <v>1000000000</v>
      </c>
      <c r="V162" s="319">
        <f t="shared" si="76"/>
        <v>83176224.010000005</v>
      </c>
      <c r="X162" s="345">
        <f t="shared" si="70"/>
        <v>18.448554794773425</v>
      </c>
      <c r="Y162" s="346">
        <f t="shared" si="71"/>
        <v>-32.651641689556136</v>
      </c>
      <c r="AA162" s="345">
        <f t="shared" si="72"/>
        <v>32.401313546414045</v>
      </c>
      <c r="AB162" s="346">
        <f t="shared" si="73"/>
        <v>-45.402812254715336</v>
      </c>
      <c r="AD162">
        <f t="shared" si="77"/>
        <v>0</v>
      </c>
      <c r="AE162">
        <f t="shared" si="80"/>
        <v>0</v>
      </c>
    </row>
    <row r="163" spans="1:31" x14ac:dyDescent="0.2">
      <c r="A163" s="347">
        <v>9173.2000000000007</v>
      </c>
      <c r="B163" s="364">
        <f t="shared" si="74"/>
        <v>9.1732000000000014</v>
      </c>
      <c r="C163" s="337">
        <f t="shared" si="53"/>
        <v>1.4262539923957518</v>
      </c>
      <c r="D163" s="338">
        <f t="shared" si="54"/>
        <v>0.79380492150307314</v>
      </c>
      <c r="E163" s="338">
        <f t="shared" si="55"/>
        <v>1.0000001467665685</v>
      </c>
      <c r="F163" s="339">
        <f t="shared" si="56"/>
        <v>5.4178695169241654E-4</v>
      </c>
      <c r="G163" s="338">
        <f t="shared" si="57"/>
        <v>1</v>
      </c>
      <c r="H163" s="339">
        <f t="shared" si="58"/>
        <v>0</v>
      </c>
      <c r="I163" s="337">
        <f t="shared" si="59"/>
        <v>17338.782451004139</v>
      </c>
      <c r="J163" s="340">
        <f t="shared" si="60"/>
        <v>1.5707386526183285</v>
      </c>
      <c r="K163" s="348">
        <f t="shared" si="81"/>
        <v>1.8853308228383152</v>
      </c>
      <c r="L163" s="349">
        <f t="shared" si="82"/>
        <v>1.0117111464034487</v>
      </c>
      <c r="M163" s="337">
        <f t="shared" si="63"/>
        <v>1.0000343276095958</v>
      </c>
      <c r="N163" s="340">
        <f t="shared" si="64"/>
        <v>8.2857259956107213E-3</v>
      </c>
      <c r="O163" s="341">
        <f t="shared" si="65"/>
        <v>0.99992583191242568</v>
      </c>
      <c r="P163" s="342">
        <f t="shared" si="66"/>
        <v>2.0767403707087524E-3</v>
      </c>
      <c r="Q163" s="343">
        <f t="shared" si="67"/>
        <v>14.799889333753203</v>
      </c>
      <c r="R163" s="344">
        <f t="shared" si="68"/>
        <v>-78.074272068297688</v>
      </c>
      <c r="S163" s="346">
        <f t="shared" si="69"/>
        <v>101.92572793170231</v>
      </c>
      <c r="U163" s="319">
        <f t="shared" si="75"/>
        <v>1000000000</v>
      </c>
      <c r="V163" s="319">
        <f t="shared" si="76"/>
        <v>84147598.24000001</v>
      </c>
      <c r="X163" s="345">
        <f t="shared" si="70"/>
        <v>18.434305644050248</v>
      </c>
      <c r="Y163" s="346">
        <f t="shared" si="71"/>
        <v>-32.504653904728308</v>
      </c>
      <c r="AA163" s="345">
        <f t="shared" si="72"/>
        <v>32.375757653304419</v>
      </c>
      <c r="AB163" s="346">
        <f t="shared" si="73"/>
        <v>-45.569618163569388</v>
      </c>
      <c r="AD163">
        <f t="shared" si="77"/>
        <v>0</v>
      </c>
      <c r="AE163">
        <f t="shared" si="80"/>
        <v>0</v>
      </c>
    </row>
    <row r="164" spans="1:31" x14ac:dyDescent="0.2">
      <c r="A164" s="347">
        <v>9226.2999999999993</v>
      </c>
      <c r="B164" s="364">
        <f t="shared" si="74"/>
        <v>9.2262999999999984</v>
      </c>
      <c r="C164" s="337">
        <f t="shared" si="53"/>
        <v>1.4304573581351199</v>
      </c>
      <c r="D164" s="338">
        <f t="shared" si="54"/>
        <v>0.79669031357089981</v>
      </c>
      <c r="E164" s="338">
        <f t="shared" si="55"/>
        <v>1.0000001484706325</v>
      </c>
      <c r="F164" s="339">
        <f t="shared" si="56"/>
        <v>5.4492313987714405E-4</v>
      </c>
      <c r="G164" s="338">
        <f t="shared" si="57"/>
        <v>1</v>
      </c>
      <c r="H164" s="339">
        <f t="shared" si="58"/>
        <v>0</v>
      </c>
      <c r="I164" s="337">
        <f t="shared" si="59"/>
        <v>17439.149754136586</v>
      </c>
      <c r="J164" s="340">
        <f t="shared" si="60"/>
        <v>1.5707389845497386</v>
      </c>
      <c r="K164" s="348">
        <f t="shared" si="81"/>
        <v>1.8931802744265367</v>
      </c>
      <c r="L164" s="349">
        <f t="shared" si="82"/>
        <v>1.0143032073351088</v>
      </c>
      <c r="M164" s="337">
        <f t="shared" si="63"/>
        <v>1.0000347261706322</v>
      </c>
      <c r="N164" s="340">
        <f t="shared" si="64"/>
        <v>8.3336865479219646E-3</v>
      </c>
      <c r="O164" s="341">
        <f t="shared" si="65"/>
        <v>0.99992497077009634</v>
      </c>
      <c r="P164" s="342">
        <f t="shared" si="66"/>
        <v>2.0887636095881681E-3</v>
      </c>
      <c r="Q164" s="343">
        <f t="shared" si="67"/>
        <v>14.760286378591934</v>
      </c>
      <c r="R164" s="344">
        <f t="shared" si="68"/>
        <v>-78.094354850419336</v>
      </c>
      <c r="S164" s="346">
        <f t="shared" si="69"/>
        <v>101.90564514958066</v>
      </c>
      <c r="U164" s="319">
        <f t="shared" si="75"/>
        <v>1000000000</v>
      </c>
      <c r="V164" s="319">
        <f t="shared" si="76"/>
        <v>85124611.689999983</v>
      </c>
      <c r="X164" s="345">
        <f t="shared" si="70"/>
        <v>18.420256052218424</v>
      </c>
      <c r="Y164" s="346">
        <f t="shared" si="71"/>
        <v>-32.358906708436344</v>
      </c>
      <c r="AA164" s="345">
        <f t="shared" si="72"/>
        <v>32.350204289974982</v>
      </c>
      <c r="AB164" s="346">
        <f t="shared" si="73"/>
        <v>-45.735448141982992</v>
      </c>
      <c r="AD164">
        <f t="shared" si="77"/>
        <v>0</v>
      </c>
      <c r="AE164">
        <f t="shared" si="80"/>
        <v>0</v>
      </c>
    </row>
    <row r="165" spans="1:31" x14ac:dyDescent="0.2">
      <c r="A165" s="347">
        <v>9279.4</v>
      </c>
      <c r="B165" s="364">
        <f t="shared" si="74"/>
        <v>9.279399999999999</v>
      </c>
      <c r="C165" s="337">
        <f t="shared" si="53"/>
        <v>1.4346725632870372</v>
      </c>
      <c r="D165" s="338">
        <f t="shared" si="54"/>
        <v>0.79955877428789934</v>
      </c>
      <c r="E165" s="338">
        <f t="shared" si="55"/>
        <v>1.0000001501845324</v>
      </c>
      <c r="F165" s="339">
        <f t="shared" si="56"/>
        <v>5.4805932805115237E-4</v>
      </c>
      <c r="G165" s="338">
        <f t="shared" si="57"/>
        <v>1</v>
      </c>
      <c r="H165" s="339">
        <f t="shared" si="58"/>
        <v>0</v>
      </c>
      <c r="I165" s="337">
        <f t="shared" si="59"/>
        <v>17539.517057270943</v>
      </c>
      <c r="J165" s="340">
        <f t="shared" si="60"/>
        <v>1.5707393126822915</v>
      </c>
      <c r="K165" s="348">
        <f t="shared" si="81"/>
        <v>1.9010423407854133</v>
      </c>
      <c r="L165" s="349">
        <f t="shared" si="82"/>
        <v>1.0168738456497894</v>
      </c>
      <c r="M165" s="337">
        <f t="shared" si="63"/>
        <v>1.0000351270319612</v>
      </c>
      <c r="N165" s="340">
        <f t="shared" si="64"/>
        <v>8.3816470618938155E-3</v>
      </c>
      <c r="O165" s="341">
        <f t="shared" si="65"/>
        <v>0.99992410465738735</v>
      </c>
      <c r="P165" s="342">
        <f t="shared" si="66"/>
        <v>2.1007868799210617E-3</v>
      </c>
      <c r="Q165" s="343">
        <f t="shared" si="67"/>
        <v>14.720882796727112</v>
      </c>
      <c r="R165" s="344">
        <f t="shared" si="68"/>
        <v>-78.11469474508408</v>
      </c>
      <c r="S165" s="346">
        <f t="shared" si="69"/>
        <v>101.88530525491592</v>
      </c>
      <c r="U165" s="319">
        <f t="shared" si="75"/>
        <v>1000000000</v>
      </c>
      <c r="V165" s="319">
        <f t="shared" si="76"/>
        <v>86107264.359999999</v>
      </c>
      <c r="X165" s="345">
        <f t="shared" si="70"/>
        <v>18.406402469762511</v>
      </c>
      <c r="Y165" s="346">
        <f t="shared" si="71"/>
        <v>-32.214386717829647</v>
      </c>
      <c r="AA165" s="345">
        <f t="shared" si="72"/>
        <v>32.324654290566066</v>
      </c>
      <c r="AB165" s="346">
        <f t="shared" si="73"/>
        <v>-45.900308027254411</v>
      </c>
      <c r="AD165">
        <f t="shared" si="77"/>
        <v>0</v>
      </c>
      <c r="AE165">
        <f t="shared" si="80"/>
        <v>0</v>
      </c>
    </row>
    <row r="166" spans="1:31" x14ac:dyDescent="0.2">
      <c r="A166" s="347">
        <v>9332.5</v>
      </c>
      <c r="B166" s="364">
        <f t="shared" si="74"/>
        <v>9.3324999999999996</v>
      </c>
      <c r="C166" s="337">
        <f t="shared" si="53"/>
        <v>1.4388995038020875</v>
      </c>
      <c r="D166" s="338">
        <f t="shared" si="54"/>
        <v>0.80241040545635667</v>
      </c>
      <c r="E166" s="338">
        <f t="shared" si="55"/>
        <v>1.0000001519082677</v>
      </c>
      <c r="F166" s="339">
        <f t="shared" si="56"/>
        <v>5.511955162143796E-4</v>
      </c>
      <c r="G166" s="338">
        <f t="shared" si="57"/>
        <v>1</v>
      </c>
      <c r="H166" s="339">
        <f t="shared" si="58"/>
        <v>0</v>
      </c>
      <c r="I166" s="337">
        <f t="shared" si="59"/>
        <v>17639.884360407163</v>
      </c>
      <c r="J166" s="340">
        <f t="shared" si="60"/>
        <v>1.5707396370808313</v>
      </c>
      <c r="K166" s="348">
        <f t="shared" si="81"/>
        <v>1.908916866049341</v>
      </c>
      <c r="L166" s="349">
        <f t="shared" si="82"/>
        <v>1.0194232922750381</v>
      </c>
      <c r="M166" s="337">
        <f t="shared" si="63"/>
        <v>1.0000355301935802</v>
      </c>
      <c r="N166" s="340">
        <f t="shared" si="64"/>
        <v>8.429607537305683E-3</v>
      </c>
      <c r="O166" s="341">
        <f t="shared" si="65"/>
        <v>0.99992323357429935</v>
      </c>
      <c r="P166" s="342">
        <f t="shared" si="66"/>
        <v>2.1128101818885469E-3</v>
      </c>
      <c r="Q166" s="343">
        <f t="shared" si="67"/>
        <v>14.681675933148792</v>
      </c>
      <c r="R166" s="344">
        <f t="shared" si="68"/>
        <v>-78.135284357672319</v>
      </c>
      <c r="S166" s="346">
        <f t="shared" si="69"/>
        <v>101.86471564232768</v>
      </c>
      <c r="U166" s="319">
        <f t="shared" si="75"/>
        <v>1000000000</v>
      </c>
      <c r="V166" s="319">
        <f t="shared" si="76"/>
        <v>87095556.25</v>
      </c>
      <c r="X166" s="345">
        <f t="shared" si="70"/>
        <v>18.392741422464589</v>
      </c>
      <c r="Y166" s="346">
        <f t="shared" si="71"/>
        <v>-32.071080705437019</v>
      </c>
      <c r="AA166" s="345">
        <f t="shared" si="72"/>
        <v>32.299108474285667</v>
      </c>
      <c r="AB166" s="346">
        <f t="shared" si="73"/>
        <v>-46.064203652235285</v>
      </c>
      <c r="AD166">
        <f t="shared" si="77"/>
        <v>0</v>
      </c>
      <c r="AE166">
        <f t="shared" si="80"/>
        <v>0</v>
      </c>
    </row>
    <row r="167" spans="1:31" x14ac:dyDescent="0.2">
      <c r="A167" s="347">
        <v>9386.85</v>
      </c>
      <c r="B167" s="364">
        <f t="shared" si="74"/>
        <v>9.3868500000000008</v>
      </c>
      <c r="C167" s="337">
        <f t="shared" si="53"/>
        <v>1.4432379939452</v>
      </c>
      <c r="D167" s="338">
        <f t="shared" si="54"/>
        <v>0.80531184309483561</v>
      </c>
      <c r="E167" s="338">
        <f t="shared" si="55"/>
        <v>1.0000001536827665</v>
      </c>
      <c r="F167" s="339">
        <f t="shared" si="56"/>
        <v>5.5440553177135005E-4</v>
      </c>
      <c r="G167" s="338">
        <f t="shared" si="57"/>
        <v>1</v>
      </c>
      <c r="H167" s="339">
        <f t="shared" si="58"/>
        <v>0</v>
      </c>
      <c r="I167" s="337">
        <f t="shared" si="59"/>
        <v>17742.61435900518</v>
      </c>
      <c r="J167" s="340">
        <f t="shared" si="60"/>
        <v>1.5707399653151115</v>
      </c>
      <c r="K167" s="348">
        <f t="shared" si="81"/>
        <v>1.9169895035363986</v>
      </c>
      <c r="L167" s="349">
        <f t="shared" si="82"/>
        <v>1.0220110464654502</v>
      </c>
      <c r="M167" s="337">
        <f t="shared" si="63"/>
        <v>1.0000359452279701</v>
      </c>
      <c r="N167" s="340">
        <f t="shared" si="64"/>
        <v>8.4786969856297367E-3</v>
      </c>
      <c r="O167" s="341">
        <f t="shared" si="65"/>
        <v>0.99992233683822551</v>
      </c>
      <c r="P167" s="342">
        <f t="shared" si="66"/>
        <v>2.1251165512208925E-3</v>
      </c>
      <c r="Q167" s="343">
        <f t="shared" si="67"/>
        <v>14.641747130426438</v>
      </c>
      <c r="R167" s="344">
        <f t="shared" si="68"/>
        <v>-78.156609702700877</v>
      </c>
      <c r="S167" s="346">
        <f t="shared" si="69"/>
        <v>101.84339029729912</v>
      </c>
      <c r="U167" s="319">
        <f t="shared" si="75"/>
        <v>1000000000</v>
      </c>
      <c r="V167" s="319">
        <f t="shared" si="76"/>
        <v>88112952.922499999</v>
      </c>
      <c r="X167" s="345">
        <f t="shared" si="70"/>
        <v>18.378954625513973</v>
      </c>
      <c r="Y167" s="346">
        <f t="shared" si="71"/>
        <v>-31.925644736389476</v>
      </c>
      <c r="AA167" s="345">
        <f t="shared" si="72"/>
        <v>32.272966468513935</v>
      </c>
      <c r="AB167" s="346">
        <f t="shared" si="73"/>
        <v>-46.230964966311376</v>
      </c>
      <c r="AD167">
        <f t="shared" si="77"/>
        <v>0</v>
      </c>
      <c r="AE167">
        <f t="shared" si="80"/>
        <v>0</v>
      </c>
    </row>
    <row r="168" spans="1:31" x14ac:dyDescent="0.2">
      <c r="A168" s="347">
        <v>9441.2000000000007</v>
      </c>
      <c r="B168" s="364">
        <f t="shared" si="74"/>
        <v>9.4412000000000003</v>
      </c>
      <c r="C168" s="337">
        <f t="shared" si="53"/>
        <v>1.4475885608712811</v>
      </c>
      <c r="D168" s="338">
        <f t="shared" si="54"/>
        <v>0.80819586499239626</v>
      </c>
      <c r="E168" s="338">
        <f t="shared" si="55"/>
        <v>1.0000001554675695</v>
      </c>
      <c r="F168" s="339">
        <f t="shared" si="56"/>
        <v>5.5761554731689517E-4</v>
      </c>
      <c r="G168" s="338">
        <f t="shared" si="57"/>
        <v>1</v>
      </c>
      <c r="H168" s="339">
        <f t="shared" si="58"/>
        <v>0</v>
      </c>
      <c r="I168" s="337">
        <f t="shared" si="59"/>
        <v>17845.344357605081</v>
      </c>
      <c r="J168" s="340">
        <f t="shared" si="60"/>
        <v>1.57074028977031</v>
      </c>
      <c r="K168" s="348">
        <f t="shared" si="81"/>
        <v>1.9250748703773244</v>
      </c>
      <c r="L168" s="349">
        <f t="shared" si="82"/>
        <v>1.0245770804432026</v>
      </c>
      <c r="M168" s="337">
        <f t="shared" si="63"/>
        <v>1.0000363626722188</v>
      </c>
      <c r="N168" s="340">
        <f t="shared" si="64"/>
        <v>8.5277863930893569E-3</v>
      </c>
      <c r="O168" s="341">
        <f t="shared" si="65"/>
        <v>0.99992143489500984</v>
      </c>
      <c r="P168" s="342">
        <f t="shared" si="66"/>
        <v>2.1374229540787027E-3</v>
      </c>
      <c r="Q168" s="343">
        <f t="shared" si="67"/>
        <v>14.602018974899638</v>
      </c>
      <c r="R168" s="344">
        <f t="shared" si="68"/>
        <v>-78.178181458848215</v>
      </c>
      <c r="S168" s="346">
        <f t="shared" si="69"/>
        <v>101.82181854115179</v>
      </c>
      <c r="U168" s="319">
        <f t="shared" si="75"/>
        <v>1000000000</v>
      </c>
      <c r="V168" s="319">
        <f t="shared" si="76"/>
        <v>89136257.440000013</v>
      </c>
      <c r="X168" s="345">
        <f t="shared" si="70"/>
        <v>18.365362403829415</v>
      </c>
      <c r="Y168" s="346">
        <f t="shared" si="71"/>
        <v>-31.781453024992079</v>
      </c>
      <c r="AA168" s="345">
        <f t="shared" si="72"/>
        <v>32.246830534671687</v>
      </c>
      <c r="AB168" s="346">
        <f t="shared" si="73"/>
        <v>-46.396728433856133</v>
      </c>
      <c r="AD168">
        <f t="shared" si="77"/>
        <v>0</v>
      </c>
      <c r="AE168">
        <f t="shared" si="80"/>
        <v>0</v>
      </c>
    </row>
    <row r="169" spans="1:31" x14ac:dyDescent="0.2">
      <c r="A169" s="347">
        <v>9495.5499999999993</v>
      </c>
      <c r="B169" s="364">
        <f t="shared" si="74"/>
        <v>9.4955499999999997</v>
      </c>
      <c r="C169" s="337">
        <f t="shared" si="53"/>
        <v>1.4519510960211983</v>
      </c>
      <c r="D169" s="338">
        <f t="shared" si="54"/>
        <v>0.81106257993912623</v>
      </c>
      <c r="E169" s="338">
        <f t="shared" si="55"/>
        <v>1.0000001572626767</v>
      </c>
      <c r="F169" s="339">
        <f t="shared" si="56"/>
        <v>5.6082556285094861E-4</v>
      </c>
      <c r="G169" s="338">
        <f t="shared" si="57"/>
        <v>1</v>
      </c>
      <c r="H169" s="339">
        <f t="shared" si="58"/>
        <v>0</v>
      </c>
      <c r="I169" s="337">
        <f t="shared" si="59"/>
        <v>17948.074356206842</v>
      </c>
      <c r="J169" s="340">
        <f t="shared" si="60"/>
        <v>1.5707406105113182</v>
      </c>
      <c r="K169" s="348">
        <f t="shared" si="81"/>
        <v>1.9331728068530938</v>
      </c>
      <c r="L169" s="349">
        <f t="shared" si="82"/>
        <v>1.0271216331565594</v>
      </c>
      <c r="M169" s="337">
        <f t="shared" si="63"/>
        <v>1.000036782526323</v>
      </c>
      <c r="N169" s="340">
        <f t="shared" si="64"/>
        <v>8.5768757594480056E-3</v>
      </c>
      <c r="O169" s="341">
        <f t="shared" si="65"/>
        <v>0.99992052774465279</v>
      </c>
      <c r="P169" s="342">
        <f t="shared" si="66"/>
        <v>2.1497293906561905E-3</v>
      </c>
      <c r="Q169" s="343">
        <f t="shared" si="67"/>
        <v>14.562488805447583</v>
      </c>
      <c r="R169" s="344">
        <f t="shared" si="68"/>
        <v>-78.199992172315817</v>
      </c>
      <c r="S169" s="346">
        <f t="shared" si="69"/>
        <v>101.80000782768418</v>
      </c>
      <c r="U169" s="319">
        <f t="shared" si="75"/>
        <v>1000000000</v>
      </c>
      <c r="V169" s="319">
        <f t="shared" si="76"/>
        <v>90165469.80249998</v>
      </c>
      <c r="X169" s="345">
        <f t="shared" si="70"/>
        <v>18.351961265253923</v>
      </c>
      <c r="Y169" s="346">
        <f t="shared" si="71"/>
        <v>-31.638491884222233</v>
      </c>
      <c r="AA169" s="345">
        <f t="shared" si="72"/>
        <v>32.220701503795127</v>
      </c>
      <c r="AB169" s="346">
        <f t="shared" si="73"/>
        <v>-46.561500288093569</v>
      </c>
      <c r="AD169">
        <f t="shared" si="77"/>
        <v>0</v>
      </c>
      <c r="AE169">
        <f t="shared" si="80"/>
        <v>0</v>
      </c>
    </row>
    <row r="170" spans="1:31" x14ac:dyDescent="0.2">
      <c r="A170" s="347">
        <v>9549.9</v>
      </c>
      <c r="B170" s="364">
        <f t="shared" si="74"/>
        <v>9.5498999999999992</v>
      </c>
      <c r="C170" s="337">
        <f t="shared" si="53"/>
        <v>1.456325491839747</v>
      </c>
      <c r="D170" s="338">
        <f t="shared" si="54"/>
        <v>0.81391209656121599</v>
      </c>
      <c r="E170" s="338">
        <f t="shared" si="55"/>
        <v>1.000000159068088</v>
      </c>
      <c r="F170" s="339">
        <f t="shared" si="56"/>
        <v>5.6403557837344436E-4</v>
      </c>
      <c r="G170" s="338">
        <f t="shared" si="57"/>
        <v>1</v>
      </c>
      <c r="H170" s="339">
        <f t="shared" si="58"/>
        <v>0</v>
      </c>
      <c r="I170" s="337">
        <f t="shared" si="59"/>
        <v>18050.804354810425</v>
      </c>
      <c r="J170" s="340">
        <f t="shared" si="60"/>
        <v>1.57074092760155</v>
      </c>
      <c r="K170" s="348">
        <f t="shared" si="81"/>
        <v>1.9412831556634695</v>
      </c>
      <c r="L170" s="349">
        <f t="shared" si="82"/>
        <v>1.0296449406826365</v>
      </c>
      <c r="M170" s="337">
        <f t="shared" si="63"/>
        <v>1.0000372047902797</v>
      </c>
      <c r="N170" s="340">
        <f t="shared" si="64"/>
        <v>8.6259650844691532E-3</v>
      </c>
      <c r="O170" s="341">
        <f t="shared" si="65"/>
        <v>0.99991961538715546</v>
      </c>
      <c r="P170" s="342">
        <f t="shared" si="66"/>
        <v>2.1620358611475713E-3</v>
      </c>
      <c r="Q170" s="343">
        <f t="shared" si="67"/>
        <v>14.523154020196733</v>
      </c>
      <c r="R170" s="344">
        <f t="shared" si="68"/>
        <v>-78.22203454433442</v>
      </c>
      <c r="S170" s="346">
        <f t="shared" si="69"/>
        <v>101.77796545566558</v>
      </c>
      <c r="U170" s="319">
        <f t="shared" si="75"/>
        <v>1000000000</v>
      </c>
      <c r="V170" s="319">
        <f t="shared" si="76"/>
        <v>91200590.00999999</v>
      </c>
      <c r="X170" s="345">
        <f t="shared" si="70"/>
        <v>18.338747792455472</v>
      </c>
      <c r="Y170" s="346">
        <f t="shared" si="71"/>
        <v>-31.496747791477318</v>
      </c>
      <c r="AA170" s="345">
        <f t="shared" si="72"/>
        <v>32.19458019134273</v>
      </c>
      <c r="AB170" s="346">
        <f t="shared" si="73"/>
        <v>-46.725286752857087</v>
      </c>
      <c r="AD170">
        <f t="shared" si="77"/>
        <v>0</v>
      </c>
      <c r="AE170">
        <f t="shared" si="80"/>
        <v>0</v>
      </c>
    </row>
    <row r="171" spans="1:31" x14ac:dyDescent="0.2">
      <c r="A171" s="347">
        <v>9605.5249999999996</v>
      </c>
      <c r="B171" s="364">
        <f t="shared" si="74"/>
        <v>9.6055250000000001</v>
      </c>
      <c r="C171" s="337">
        <f t="shared" si="53"/>
        <v>1.4608146769787793</v>
      </c>
      <c r="D171" s="338">
        <f t="shared" si="54"/>
        <v>0.81681076509419048</v>
      </c>
      <c r="E171" s="338">
        <f t="shared" si="55"/>
        <v>1.0000001609265221</v>
      </c>
      <c r="F171" s="339">
        <f t="shared" si="56"/>
        <v>5.6732089783590313E-4</v>
      </c>
      <c r="G171" s="338">
        <f t="shared" si="57"/>
        <v>1</v>
      </c>
      <c r="H171" s="339">
        <f t="shared" si="58"/>
        <v>0</v>
      </c>
      <c r="I171" s="337">
        <f t="shared" si="59"/>
        <v>18155.944302785138</v>
      </c>
      <c r="J171" s="340">
        <f t="shared" si="60"/>
        <v>1.5707412484148449</v>
      </c>
      <c r="K171" s="348">
        <f t="shared" si="81"/>
        <v>1.9495964565133561</v>
      </c>
      <c r="L171" s="349">
        <f t="shared" si="82"/>
        <v>1.0322056873903036</v>
      </c>
      <c r="M171" s="337">
        <f t="shared" si="63"/>
        <v>1.0000376394554642</v>
      </c>
      <c r="N171" s="340">
        <f t="shared" si="64"/>
        <v>8.6762059559413931E-3</v>
      </c>
      <c r="O171" s="341">
        <f t="shared" si="65"/>
        <v>0.99991867623480279</v>
      </c>
      <c r="P171" s="342">
        <f t="shared" si="66"/>
        <v>2.1746310652080341E-3</v>
      </c>
      <c r="Q171" s="343">
        <f t="shared" si="67"/>
        <v>14.483096136302173</v>
      </c>
      <c r="R171" s="344">
        <f t="shared" si="68"/>
        <v>-78.24482642699337</v>
      </c>
      <c r="S171" s="346">
        <f t="shared" si="69"/>
        <v>101.75517357300663</v>
      </c>
      <c r="U171" s="319">
        <f t="shared" si="75"/>
        <v>1000000000</v>
      </c>
      <c r="V171" s="319">
        <f t="shared" si="76"/>
        <v>92266110.52562499</v>
      </c>
      <c r="X171" s="345">
        <f t="shared" si="70"/>
        <v>18.325415175500282</v>
      </c>
      <c r="Y171" s="346">
        <f t="shared" si="71"/>
        <v>-31.352924783703848</v>
      </c>
      <c r="AA171" s="345">
        <f t="shared" si="72"/>
        <v>32.167854924403358</v>
      </c>
      <c r="AB171" s="346">
        <f t="shared" si="73"/>
        <v>-46.891901643289508</v>
      </c>
      <c r="AD171">
        <f t="shared" si="77"/>
        <v>0</v>
      </c>
      <c r="AE171">
        <f t="shared" si="80"/>
        <v>0</v>
      </c>
    </row>
    <row r="172" spans="1:31" x14ac:dyDescent="0.2">
      <c r="A172" s="347">
        <v>9661.15</v>
      </c>
      <c r="B172" s="364">
        <f t="shared" si="74"/>
        <v>9.6611499999999992</v>
      </c>
      <c r="C172" s="337">
        <f t="shared" si="53"/>
        <v>1.4653160610237039</v>
      </c>
      <c r="D172" s="338">
        <f t="shared" si="54"/>
        <v>0.81969164855471555</v>
      </c>
      <c r="E172" s="338">
        <f t="shared" si="55"/>
        <v>1.0000001627957498</v>
      </c>
      <c r="F172" s="339">
        <f t="shared" si="56"/>
        <v>5.706062172861154E-4</v>
      </c>
      <c r="G172" s="338">
        <f t="shared" si="57"/>
        <v>1</v>
      </c>
      <c r="H172" s="339">
        <f t="shared" si="58"/>
        <v>0</v>
      </c>
      <c r="I172" s="337">
        <f t="shared" si="59"/>
        <v>18261.084250761691</v>
      </c>
      <c r="J172" s="340">
        <f t="shared" si="60"/>
        <v>1.570741565533913</v>
      </c>
      <c r="K172" s="348">
        <f t="shared" si="81"/>
        <v>1.9579224330805551</v>
      </c>
      <c r="L172" s="349">
        <f t="shared" si="82"/>
        <v>1.0347446717104036</v>
      </c>
      <c r="M172" s="337">
        <f t="shared" si="63"/>
        <v>1.0000380766448869</v>
      </c>
      <c r="N172" s="340">
        <f t="shared" si="64"/>
        <v>8.7264467836125643E-3</v>
      </c>
      <c r="O172" s="341">
        <f t="shared" si="65"/>
        <v>0.9999177316281368</v>
      </c>
      <c r="P172" s="342">
        <f t="shared" si="66"/>
        <v>2.1872263052038752E-3</v>
      </c>
      <c r="Q172" s="343">
        <f t="shared" si="67"/>
        <v>14.443237579570791</v>
      </c>
      <c r="R172" s="344">
        <f t="shared" si="68"/>
        <v>-78.267845980909058</v>
      </c>
      <c r="S172" s="346">
        <f t="shared" si="69"/>
        <v>101.73215401909094</v>
      </c>
      <c r="U172" s="319">
        <f t="shared" si="75"/>
        <v>1000000000</v>
      </c>
      <c r="V172" s="319">
        <f t="shared" si="76"/>
        <v>93337819.32249999</v>
      </c>
      <c r="X172" s="345">
        <f t="shared" si="70"/>
        <v>18.312272121631857</v>
      </c>
      <c r="Y172" s="346">
        <f t="shared" si="71"/>
        <v>-31.210348454718321</v>
      </c>
      <c r="AA172" s="345">
        <f t="shared" si="72"/>
        <v>32.141139421540402</v>
      </c>
      <c r="AB172" s="346">
        <f t="shared" si="73"/>
        <v>-47.05749752619073</v>
      </c>
      <c r="AD172">
        <f t="shared" si="77"/>
        <v>0</v>
      </c>
      <c r="AE172">
        <f t="shared" si="80"/>
        <v>0</v>
      </c>
    </row>
    <row r="173" spans="1:31" x14ac:dyDescent="0.2">
      <c r="A173" s="347">
        <v>9716.7749999999996</v>
      </c>
      <c r="B173" s="364">
        <f t="shared" si="74"/>
        <v>9.7167750000000002</v>
      </c>
      <c r="C173" s="337">
        <f t="shared" si="53"/>
        <v>1.4698295318963031</v>
      </c>
      <c r="D173" s="338">
        <f t="shared" si="54"/>
        <v>0.82255486274335843</v>
      </c>
      <c r="E173" s="338">
        <f t="shared" si="55"/>
        <v>1.0000001646757706</v>
      </c>
      <c r="F173" s="339">
        <f t="shared" si="56"/>
        <v>5.7389153672401027E-4</v>
      </c>
      <c r="G173" s="338">
        <f t="shared" si="57"/>
        <v>1</v>
      </c>
      <c r="H173" s="339">
        <f t="shared" si="58"/>
        <v>0</v>
      </c>
      <c r="I173" s="337">
        <f t="shared" si="59"/>
        <v>18366.224198740063</v>
      </c>
      <c r="J173" s="340">
        <f t="shared" si="60"/>
        <v>1.5707418790221985</v>
      </c>
      <c r="K173" s="348">
        <f t="shared" si="81"/>
        <v>1.9662609243421023</v>
      </c>
      <c r="L173" s="349">
        <f t="shared" si="82"/>
        <v>1.037262137567841</v>
      </c>
      <c r="M173" s="337">
        <f t="shared" si="63"/>
        <v>1.0000385163585439</v>
      </c>
      <c r="N173" s="340">
        <f t="shared" si="64"/>
        <v>8.7766875672290953E-3</v>
      </c>
      <c r="O173" s="341">
        <f t="shared" si="65"/>
        <v>0.99991678156715813</v>
      </c>
      <c r="P173" s="342">
        <f t="shared" si="66"/>
        <v>2.1998215813433075E-3</v>
      </c>
      <c r="Q173" s="343">
        <f t="shared" si="67"/>
        <v>14.403575742919596</v>
      </c>
      <c r="R173" s="344">
        <f t="shared" si="68"/>
        <v>-78.291085868730164</v>
      </c>
      <c r="S173" s="346">
        <f t="shared" si="69"/>
        <v>101.70891413126984</v>
      </c>
      <c r="U173" s="319">
        <f t="shared" si="75"/>
        <v>1000000000</v>
      </c>
      <c r="V173" s="319">
        <f t="shared" si="76"/>
        <v>94415716.40062499</v>
      </c>
      <c r="X173" s="345">
        <f t="shared" si="70"/>
        <v>18.299315198916194</v>
      </c>
      <c r="Y173" s="346">
        <f t="shared" si="71"/>
        <v>-31.069004832273709</v>
      </c>
      <c r="AA173" s="345">
        <f t="shared" si="72"/>
        <v>32.114434507604869</v>
      </c>
      <c r="AB173" s="346">
        <f t="shared" si="73"/>
        <v>-47.222081036456451</v>
      </c>
      <c r="AD173">
        <f t="shared" si="77"/>
        <v>0</v>
      </c>
      <c r="AE173">
        <f t="shared" si="80"/>
        <v>0</v>
      </c>
    </row>
    <row r="174" spans="1:31" x14ac:dyDescent="0.2">
      <c r="A174" s="347">
        <v>9772.4</v>
      </c>
      <c r="B174" s="364">
        <f t="shared" si="74"/>
        <v>9.7723999999999993</v>
      </c>
      <c r="C174" s="337">
        <f t="shared" si="53"/>
        <v>1.4743549785916756</v>
      </c>
      <c r="D174" s="338">
        <f t="shared" si="54"/>
        <v>0.82540052320343527</v>
      </c>
      <c r="E174" s="338">
        <f t="shared" si="55"/>
        <v>1.0000001665665847</v>
      </c>
      <c r="F174" s="339">
        <f t="shared" si="56"/>
        <v>5.7717685614951651E-4</v>
      </c>
      <c r="G174" s="338">
        <f t="shared" si="57"/>
        <v>1</v>
      </c>
      <c r="H174" s="339">
        <f t="shared" si="58"/>
        <v>0</v>
      </c>
      <c r="I174" s="337">
        <f t="shared" si="59"/>
        <v>18471.364146720218</v>
      </c>
      <c r="J174" s="340">
        <f t="shared" si="60"/>
        <v>1.5707421889417015</v>
      </c>
      <c r="K174" s="348">
        <f t="shared" si="81"/>
        <v>1.9746117717549361</v>
      </c>
      <c r="L174" s="349">
        <f t="shared" si="82"/>
        <v>1.0397583258614891</v>
      </c>
      <c r="M174" s="337">
        <f t="shared" si="63"/>
        <v>1.0000389585964324</v>
      </c>
      <c r="N174" s="340">
        <f t="shared" si="64"/>
        <v>8.8269283065374148E-3</v>
      </c>
      <c r="O174" s="341">
        <f t="shared" si="65"/>
        <v>0.99991582605186768</v>
      </c>
      <c r="P174" s="342">
        <f t="shared" si="66"/>
        <v>2.2124168938345463E-3</v>
      </c>
      <c r="Q174" s="343">
        <f t="shared" si="67"/>
        <v>14.364108077324893</v>
      </c>
      <c r="R174" s="344">
        <f t="shared" si="68"/>
        <v>-78.314538911662098</v>
      </c>
      <c r="S174" s="346">
        <f t="shared" si="69"/>
        <v>101.6854610883379</v>
      </c>
      <c r="U174" s="319">
        <f t="shared" si="75"/>
        <v>1000000000</v>
      </c>
      <c r="V174" s="319">
        <f t="shared" si="76"/>
        <v>95499801.75999999</v>
      </c>
      <c r="X174" s="345">
        <f t="shared" si="70"/>
        <v>18.2865410496725</v>
      </c>
      <c r="Y174" s="346">
        <f t="shared" si="71"/>
        <v>-30.928880117419091</v>
      </c>
      <c r="AA174" s="345">
        <f t="shared" si="72"/>
        <v>32.08774099125386</v>
      </c>
      <c r="AB174" s="346">
        <f t="shared" si="73"/>
        <v>-47.385658794242985</v>
      </c>
      <c r="AD174">
        <f t="shared" si="77"/>
        <v>0</v>
      </c>
      <c r="AE174">
        <f t="shared" si="80"/>
        <v>0</v>
      </c>
    </row>
    <row r="175" spans="1:31" x14ac:dyDescent="0.2">
      <c r="A175" s="347">
        <v>9829.2999999999993</v>
      </c>
      <c r="B175" s="364">
        <f t="shared" si="74"/>
        <v>9.8292999999999999</v>
      </c>
      <c r="C175" s="337">
        <f t="shared" si="53"/>
        <v>1.4789964307383068</v>
      </c>
      <c r="D175" s="338">
        <f t="shared" si="54"/>
        <v>0.82829336833663691</v>
      </c>
      <c r="E175" s="338">
        <f t="shared" si="55"/>
        <v>1.0000001685119062</v>
      </c>
      <c r="F175" s="339">
        <f t="shared" si="56"/>
        <v>5.8053747951300819E-4</v>
      </c>
      <c r="G175" s="338">
        <f t="shared" si="57"/>
        <v>1</v>
      </c>
      <c r="H175" s="339">
        <f t="shared" si="58"/>
        <v>0</v>
      </c>
      <c r="I175" s="337">
        <f t="shared" si="59"/>
        <v>18578.914044071622</v>
      </c>
      <c r="J175" s="340">
        <f t="shared" si="60"/>
        <v>1.5707425023357215</v>
      </c>
      <c r="K175" s="348">
        <f t="shared" si="81"/>
        <v>1.9831666533434329</v>
      </c>
      <c r="L175" s="349">
        <f t="shared" si="82"/>
        <v>1.0422899634472433</v>
      </c>
      <c r="M175" s="337">
        <f t="shared" si="63"/>
        <v>1.0000394135826889</v>
      </c>
      <c r="N175" s="340">
        <f t="shared" si="64"/>
        <v>8.8783205852233892E-3</v>
      </c>
      <c r="O175" s="341">
        <f t="shared" si="65"/>
        <v>0.99991484299160482</v>
      </c>
      <c r="P175" s="342">
        <f t="shared" si="66"/>
        <v>2.225300945698807E-3</v>
      </c>
      <c r="Q175" s="343">
        <f t="shared" si="67"/>
        <v>14.323934059360168</v>
      </c>
      <c r="R175" s="344">
        <f t="shared" si="68"/>
        <v>-78.338742748769292</v>
      </c>
      <c r="S175" s="346">
        <f t="shared" si="69"/>
        <v>101.66125725123071</v>
      </c>
      <c r="U175" s="319">
        <f t="shared" si="75"/>
        <v>1000000000</v>
      </c>
      <c r="V175" s="319">
        <f t="shared" si="76"/>
        <v>96615138.48999998</v>
      </c>
      <c r="X175" s="345">
        <f t="shared" si="70"/>
        <v>18.273659780672368</v>
      </c>
      <c r="Y175" s="346">
        <f t="shared" si="71"/>
        <v>-30.786790485159266</v>
      </c>
      <c r="AA175" s="345">
        <f t="shared" si="72"/>
        <v>32.060448242289262</v>
      </c>
      <c r="AB175" s="346">
        <f t="shared" si="73"/>
        <v>-47.551952263610012</v>
      </c>
      <c r="AD175">
        <f t="shared" si="77"/>
        <v>0</v>
      </c>
      <c r="AE175">
        <f t="shared" si="80"/>
        <v>0</v>
      </c>
    </row>
    <row r="176" spans="1:31" x14ac:dyDescent="0.2">
      <c r="A176" s="347">
        <v>9886.2000000000007</v>
      </c>
      <c r="B176" s="364">
        <f t="shared" si="74"/>
        <v>9.8862000000000005</v>
      </c>
      <c r="C176" s="337">
        <f t="shared" si="53"/>
        <v>1.4836501824438972</v>
      </c>
      <c r="D176" s="338">
        <f t="shared" si="54"/>
        <v>0.8311680894808755</v>
      </c>
      <c r="E176" s="338">
        <f t="shared" si="55"/>
        <v>1.0000001704685215</v>
      </c>
      <c r="F176" s="339">
        <f t="shared" si="56"/>
        <v>5.8389810286338687E-4</v>
      </c>
      <c r="G176" s="338">
        <f t="shared" si="57"/>
        <v>1</v>
      </c>
      <c r="H176" s="339">
        <f t="shared" si="58"/>
        <v>0</v>
      </c>
      <c r="I176" s="337">
        <f t="shared" si="59"/>
        <v>18686.46394142483</v>
      </c>
      <c r="J176" s="340">
        <f t="shared" si="60"/>
        <v>1.5707428121222644</v>
      </c>
      <c r="K176" s="348">
        <f t="shared" si="81"/>
        <v>1.9917341361862784</v>
      </c>
      <c r="L176" s="349">
        <f t="shared" si="82"/>
        <v>1.0447998372282905</v>
      </c>
      <c r="M176" s="337">
        <f t="shared" si="63"/>
        <v>1.0000398712102132</v>
      </c>
      <c r="N176" s="340">
        <f t="shared" si="64"/>
        <v>8.929712817009933E-3</v>
      </c>
      <c r="O176" s="341">
        <f t="shared" si="65"/>
        <v>0.99991385422412615</v>
      </c>
      <c r="P176" s="342">
        <f t="shared" si="66"/>
        <v>2.2381850360411741E-3</v>
      </c>
      <c r="Q176" s="343">
        <f t="shared" si="67"/>
        <v>14.283957999279338</v>
      </c>
      <c r="R176" s="344">
        <f t="shared" si="68"/>
        <v>-78.363154924782066</v>
      </c>
      <c r="S176" s="346">
        <f t="shared" si="69"/>
        <v>101.63684507521793</v>
      </c>
      <c r="U176" s="319">
        <f t="shared" si="75"/>
        <v>1000000000</v>
      </c>
      <c r="V176" s="319">
        <f t="shared" si="76"/>
        <v>97736950.440000013</v>
      </c>
      <c r="X176" s="345">
        <f t="shared" si="70"/>
        <v>18.260962882698283</v>
      </c>
      <c r="Y176" s="346">
        <f t="shared" si="71"/>
        <v>-30.645947617676359</v>
      </c>
      <c r="AA176" s="345">
        <f t="shared" si="72"/>
        <v>32.033169080182525</v>
      </c>
      <c r="AB176" s="346">
        <f t="shared" si="73"/>
        <v>-47.717207307105703</v>
      </c>
      <c r="AD176">
        <f t="shared" si="77"/>
        <v>0</v>
      </c>
      <c r="AE176">
        <f t="shared" si="80"/>
        <v>0</v>
      </c>
    </row>
    <row r="177" spans="1:31" x14ac:dyDescent="0.2">
      <c r="A177" s="347">
        <v>9943.1</v>
      </c>
      <c r="B177" s="364">
        <f t="shared" si="74"/>
        <v>9.9431000000000012</v>
      </c>
      <c r="C177" s="337">
        <f t="shared" si="53"/>
        <v>1.4883161183315645</v>
      </c>
      <c r="D177" s="338">
        <f t="shared" si="54"/>
        <v>0.83402480935793544</v>
      </c>
      <c r="E177" s="338">
        <f t="shared" si="55"/>
        <v>1.0000001724364305</v>
      </c>
      <c r="F177" s="339">
        <f t="shared" si="56"/>
        <v>5.8725872620057679E-4</v>
      </c>
      <c r="G177" s="338">
        <f t="shared" si="57"/>
        <v>1</v>
      </c>
      <c r="H177" s="339">
        <f t="shared" si="58"/>
        <v>0</v>
      </c>
      <c r="I177" s="337">
        <f t="shared" si="59"/>
        <v>18794.013838779811</v>
      </c>
      <c r="J177" s="340">
        <f t="shared" si="60"/>
        <v>1.5707431183632625</v>
      </c>
      <c r="K177" s="348">
        <f t="shared" si="81"/>
        <v>2.0003140583673593</v>
      </c>
      <c r="L177" s="349">
        <f t="shared" si="82"/>
        <v>1.0472881954321633</v>
      </c>
      <c r="M177" s="337">
        <f t="shared" si="63"/>
        <v>1.0000403314790018</v>
      </c>
      <c r="N177" s="340">
        <f t="shared" si="64"/>
        <v>8.9811050016256402E-3</v>
      </c>
      <c r="O177" s="341">
        <f t="shared" si="65"/>
        <v>0.99991285974943278</v>
      </c>
      <c r="P177" s="342">
        <f t="shared" si="66"/>
        <v>2.2510691650845169E-3</v>
      </c>
      <c r="Q177" s="343">
        <f t="shared" si="67"/>
        <v>14.244177346874878</v>
      </c>
      <c r="R177" s="344">
        <f t="shared" si="68"/>
        <v>-78.387768252296482</v>
      </c>
      <c r="S177" s="346">
        <f t="shared" si="69"/>
        <v>101.61223174770352</v>
      </c>
      <c r="U177" s="319">
        <f t="shared" si="75"/>
        <v>1000000000</v>
      </c>
      <c r="V177" s="319">
        <f t="shared" si="76"/>
        <v>98865237.610000014</v>
      </c>
      <c r="X177" s="345">
        <f t="shared" si="70"/>
        <v>18.248446991125114</v>
      </c>
      <c r="Y177" s="346">
        <f t="shared" si="71"/>
        <v>-30.506337296113319</v>
      </c>
      <c r="AA177" s="345">
        <f t="shared" si="72"/>
        <v>32.005904319351231</v>
      </c>
      <c r="AB177" s="346">
        <f t="shared" si="73"/>
        <v>-47.881430956183159</v>
      </c>
      <c r="AD177">
        <f t="shared" si="77"/>
        <v>0</v>
      </c>
      <c r="AE177">
        <f t="shared" si="80"/>
        <v>0</v>
      </c>
    </row>
    <row r="178" spans="1:31" x14ac:dyDescent="0.2">
      <c r="A178" s="347">
        <v>10000</v>
      </c>
      <c r="B178" s="364">
        <f t="shared" si="74"/>
        <v>10</v>
      </c>
      <c r="C178" s="337">
        <f t="shared" si="53"/>
        <v>1.492994124166545</v>
      </c>
      <c r="D178" s="338">
        <f t="shared" si="54"/>
        <v>0.83686365033276144</v>
      </c>
      <c r="E178" s="338">
        <f t="shared" si="55"/>
        <v>1.0000001744156333</v>
      </c>
      <c r="F178" s="339">
        <f t="shared" si="56"/>
        <v>5.9061934952450181E-4</v>
      </c>
      <c r="G178" s="338">
        <f t="shared" si="57"/>
        <v>1</v>
      </c>
      <c r="H178" s="339">
        <f t="shared" si="58"/>
        <v>0</v>
      </c>
      <c r="I178" s="337">
        <f t="shared" si="59"/>
        <v>18901.563736136533</v>
      </c>
      <c r="J178" s="340">
        <f t="shared" si="60"/>
        <v>1.5707434211192379</v>
      </c>
      <c r="K178" s="348">
        <f t="shared" si="81"/>
        <v>2.0089062605036045</v>
      </c>
      <c r="L178" s="349">
        <f t="shared" si="82"/>
        <v>1.049755283114693</v>
      </c>
      <c r="M178" s="337">
        <f t="shared" si="63"/>
        <v>1.0000407943890515</v>
      </c>
      <c r="N178" s="340">
        <f t="shared" si="64"/>
        <v>9.0324971387991029E-3</v>
      </c>
      <c r="O178" s="341">
        <f t="shared" si="65"/>
        <v>0.99991185956752549</v>
      </c>
      <c r="P178" s="342">
        <f t="shared" si="66"/>
        <v>2.2639533330517064E-3</v>
      </c>
      <c r="Q178" s="343">
        <f t="shared" si="67"/>
        <v>14.204589608649274</v>
      </c>
      <c r="R178" s="344">
        <f t="shared" si="68"/>
        <v>-78.412575705107358</v>
      </c>
      <c r="S178" s="346">
        <f t="shared" si="69"/>
        <v>101.58742429489264</v>
      </c>
      <c r="U178" s="319">
        <f t="shared" si="75"/>
        <v>1000000000</v>
      </c>
      <c r="V178" s="319">
        <f t="shared" si="76"/>
        <v>100000000</v>
      </c>
      <c r="X178" s="345">
        <f t="shared" si="70"/>
        <v>18.236108814783385</v>
      </c>
      <c r="Y178" s="346">
        <f t="shared" si="71"/>
        <v>-30.36794548325733</v>
      </c>
      <c r="AA178" s="345">
        <f t="shared" si="72"/>
        <v>31.978654757467353</v>
      </c>
      <c r="AB178" s="346">
        <f t="shared" si="73"/>
        <v>-48.044630221850035</v>
      </c>
      <c r="AD178">
        <f t="shared" si="77"/>
        <v>0</v>
      </c>
      <c r="AE178">
        <f t="shared" si="80"/>
        <v>0</v>
      </c>
    </row>
    <row r="179" spans="1:31" x14ac:dyDescent="0.2">
      <c r="A179" s="347">
        <v>10058.25</v>
      </c>
      <c r="B179" s="364">
        <f t="shared" si="74"/>
        <v>10.058249999999999</v>
      </c>
      <c r="C179" s="337">
        <f t="shared" si="53"/>
        <v>1.4977955044162756</v>
      </c>
      <c r="D179" s="338">
        <f t="shared" si="54"/>
        <v>0.83975145232101289</v>
      </c>
      <c r="E179" s="338">
        <f t="shared" si="55"/>
        <v>1.0000001764534934</v>
      </c>
      <c r="F179" s="339">
        <f t="shared" si="56"/>
        <v>5.9405970642840847E-4</v>
      </c>
      <c r="G179" s="338">
        <f t="shared" si="57"/>
        <v>1</v>
      </c>
      <c r="H179" s="339">
        <f t="shared" si="58"/>
        <v>0</v>
      </c>
      <c r="I179" s="337">
        <f t="shared" si="59"/>
        <v>19011.665344592246</v>
      </c>
      <c r="J179" s="340">
        <f t="shared" si="60"/>
        <v>1.5707437275100715</v>
      </c>
      <c r="K179" s="348">
        <f t="shared" si="81"/>
        <v>2.0177148764559396</v>
      </c>
      <c r="L179" s="349">
        <f t="shared" si="82"/>
        <v>1.0522591235730001</v>
      </c>
      <c r="M179" s="337">
        <f t="shared" si="63"/>
        <v>1.0000412710180278</v>
      </c>
      <c r="N179" s="340">
        <f t="shared" si="64"/>
        <v>9.0851085479016873E-3</v>
      </c>
      <c r="O179" s="341">
        <f t="shared" si="65"/>
        <v>0.99991082974353607</v>
      </c>
      <c r="P179" s="342">
        <f t="shared" si="66"/>
        <v>2.2771432292123406E-3</v>
      </c>
      <c r="Q179" s="343">
        <f t="shared" si="67"/>
        <v>14.164259906841375</v>
      </c>
      <c r="R179" s="344">
        <f t="shared" si="68"/>
        <v>-78.438165654346847</v>
      </c>
      <c r="S179" s="346">
        <f t="shared" si="69"/>
        <v>101.56183434565315</v>
      </c>
      <c r="U179" s="319">
        <f t="shared" si="75"/>
        <v>1000000000</v>
      </c>
      <c r="V179" s="319">
        <f t="shared" si="76"/>
        <v>101168393.0625</v>
      </c>
      <c r="X179" s="345">
        <f t="shared" si="70"/>
        <v>18.223658633835353</v>
      </c>
      <c r="Y179" s="346">
        <f t="shared" si="71"/>
        <v>-30.227517958859231</v>
      </c>
      <c r="AA179" s="345">
        <f t="shared" si="72"/>
        <v>31.950775236607484</v>
      </c>
      <c r="AB179" s="346">
        <f t="shared" si="73"/>
        <v>-48.210647695487637</v>
      </c>
      <c r="AD179">
        <f t="shared" si="77"/>
        <v>0</v>
      </c>
      <c r="AE179">
        <f t="shared" si="80"/>
        <v>0</v>
      </c>
    </row>
    <row r="180" spans="1:31" x14ac:dyDescent="0.2">
      <c r="A180" s="347">
        <v>10116.5</v>
      </c>
      <c r="B180" s="364">
        <f t="shared" si="74"/>
        <v>10.1165</v>
      </c>
      <c r="C180" s="337">
        <f t="shared" si="53"/>
        <v>1.5026092954970678</v>
      </c>
      <c r="D180" s="338">
        <f t="shared" si="54"/>
        <v>0.84262077526257162</v>
      </c>
      <c r="E180" s="338">
        <f t="shared" si="55"/>
        <v>1.0000001785031893</v>
      </c>
      <c r="F180" s="339">
        <f t="shared" si="56"/>
        <v>5.9750006331825249E-4</v>
      </c>
      <c r="G180" s="338">
        <f t="shared" si="57"/>
        <v>1</v>
      </c>
      <c r="H180" s="339">
        <f t="shared" si="58"/>
        <v>0</v>
      </c>
      <c r="I180" s="337">
        <f t="shared" si="59"/>
        <v>19121.766953049722</v>
      </c>
      <c r="J180" s="340">
        <f t="shared" si="60"/>
        <v>1.5707440303725571</v>
      </c>
      <c r="K180" s="348">
        <f t="shared" si="81"/>
        <v>2.026536031889238</v>
      </c>
      <c r="L180" s="349">
        <f t="shared" si="82"/>
        <v>1.054741181923702</v>
      </c>
      <c r="M180" s="337">
        <f t="shared" si="63"/>
        <v>1.000041750415076</v>
      </c>
      <c r="N180" s="340">
        <f t="shared" si="64"/>
        <v>9.1377199067084972E-3</v>
      </c>
      <c r="O180" s="341">
        <f t="shared" si="65"/>
        <v>0.99990979393830559</v>
      </c>
      <c r="P180" s="342">
        <f t="shared" si="66"/>
        <v>2.2903331666384273E-3</v>
      </c>
      <c r="Q180" s="343">
        <f t="shared" si="67"/>
        <v>14.124127268692813</v>
      </c>
      <c r="R180" s="344">
        <f t="shared" si="68"/>
        <v>-78.463944652360325</v>
      </c>
      <c r="S180" s="346">
        <f t="shared" si="69"/>
        <v>101.53605534763967</v>
      </c>
      <c r="U180" s="319">
        <f t="shared" si="75"/>
        <v>1000000000</v>
      </c>
      <c r="V180" s="319">
        <f t="shared" si="76"/>
        <v>102343572.25</v>
      </c>
      <c r="X180" s="345">
        <f t="shared" si="70"/>
        <v>18.211387948760425</v>
      </c>
      <c r="Y180" s="346">
        <f t="shared" si="71"/>
        <v>-30.088338252256037</v>
      </c>
      <c r="AA180" s="345">
        <f t="shared" si="72"/>
        <v>31.922913283533859</v>
      </c>
      <c r="AB180" s="346">
        <f t="shared" si="73"/>
        <v>-48.37560640010426</v>
      </c>
      <c r="AD180">
        <f t="shared" si="77"/>
        <v>0</v>
      </c>
      <c r="AE180">
        <f t="shared" si="80"/>
        <v>0</v>
      </c>
    </row>
    <row r="181" spans="1:31" x14ac:dyDescent="0.2">
      <c r="A181" s="347">
        <v>10174.75</v>
      </c>
      <c r="B181" s="364">
        <f t="shared" si="74"/>
        <v>10.17475</v>
      </c>
      <c r="C181" s="337">
        <f t="shared" si="53"/>
        <v>1.5074353785119929</v>
      </c>
      <c r="D181" s="338">
        <f t="shared" si="54"/>
        <v>0.84547174916743351</v>
      </c>
      <c r="E181" s="338">
        <f t="shared" si="55"/>
        <v>1.0000001805647216</v>
      </c>
      <c r="F181" s="339">
        <f t="shared" si="56"/>
        <v>6.0094042019395244E-4</v>
      </c>
      <c r="G181" s="338">
        <f t="shared" si="57"/>
        <v>1</v>
      </c>
      <c r="H181" s="339">
        <f t="shared" si="58"/>
        <v>0</v>
      </c>
      <c r="I181" s="337">
        <f t="shared" si="59"/>
        <v>19231.868561508931</v>
      </c>
      <c r="J181" s="340">
        <f t="shared" si="60"/>
        <v>1.5707443297672936</v>
      </c>
      <c r="K181" s="348">
        <f t="shared" si="81"/>
        <v>2.0353695637676923</v>
      </c>
      <c r="L181" s="349">
        <f t="shared" si="82"/>
        <v>1.0572017109886813</v>
      </c>
      <c r="M181" s="337">
        <f t="shared" si="63"/>
        <v>1.0000422325801923</v>
      </c>
      <c r="N181" s="340">
        <f t="shared" si="64"/>
        <v>9.1903312149283489E-3</v>
      </c>
      <c r="O181" s="341">
        <f t="shared" si="65"/>
        <v>0.99990875215183506</v>
      </c>
      <c r="P181" s="342">
        <f t="shared" si="66"/>
        <v>2.3035231455690876E-3</v>
      </c>
      <c r="Q181" s="343">
        <f t="shared" si="67"/>
        <v>14.084189193370198</v>
      </c>
      <c r="R181" s="344">
        <f t="shared" si="68"/>
        <v>-78.489905666013968</v>
      </c>
      <c r="S181" s="346">
        <f t="shared" si="69"/>
        <v>101.51009433398603</v>
      </c>
      <c r="U181" s="319">
        <f t="shared" si="75"/>
        <v>1000000000</v>
      </c>
      <c r="V181" s="319">
        <f t="shared" si="76"/>
        <v>103525537.5625</v>
      </c>
      <c r="X181" s="345">
        <f t="shared" si="70"/>
        <v>18.199293455852711</v>
      </c>
      <c r="Y181" s="346">
        <f t="shared" si="71"/>
        <v>-29.950391881276307</v>
      </c>
      <c r="AA181" s="345">
        <f t="shared" si="72"/>
        <v>31.895069701118956</v>
      </c>
      <c r="AB181" s="346">
        <f t="shared" si="73"/>
        <v>-48.539513784737672</v>
      </c>
      <c r="AD181">
        <f t="shared" si="77"/>
        <v>0</v>
      </c>
      <c r="AE181">
        <f t="shared" si="80"/>
        <v>0</v>
      </c>
    </row>
    <row r="182" spans="1:31" x14ac:dyDescent="0.2">
      <c r="A182" s="347">
        <v>10233</v>
      </c>
      <c r="B182" s="364">
        <f t="shared" si="74"/>
        <v>10.233000000000001</v>
      </c>
      <c r="C182" s="337">
        <f t="shared" si="53"/>
        <v>1.5122736357801811</v>
      </c>
      <c r="D182" s="338">
        <f t="shared" si="54"/>
        <v>0.84830450358129894</v>
      </c>
      <c r="E182" s="338">
        <f t="shared" si="55"/>
        <v>1.0000001826380895</v>
      </c>
      <c r="F182" s="339">
        <f t="shared" si="56"/>
        <v>6.043807770554268E-4</v>
      </c>
      <c r="G182" s="338">
        <f t="shared" si="57"/>
        <v>1</v>
      </c>
      <c r="H182" s="339">
        <f t="shared" si="58"/>
        <v>0</v>
      </c>
      <c r="I182" s="337">
        <f t="shared" si="59"/>
        <v>19341.970169969845</v>
      </c>
      <c r="J182" s="340">
        <f t="shared" si="60"/>
        <v>1.5707446257535003</v>
      </c>
      <c r="K182" s="348">
        <f t="shared" si="81"/>
        <v>2.0442153116467776</v>
      </c>
      <c r="L182" s="349">
        <f t="shared" si="82"/>
        <v>1.0596409602657173</v>
      </c>
      <c r="M182" s="337">
        <f t="shared" si="63"/>
        <v>1.0000427175133724</v>
      </c>
      <c r="N182" s="340">
        <f t="shared" si="64"/>
        <v>9.2429424722700691E-3</v>
      </c>
      <c r="O182" s="341">
        <f t="shared" si="65"/>
        <v>0.99990770438412568</v>
      </c>
      <c r="P182" s="342">
        <f t="shared" si="66"/>
        <v>2.3167131662434446E-3</v>
      </c>
      <c r="Q182" s="343">
        <f t="shared" si="67"/>
        <v>14.044443235545058</v>
      </c>
      <c r="R182" s="344">
        <f t="shared" si="68"/>
        <v>-78.516041825949998</v>
      </c>
      <c r="S182" s="346">
        <f t="shared" si="69"/>
        <v>101.48395817405</v>
      </c>
      <c r="U182" s="319">
        <f t="shared" si="75"/>
        <v>1000000000</v>
      </c>
      <c r="V182" s="319">
        <f t="shared" si="76"/>
        <v>104714289</v>
      </c>
      <c r="X182" s="345">
        <f t="shared" si="70"/>
        <v>18.187371924226284</v>
      </c>
      <c r="Y182" s="346">
        <f t="shared" si="71"/>
        <v>-29.813664554126557</v>
      </c>
      <c r="AA182" s="345">
        <f t="shared" si="72"/>
        <v>31.867245274920244</v>
      </c>
      <c r="AB182" s="346">
        <f t="shared" si="73"/>
        <v>-48.702377271823465</v>
      </c>
      <c r="AD182">
        <f t="shared" si="77"/>
        <v>0</v>
      </c>
      <c r="AE182">
        <f t="shared" si="80"/>
        <v>0</v>
      </c>
    </row>
    <row r="183" spans="1:31" x14ac:dyDescent="0.2">
      <c r="A183" s="347">
        <v>10292.5</v>
      </c>
      <c r="B183" s="364">
        <f t="shared" si="74"/>
        <v>10.2925</v>
      </c>
      <c r="C183" s="337">
        <f t="shared" si="53"/>
        <v>1.5172281661389719</v>
      </c>
      <c r="D183" s="338">
        <f t="shared" si="54"/>
        <v>0.85117937076563166</v>
      </c>
      <c r="E183" s="338">
        <f t="shared" si="55"/>
        <v>1.0000001847681705</v>
      </c>
      <c r="F183" s="339">
        <f t="shared" si="56"/>
        <v>6.0789496130259069E-4</v>
      </c>
      <c r="G183" s="338">
        <f t="shared" si="57"/>
        <v>1</v>
      </c>
      <c r="H183" s="339">
        <f t="shared" si="58"/>
        <v>0</v>
      </c>
      <c r="I183" s="337">
        <f t="shared" si="59"/>
        <v>19454.434473893027</v>
      </c>
      <c r="J183" s="340">
        <f t="shared" si="60"/>
        <v>1.5707449246324856</v>
      </c>
      <c r="K183" s="348">
        <f t="shared" si="81"/>
        <v>2.053263330303559</v>
      </c>
      <c r="L183" s="349">
        <f t="shared" si="82"/>
        <v>1.0621108402845718</v>
      </c>
      <c r="M183" s="337">
        <f t="shared" si="63"/>
        <v>1.0000432157106418</v>
      </c>
      <c r="N183" s="340">
        <f t="shared" si="64"/>
        <v>9.2966826737201306E-3</v>
      </c>
      <c r="O183" s="341">
        <f t="shared" si="65"/>
        <v>0.9999066279569867</v>
      </c>
      <c r="P183" s="342">
        <f t="shared" si="66"/>
        <v>2.3301862779173919E-3</v>
      </c>
      <c r="Q183" s="343">
        <f t="shared" si="67"/>
        <v>14.004040219643274</v>
      </c>
      <c r="R183" s="344">
        <f t="shared" si="68"/>
        <v>-78.542912697067337</v>
      </c>
      <c r="S183" s="346">
        <f t="shared" si="69"/>
        <v>101.45708730293266</v>
      </c>
      <c r="U183" s="319">
        <f t="shared" si="75"/>
        <v>1000000000</v>
      </c>
      <c r="V183" s="319">
        <f t="shared" si="76"/>
        <v>105935556.25</v>
      </c>
      <c r="X183" s="345">
        <f t="shared" si="70"/>
        <v>18.175369848965342</v>
      </c>
      <c r="Y183" s="346">
        <f t="shared" si="71"/>
        <v>-29.675247064222063</v>
      </c>
      <c r="AA183" s="345">
        <f t="shared" si="72"/>
        <v>31.838844334279397</v>
      </c>
      <c r="AB183" s="346">
        <f t="shared" si="73"/>
        <v>-48.867665632845288</v>
      </c>
      <c r="AD183">
        <f t="shared" si="77"/>
        <v>0</v>
      </c>
      <c r="AE183">
        <f t="shared" si="80"/>
        <v>0</v>
      </c>
    </row>
    <row r="184" spans="1:31" x14ac:dyDescent="0.2">
      <c r="A184" s="347">
        <v>10352</v>
      </c>
      <c r="B184" s="364">
        <f t="shared" si="74"/>
        <v>10.352</v>
      </c>
      <c r="C184" s="337">
        <f t="shared" si="53"/>
        <v>1.5221951544881507</v>
      </c>
      <c r="D184" s="338">
        <f t="shared" si="54"/>
        <v>0.8540354997965276</v>
      </c>
      <c r="E184" s="338">
        <f t="shared" si="55"/>
        <v>1.0000001869106008</v>
      </c>
      <c r="F184" s="339">
        <f t="shared" si="56"/>
        <v>6.1140914553474001E-4</v>
      </c>
      <c r="G184" s="338">
        <f t="shared" si="57"/>
        <v>1</v>
      </c>
      <c r="H184" s="339">
        <f t="shared" si="58"/>
        <v>0</v>
      </c>
      <c r="I184" s="337">
        <f t="shared" si="59"/>
        <v>19566.898777817918</v>
      </c>
      <c r="J184" s="340">
        <f t="shared" si="60"/>
        <v>1.5707452200757486</v>
      </c>
      <c r="K184" s="348">
        <f t="shared" si="81"/>
        <v>2.0623237645468886</v>
      </c>
      <c r="L184" s="349">
        <f t="shared" si="82"/>
        <v>1.0645590332160195</v>
      </c>
      <c r="M184" s="337">
        <f t="shared" si="63"/>
        <v>1.0000437167960425</v>
      </c>
      <c r="N184" s="340">
        <f t="shared" si="64"/>
        <v>9.3504228214708884E-3</v>
      </c>
      <c r="O184" s="341">
        <f t="shared" si="65"/>
        <v>0.99990554528915121</v>
      </c>
      <c r="P184" s="342">
        <f t="shared" si="66"/>
        <v>2.3436594336501892E-3</v>
      </c>
      <c r="Q184" s="343">
        <f t="shared" si="67"/>
        <v>13.963832667885532</v>
      </c>
      <c r="R184" s="344">
        <f t="shared" si="68"/>
        <v>-78.569952332251503</v>
      </c>
      <c r="S184" s="346">
        <f t="shared" si="69"/>
        <v>101.4300476677485</v>
      </c>
      <c r="U184" s="319">
        <f t="shared" si="75"/>
        <v>1000000000</v>
      </c>
      <c r="V184" s="319">
        <f t="shared" si="76"/>
        <v>107163904</v>
      </c>
      <c r="X184" s="345">
        <f t="shared" si="70"/>
        <v>18.163541647893972</v>
      </c>
      <c r="Y184" s="346">
        <f t="shared" si="71"/>
        <v>-29.538071952968181</v>
      </c>
      <c r="AA184" s="345">
        <f t="shared" si="72"/>
        <v>31.810464983593025</v>
      </c>
      <c r="AB184" s="346">
        <f t="shared" si="73"/>
        <v>-49.031880379283336</v>
      </c>
      <c r="AD184">
        <f t="shared" si="77"/>
        <v>0</v>
      </c>
      <c r="AE184">
        <f t="shared" si="80"/>
        <v>0</v>
      </c>
    </row>
    <row r="185" spans="1:31" x14ac:dyDescent="0.2">
      <c r="A185" s="347">
        <v>10411.5</v>
      </c>
      <c r="B185" s="364">
        <f t="shared" si="74"/>
        <v>10.4115</v>
      </c>
      <c r="C185" s="337">
        <f t="shared" si="53"/>
        <v>1.5271744792724695</v>
      </c>
      <c r="D185" s="338">
        <f t="shared" si="54"/>
        <v>0.85687302713484048</v>
      </c>
      <c r="E185" s="338">
        <f t="shared" si="55"/>
        <v>1.0000001890653807</v>
      </c>
      <c r="F185" s="339">
        <f t="shared" si="56"/>
        <v>6.1492332975178823E-4</v>
      </c>
      <c r="G185" s="338">
        <f t="shared" si="57"/>
        <v>1</v>
      </c>
      <c r="H185" s="339">
        <f t="shared" si="58"/>
        <v>0</v>
      </c>
      <c r="I185" s="337">
        <f t="shared" si="59"/>
        <v>19679.363081744505</v>
      </c>
      <c r="J185" s="340">
        <f t="shared" si="60"/>
        <v>1.5707455121421929</v>
      </c>
      <c r="K185" s="348">
        <f t="shared" si="81"/>
        <v>2.0713964514568173</v>
      </c>
      <c r="L185" s="349">
        <f t="shared" si="82"/>
        <v>1.0669857944864576</v>
      </c>
      <c r="M185" s="337">
        <f t="shared" si="63"/>
        <v>1.0000442207695701</v>
      </c>
      <c r="N185" s="340">
        <f t="shared" si="64"/>
        <v>9.4041629152120179E-3</v>
      </c>
      <c r="O185" s="341">
        <f t="shared" si="65"/>
        <v>0.99990445638062064</v>
      </c>
      <c r="P185" s="342">
        <f t="shared" si="66"/>
        <v>2.357132633696695E-3</v>
      </c>
      <c r="Q185" s="343">
        <f t="shared" si="67"/>
        <v>13.923818143395557</v>
      </c>
      <c r="R185" s="344">
        <f t="shared" si="68"/>
        <v>-78.597153918650747</v>
      </c>
      <c r="S185" s="346">
        <f t="shared" si="69"/>
        <v>101.40284608134925</v>
      </c>
      <c r="U185" s="319">
        <f t="shared" si="75"/>
        <v>1000000000</v>
      </c>
      <c r="V185" s="319">
        <f t="shared" si="76"/>
        <v>108399332.25</v>
      </c>
      <c r="X185" s="345">
        <f t="shared" si="70"/>
        <v>18.151884101136289</v>
      </c>
      <c r="Y185" s="346">
        <f t="shared" si="71"/>
        <v>-29.40212458886753</v>
      </c>
      <c r="AA185" s="345">
        <f t="shared" si="72"/>
        <v>31.782108005860728</v>
      </c>
      <c r="AB185" s="346">
        <f t="shared" si="73"/>
        <v>-49.19502932978321</v>
      </c>
      <c r="AD185">
        <f t="shared" si="77"/>
        <v>0</v>
      </c>
      <c r="AE185">
        <f t="shared" si="80"/>
        <v>0</v>
      </c>
    </row>
    <row r="186" spans="1:31" x14ac:dyDescent="0.2">
      <c r="A186" s="347">
        <v>10471</v>
      </c>
      <c r="B186" s="364">
        <f t="shared" si="74"/>
        <v>10.471</v>
      </c>
      <c r="C186" s="337">
        <f t="shared" si="53"/>
        <v>1.5321660202168788</v>
      </c>
      <c r="D186" s="338">
        <f t="shared" si="54"/>
        <v>0.85969208866793889</v>
      </c>
      <c r="E186" s="338">
        <f t="shared" si="55"/>
        <v>1.0000001912325098</v>
      </c>
      <c r="F186" s="339">
        <f t="shared" si="56"/>
        <v>6.1843751395364863E-4</v>
      </c>
      <c r="G186" s="338">
        <f t="shared" si="57"/>
        <v>1</v>
      </c>
      <c r="H186" s="339">
        <f t="shared" si="58"/>
        <v>0</v>
      </c>
      <c r="I186" s="337">
        <f t="shared" si="59"/>
        <v>19791.82738567275</v>
      </c>
      <c r="J186" s="340">
        <f t="shared" si="60"/>
        <v>1.5707458008893833</v>
      </c>
      <c r="K186" s="348">
        <f t="shared" si="81"/>
        <v>2.080481230736869</v>
      </c>
      <c r="L186" s="349">
        <f t="shared" si="82"/>
        <v>1.0693913760795983</v>
      </c>
      <c r="M186" s="337">
        <f t="shared" si="63"/>
        <v>1.0000447276312201</v>
      </c>
      <c r="N186" s="340">
        <f t="shared" si="64"/>
        <v>9.4579029546332013E-3</v>
      </c>
      <c r="O186" s="341">
        <f t="shared" si="65"/>
        <v>0.999903361231396</v>
      </c>
      <c r="P186" s="342">
        <f t="shared" si="66"/>
        <v>2.3706058783117697E-3</v>
      </c>
      <c r="Q186" s="343">
        <f t="shared" si="67"/>
        <v>13.883994263091775</v>
      </c>
      <c r="R186" s="344">
        <f t="shared" si="68"/>
        <v>-78.624510807729564</v>
      </c>
      <c r="S186" s="346">
        <f t="shared" si="69"/>
        <v>101.37548919227044</v>
      </c>
      <c r="U186" s="319">
        <f t="shared" si="75"/>
        <v>1000000000</v>
      </c>
      <c r="V186" s="319">
        <f t="shared" si="76"/>
        <v>109641841</v>
      </c>
      <c r="X186" s="345">
        <f t="shared" si="70"/>
        <v>18.140394060300466</v>
      </c>
      <c r="Y186" s="346">
        <f t="shared" si="71"/>
        <v>-29.267390537597308</v>
      </c>
      <c r="AA186" s="345">
        <f t="shared" si="72"/>
        <v>31.753774166392773</v>
      </c>
      <c r="AB186" s="346">
        <f t="shared" si="73"/>
        <v>-49.357120270132235</v>
      </c>
      <c r="AD186">
        <f t="shared" si="77"/>
        <v>0</v>
      </c>
      <c r="AE186">
        <f t="shared" si="80"/>
        <v>0</v>
      </c>
    </row>
    <row r="187" spans="1:31" x14ac:dyDescent="0.2">
      <c r="A187" s="347">
        <v>10532</v>
      </c>
      <c r="B187" s="364">
        <f t="shared" si="74"/>
        <v>10.532</v>
      </c>
      <c r="C187" s="337">
        <f t="shared" si="53"/>
        <v>1.5372959557517627</v>
      </c>
      <c r="D187" s="338">
        <f t="shared" si="54"/>
        <v>0.86256319065348741</v>
      </c>
      <c r="E187" s="338">
        <f t="shared" si="55"/>
        <v>1.000000193467093</v>
      </c>
      <c r="F187" s="339">
        <f t="shared" si="56"/>
        <v>6.2204029101868932E-4</v>
      </c>
      <c r="G187" s="338">
        <f t="shared" si="57"/>
        <v>1</v>
      </c>
      <c r="H187" s="339">
        <f t="shared" si="58"/>
        <v>0</v>
      </c>
      <c r="I187" s="337">
        <f t="shared" si="59"/>
        <v>19907.126924155498</v>
      </c>
      <c r="J187" s="340">
        <f t="shared" si="60"/>
        <v>1.5707460935289799</v>
      </c>
      <c r="K187" s="348">
        <f t="shared" si="81"/>
        <v>2.0898074264591218</v>
      </c>
      <c r="L187" s="349">
        <f t="shared" si="82"/>
        <v>1.0718358754777937</v>
      </c>
      <c r="M187" s="337">
        <f t="shared" si="63"/>
        <v>1.0000452502691453</v>
      </c>
      <c r="N187" s="340">
        <f t="shared" si="64"/>
        <v>9.5129977282479763E-3</v>
      </c>
      <c r="O187" s="341">
        <f t="shared" si="65"/>
        <v>0.99990223199469896</v>
      </c>
      <c r="P187" s="342">
        <f t="shared" si="66"/>
        <v>2.3844188310907012E-3</v>
      </c>
      <c r="Q187" s="343">
        <f t="shared" si="67"/>
        <v>13.84336189371297</v>
      </c>
      <c r="R187" s="344">
        <f t="shared" si="68"/>
        <v>-78.652711800538128</v>
      </c>
      <c r="S187" s="346">
        <f t="shared" si="69"/>
        <v>101.34728819946187</v>
      </c>
      <c r="U187" s="319">
        <f t="shared" si="75"/>
        <v>1000000000</v>
      </c>
      <c r="V187" s="319">
        <f t="shared" si="76"/>
        <v>110923024</v>
      </c>
      <c r="X187" s="345">
        <f t="shared" si="70"/>
        <v>18.128785025431537</v>
      </c>
      <c r="Y187" s="346">
        <f t="shared" si="71"/>
        <v>-29.130504503917191</v>
      </c>
      <c r="AA187" s="345">
        <f t="shared" si="72"/>
        <v>31.724750831882901</v>
      </c>
      <c r="AB187" s="346">
        <f t="shared" si="73"/>
        <v>-49.522207296620934</v>
      </c>
      <c r="AD187">
        <f t="shared" si="77"/>
        <v>0</v>
      </c>
      <c r="AE187">
        <f t="shared" si="80"/>
        <v>0</v>
      </c>
    </row>
    <row r="188" spans="1:31" x14ac:dyDescent="0.2">
      <c r="A188" s="347">
        <v>10593</v>
      </c>
      <c r="B188" s="364">
        <f t="shared" si="74"/>
        <v>10.593</v>
      </c>
      <c r="C188" s="337">
        <f t="shared" si="53"/>
        <v>1.5424384792124088</v>
      </c>
      <c r="D188" s="338">
        <f t="shared" si="54"/>
        <v>0.86541517138522384</v>
      </c>
      <c r="E188" s="338">
        <f t="shared" si="55"/>
        <v>1.0000001957146563</v>
      </c>
      <c r="F188" s="339">
        <f t="shared" si="56"/>
        <v>6.2564306806758201E-4</v>
      </c>
      <c r="G188" s="338">
        <f t="shared" si="57"/>
        <v>1</v>
      </c>
      <c r="H188" s="339">
        <f t="shared" si="58"/>
        <v>0</v>
      </c>
      <c r="I188" s="337">
        <f t="shared" si="59"/>
        <v>20022.426462639938</v>
      </c>
      <c r="J188" s="340">
        <f t="shared" si="60"/>
        <v>1.5707463827982346</v>
      </c>
      <c r="K188" s="348">
        <f t="shared" si="81"/>
        <v>2.0991459989809496</v>
      </c>
      <c r="L188" s="349">
        <f t="shared" si="82"/>
        <v>1.0742586393204658</v>
      </c>
      <c r="M188" s="337">
        <f t="shared" si="63"/>
        <v>1.0000457759426389</v>
      </c>
      <c r="N188" s="340">
        <f t="shared" si="64"/>
        <v>9.5680924441089148E-3</v>
      </c>
      <c r="O188" s="341">
        <f t="shared" si="65"/>
        <v>0.99990109619868717</v>
      </c>
      <c r="P188" s="342">
        <f t="shared" si="66"/>
        <v>2.3982318312561913E-3</v>
      </c>
      <c r="Q188" s="343">
        <f t="shared" si="67"/>
        <v>13.802924996163355</v>
      </c>
      <c r="R188" s="344">
        <f t="shared" si="68"/>
        <v>-78.681062388101864</v>
      </c>
      <c r="S188" s="346">
        <f t="shared" si="69"/>
        <v>101.31893761189814</v>
      </c>
      <c r="U188" s="319">
        <f t="shared" si="75"/>
        <v>1000000000</v>
      </c>
      <c r="V188" s="319">
        <f t="shared" si="76"/>
        <v>112211649</v>
      </c>
      <c r="X188" s="345">
        <f t="shared" si="70"/>
        <v>18.117345569536567</v>
      </c>
      <c r="Y188" s="346">
        <f t="shared" si="71"/>
        <v>-28.994863629419925</v>
      </c>
      <c r="AA188" s="345">
        <f t="shared" si="72"/>
        <v>31.695753390228255</v>
      </c>
      <c r="AB188" s="346">
        <f t="shared" si="73"/>
        <v>-49.686198758681911</v>
      </c>
      <c r="AD188">
        <f t="shared" si="77"/>
        <v>0</v>
      </c>
      <c r="AE188">
        <f t="shared" si="80"/>
        <v>0</v>
      </c>
    </row>
    <row r="189" spans="1:31" x14ac:dyDescent="0.2">
      <c r="A189" s="347">
        <v>10654</v>
      </c>
      <c r="B189" s="364">
        <f t="shared" si="74"/>
        <v>10.654</v>
      </c>
      <c r="C189" s="337">
        <f t="shared" si="53"/>
        <v>1.547593465112953</v>
      </c>
      <c r="D189" s="338">
        <f t="shared" si="54"/>
        <v>0.86824817531344056</v>
      </c>
      <c r="E189" s="338">
        <f t="shared" si="55"/>
        <v>1.0000001979751993</v>
      </c>
      <c r="F189" s="339">
        <f t="shared" si="56"/>
        <v>6.2924584510023281E-4</v>
      </c>
      <c r="G189" s="338">
        <f t="shared" si="57"/>
        <v>1</v>
      </c>
      <c r="H189" s="339">
        <f t="shared" si="58"/>
        <v>0</v>
      </c>
      <c r="I189" s="337">
        <f t="shared" si="59"/>
        <v>20137.726001126026</v>
      </c>
      <c r="J189" s="340">
        <f t="shared" si="60"/>
        <v>1.5707466687550387</v>
      </c>
      <c r="K189" s="348">
        <f t="shared" si="81"/>
        <v>2.1084967838511135</v>
      </c>
      <c r="L189" s="349">
        <f t="shared" si="82"/>
        <v>1.0766599281544498</v>
      </c>
      <c r="M189" s="337">
        <f t="shared" si="63"/>
        <v>1.0000463046516956</v>
      </c>
      <c r="N189" s="340">
        <f t="shared" si="64"/>
        <v>9.6231871018816369E-3</v>
      </c>
      <c r="O189" s="341">
        <f t="shared" si="65"/>
        <v>0.99989995384336239</v>
      </c>
      <c r="P189" s="342">
        <f t="shared" si="66"/>
        <v>2.4120448790828758E-3</v>
      </c>
      <c r="Q189" s="343">
        <f t="shared" si="67"/>
        <v>13.76268116865411</v>
      </c>
      <c r="R189" s="344">
        <f t="shared" si="68"/>
        <v>-78.709555921892289</v>
      </c>
      <c r="S189" s="346">
        <f t="shared" si="69"/>
        <v>101.29044407810771</v>
      </c>
      <c r="U189" s="319">
        <f t="shared" si="75"/>
        <v>1000000000</v>
      </c>
      <c r="V189" s="319">
        <f t="shared" si="76"/>
        <v>113507716</v>
      </c>
      <c r="X189" s="345">
        <f t="shared" si="70"/>
        <v>18.106072522186189</v>
      </c>
      <c r="Y189" s="346">
        <f t="shared" si="71"/>
        <v>-28.860452989169264</v>
      </c>
      <c r="AA189" s="345">
        <f t="shared" si="72"/>
        <v>31.66678261006939</v>
      </c>
      <c r="AB189" s="346">
        <f t="shared" si="73"/>
        <v>-49.849102932723042</v>
      </c>
      <c r="AD189">
        <f t="shared" si="77"/>
        <v>0</v>
      </c>
      <c r="AE189">
        <f t="shared" si="80"/>
        <v>0</v>
      </c>
    </row>
    <row r="190" spans="1:31" x14ac:dyDescent="0.2">
      <c r="A190" s="347">
        <v>10715</v>
      </c>
      <c r="B190" s="364">
        <f t="shared" si="74"/>
        <v>10.715</v>
      </c>
      <c r="C190" s="337">
        <f t="shared" si="53"/>
        <v>1.5527607893318314</v>
      </c>
      <c r="D190" s="338">
        <f t="shared" si="54"/>
        <v>0.8710623461910203</v>
      </c>
      <c r="E190" s="338">
        <f t="shared" si="55"/>
        <v>1.0000002002487227</v>
      </c>
      <c r="F190" s="339">
        <f t="shared" si="56"/>
        <v>6.3284862211654847E-4</v>
      </c>
      <c r="G190" s="338">
        <f t="shared" si="57"/>
        <v>1</v>
      </c>
      <c r="H190" s="339">
        <f t="shared" si="58"/>
        <v>0</v>
      </c>
      <c r="I190" s="337">
        <f t="shared" si="59"/>
        <v>20253.025539613747</v>
      </c>
      <c r="J190" s="340">
        <f t="shared" si="60"/>
        <v>1.5707469514559651</v>
      </c>
      <c r="K190" s="348">
        <f t="shared" si="81"/>
        <v>2.1178596193095474</v>
      </c>
      <c r="L190" s="349">
        <f t="shared" si="82"/>
        <v>1.0790399989188511</v>
      </c>
      <c r="M190" s="337">
        <f t="shared" si="63"/>
        <v>1.0000468363963111</v>
      </c>
      <c r="N190" s="340">
        <f t="shared" si="64"/>
        <v>9.678281701231764E-3</v>
      </c>
      <c r="O190" s="341">
        <f t="shared" si="65"/>
        <v>0.99989880492872563</v>
      </c>
      <c r="P190" s="342">
        <f t="shared" si="66"/>
        <v>2.4258579748453932E-3</v>
      </c>
      <c r="Q190" s="343">
        <f t="shared" si="67"/>
        <v>13.722628062253108</v>
      </c>
      <c r="R190" s="344">
        <f t="shared" si="68"/>
        <v>-78.738185920054619</v>
      </c>
      <c r="S190" s="346">
        <f t="shared" si="69"/>
        <v>101.26181407994538</v>
      </c>
      <c r="U190" s="319">
        <f t="shared" si="75"/>
        <v>1000000000</v>
      </c>
      <c r="V190" s="319">
        <f t="shared" si="76"/>
        <v>114811225</v>
      </c>
      <c r="X190" s="345">
        <f t="shared" si="70"/>
        <v>18.094962784086917</v>
      </c>
      <c r="Y190" s="346">
        <f t="shared" si="71"/>
        <v>-28.72725786486107</v>
      </c>
      <c r="AA190" s="345">
        <f t="shared" si="72"/>
        <v>31.637839241767661</v>
      </c>
      <c r="AB190" s="346">
        <f t="shared" si="73"/>
        <v>-50.010928055193546</v>
      </c>
      <c r="AD190">
        <f t="shared" si="77"/>
        <v>0</v>
      </c>
      <c r="AE190">
        <f t="shared" si="80"/>
        <v>0</v>
      </c>
    </row>
    <row r="191" spans="1:31" x14ac:dyDescent="0.2">
      <c r="A191" s="347">
        <v>10777.5</v>
      </c>
      <c r="B191" s="364">
        <f t="shared" si="74"/>
        <v>10.7775</v>
      </c>
      <c r="C191" s="337">
        <f t="shared" si="53"/>
        <v>1.5580678476803527</v>
      </c>
      <c r="D191" s="338">
        <f t="shared" si="54"/>
        <v>0.87392633415754239</v>
      </c>
      <c r="E191" s="338">
        <f t="shared" si="55"/>
        <v>1.000000202591615</v>
      </c>
      <c r="F191" s="339">
        <f t="shared" si="56"/>
        <v>6.3653999199327397E-4</v>
      </c>
      <c r="G191" s="338">
        <f t="shared" si="57"/>
        <v>1</v>
      </c>
      <c r="H191" s="339">
        <f t="shared" si="58"/>
        <v>0</v>
      </c>
      <c r="I191" s="337">
        <f t="shared" si="59"/>
        <v>20371.160312656102</v>
      </c>
      <c r="J191" s="340">
        <f t="shared" si="60"/>
        <v>1.5707472377894078</v>
      </c>
      <c r="K191" s="348">
        <f t="shared" si="81"/>
        <v>2.1274650207752375</v>
      </c>
      <c r="L191" s="349">
        <f t="shared" si="82"/>
        <v>1.0814568538293803</v>
      </c>
      <c r="M191" s="337">
        <f t="shared" si="63"/>
        <v>1.0000473843650526</v>
      </c>
      <c r="N191" s="340">
        <f t="shared" si="64"/>
        <v>9.7347310248669661E-3</v>
      </c>
      <c r="O191" s="341">
        <f t="shared" si="65"/>
        <v>0.99989762095885426</v>
      </c>
      <c r="P191" s="342">
        <f t="shared" si="66"/>
        <v>2.4400107869027932E-3</v>
      </c>
      <c r="Q191" s="343">
        <f t="shared" si="67"/>
        <v>13.681785454706205</v>
      </c>
      <c r="R191" s="344">
        <f t="shared" si="68"/>
        <v>-78.767654867260504</v>
      </c>
      <c r="S191" s="346">
        <f t="shared" si="69"/>
        <v>101.2323451327395</v>
      </c>
      <c r="U191" s="319">
        <f t="shared" si="75"/>
        <v>1000000000</v>
      </c>
      <c r="V191" s="319">
        <f t="shared" si="76"/>
        <v>116154506.25</v>
      </c>
      <c r="X191" s="345">
        <f t="shared" si="70"/>
        <v>18.083746070033332</v>
      </c>
      <c r="Y191" s="346">
        <f t="shared" si="71"/>
        <v>-28.592032992336229</v>
      </c>
      <c r="AA191" s="345">
        <f t="shared" si="72"/>
        <v>31.60821334827434</v>
      </c>
      <c r="AB191" s="346">
        <f t="shared" si="73"/>
        <v>-50.175621874924275</v>
      </c>
      <c r="AD191">
        <f t="shared" si="77"/>
        <v>0</v>
      </c>
      <c r="AE191">
        <f t="shared" si="80"/>
        <v>0</v>
      </c>
    </row>
    <row r="192" spans="1:31" x14ac:dyDescent="0.2">
      <c r="A192" s="347">
        <v>10840</v>
      </c>
      <c r="B192" s="364">
        <f t="shared" si="74"/>
        <v>10.84</v>
      </c>
      <c r="C192" s="337">
        <f t="shared" si="53"/>
        <v>1.5633875991405863</v>
      </c>
      <c r="D192" s="338">
        <f t="shared" si="54"/>
        <v>0.87677085469461891</v>
      </c>
      <c r="E192" s="338">
        <f t="shared" si="55"/>
        <v>1.0000002049481334</v>
      </c>
      <c r="F192" s="339">
        <f t="shared" si="56"/>
        <v>6.4023136185265234E-4</v>
      </c>
      <c r="G192" s="338">
        <f t="shared" si="57"/>
        <v>1</v>
      </c>
      <c r="H192" s="339">
        <f t="shared" si="58"/>
        <v>0</v>
      </c>
      <c r="I192" s="337">
        <f t="shared" si="59"/>
        <v>20489.295085700112</v>
      </c>
      <c r="J192" s="340">
        <f t="shared" si="60"/>
        <v>1.5707475208210349</v>
      </c>
      <c r="K192" s="348">
        <f t="shared" si="81"/>
        <v>2.1370827374123307</v>
      </c>
      <c r="L192" s="349">
        <f t="shared" si="82"/>
        <v>1.0838519690216419</v>
      </c>
      <c r="M192" s="337">
        <f t="shared" si="63"/>
        <v>1.0000479355204679</v>
      </c>
      <c r="N192" s="340">
        <f t="shared" si="64"/>
        <v>9.791180286460326E-3</v>
      </c>
      <c r="O192" s="341">
        <f t="shared" si="65"/>
        <v>0.99989643010311835</v>
      </c>
      <c r="P192" s="342">
        <f t="shared" si="66"/>
        <v>2.454163649866236E-3</v>
      </c>
      <c r="Q192" s="343">
        <f t="shared" si="67"/>
        <v>13.641138234495605</v>
      </c>
      <c r="R192" s="344">
        <f t="shared" si="68"/>
        <v>-78.797253817208727</v>
      </c>
      <c r="S192" s="346">
        <f t="shared" si="69"/>
        <v>101.20274618279127</v>
      </c>
      <c r="U192" s="319">
        <f t="shared" si="75"/>
        <v>1000000000</v>
      </c>
      <c r="V192" s="319">
        <f t="shared" si="76"/>
        <v>117505600</v>
      </c>
      <c r="X192" s="345">
        <f t="shared" si="70"/>
        <v>18.072694429443718</v>
      </c>
      <c r="Y192" s="346">
        <f t="shared" si="71"/>
        <v>-28.458053521182503</v>
      </c>
      <c r="AA192" s="345">
        <f t="shared" si="72"/>
        <v>31.578617768653352</v>
      </c>
      <c r="AB192" s="346">
        <f t="shared" si="73"/>
        <v>-50.339200296026235</v>
      </c>
      <c r="AD192">
        <f t="shared" si="77"/>
        <v>0</v>
      </c>
      <c r="AE192">
        <f t="shared" si="80"/>
        <v>0</v>
      </c>
    </row>
    <row r="193" spans="1:31" x14ac:dyDescent="0.2">
      <c r="A193" s="347">
        <v>10902.5</v>
      </c>
      <c r="B193" s="364">
        <f t="shared" si="74"/>
        <v>10.9025</v>
      </c>
      <c r="C193" s="337">
        <f t="shared" si="53"/>
        <v>1.5687199145801181</v>
      </c>
      <c r="D193" s="338">
        <f t="shared" si="54"/>
        <v>0.87959606005397062</v>
      </c>
      <c r="E193" s="338">
        <f t="shared" si="55"/>
        <v>1.0000002073182781</v>
      </c>
      <c r="F193" s="339">
        <f t="shared" si="56"/>
        <v>6.4392273169458275E-4</v>
      </c>
      <c r="G193" s="338">
        <f t="shared" si="57"/>
        <v>1</v>
      </c>
      <c r="H193" s="339">
        <f t="shared" si="58"/>
        <v>0</v>
      </c>
      <c r="I193" s="337">
        <f t="shared" si="59"/>
        <v>20607.429858745738</v>
      </c>
      <c r="J193" s="340">
        <f t="shared" si="60"/>
        <v>1.5707478006076308</v>
      </c>
      <c r="K193" s="348">
        <f t="shared" si="81"/>
        <v>2.146712603697285</v>
      </c>
      <c r="L193" s="349">
        <f t="shared" si="82"/>
        <v>1.0862256093946092</v>
      </c>
      <c r="M193" s="337">
        <f t="shared" si="63"/>
        <v>1.0000484898625512</v>
      </c>
      <c r="N193" s="340">
        <f t="shared" si="64"/>
        <v>9.8476294856521956E-3</v>
      </c>
      <c r="O193" s="341">
        <f t="shared" si="65"/>
        <v>0.99989523236151956</v>
      </c>
      <c r="P193" s="342">
        <f t="shared" si="66"/>
        <v>2.4683165640311307E-3</v>
      </c>
      <c r="Q193" s="343">
        <f t="shared" si="67"/>
        <v>13.600684037890833</v>
      </c>
      <c r="R193" s="344">
        <f t="shared" si="68"/>
        <v>-78.826976318937014</v>
      </c>
      <c r="S193" s="346">
        <f t="shared" si="69"/>
        <v>101.17302368106299</v>
      </c>
      <c r="U193" s="319">
        <f t="shared" si="75"/>
        <v>1000000000</v>
      </c>
      <c r="V193" s="319">
        <f t="shared" si="76"/>
        <v>118864506.25</v>
      </c>
      <c r="X193" s="345">
        <f t="shared" si="70"/>
        <v>18.061804749169422</v>
      </c>
      <c r="Y193" s="346">
        <f t="shared" si="71"/>
        <v>-28.325304277039628</v>
      </c>
      <c r="AA193" s="345">
        <f t="shared" si="72"/>
        <v>31.549053252322881</v>
      </c>
      <c r="AB193" s="346">
        <f t="shared" si="73"/>
        <v>-50.501672041897372</v>
      </c>
      <c r="AD193">
        <f t="shared" si="77"/>
        <v>0</v>
      </c>
      <c r="AE193">
        <f t="shared" si="80"/>
        <v>0</v>
      </c>
    </row>
    <row r="194" spans="1:31" x14ac:dyDescent="0.2">
      <c r="A194" s="347">
        <v>10965</v>
      </c>
      <c r="B194" s="364">
        <f t="shared" si="74"/>
        <v>10.965</v>
      </c>
      <c r="C194" s="337">
        <f t="shared" si="53"/>
        <v>1.5740646663134097</v>
      </c>
      <c r="D194" s="338">
        <f t="shared" si="54"/>
        <v>0.88240210166008748</v>
      </c>
      <c r="E194" s="338">
        <f t="shared" si="55"/>
        <v>1.0000002097020488</v>
      </c>
      <c r="F194" s="339">
        <f t="shared" si="56"/>
        <v>6.476141015189647E-4</v>
      </c>
      <c r="G194" s="338">
        <f t="shared" si="57"/>
        <v>1</v>
      </c>
      <c r="H194" s="339">
        <f t="shared" si="58"/>
        <v>0</v>
      </c>
      <c r="I194" s="337">
        <f t="shared" si="59"/>
        <v>20725.564631792964</v>
      </c>
      <c r="J194" s="340">
        <f t="shared" si="60"/>
        <v>1.5707480772046851</v>
      </c>
      <c r="K194" s="348">
        <f t="shared" si="81"/>
        <v>2.1563544568561008</v>
      </c>
      <c r="L194" s="349">
        <f t="shared" si="82"/>
        <v>1.0885780360863357</v>
      </c>
      <c r="M194" s="337">
        <f t="shared" si="63"/>
        <v>1.0000490473912977</v>
      </c>
      <c r="N194" s="340">
        <f t="shared" si="64"/>
        <v>9.9040786220829253E-3</v>
      </c>
      <c r="O194" s="341">
        <f t="shared" si="65"/>
        <v>0.99989402773405933</v>
      </c>
      <c r="P194" s="342">
        <f t="shared" si="66"/>
        <v>2.4824695296928939E-3</v>
      </c>
      <c r="Q194" s="343">
        <f t="shared" si="67"/>
        <v>13.560420552917225</v>
      </c>
      <c r="R194" s="344">
        <f t="shared" si="68"/>
        <v>-78.856816089496789</v>
      </c>
      <c r="S194" s="346">
        <f t="shared" si="69"/>
        <v>101.14318391050321</v>
      </c>
      <c r="U194" s="319">
        <f t="shared" si="75"/>
        <v>1000000000</v>
      </c>
      <c r="V194" s="319">
        <f t="shared" si="76"/>
        <v>120231225</v>
      </c>
      <c r="X194" s="345">
        <f t="shared" si="70"/>
        <v>18.051073986597086</v>
      </c>
      <c r="Y194" s="346">
        <f t="shared" si="71"/>
        <v>-28.193770300957958</v>
      </c>
      <c r="AA194" s="345">
        <f t="shared" si="72"/>
        <v>31.519520529921607</v>
      </c>
      <c r="AB194" s="346">
        <f t="shared" si="73"/>
        <v>-50.663045788538831</v>
      </c>
      <c r="AD194">
        <f t="shared" si="77"/>
        <v>0</v>
      </c>
      <c r="AE194">
        <f t="shared" si="80"/>
        <v>0</v>
      </c>
    </row>
    <row r="195" spans="1:31" x14ac:dyDescent="0.2">
      <c r="A195" s="347">
        <v>11028.75</v>
      </c>
      <c r="B195" s="364">
        <f t="shared" si="74"/>
        <v>11.02875</v>
      </c>
      <c r="C195" s="337">
        <f t="shared" si="53"/>
        <v>1.5795289940256414</v>
      </c>
      <c r="D195" s="338">
        <f t="shared" si="54"/>
        <v>0.88524467776159765</v>
      </c>
      <c r="E195" s="338">
        <f t="shared" si="55"/>
        <v>1.0000002121475329</v>
      </c>
      <c r="F195" s="339">
        <f t="shared" si="56"/>
        <v>6.5137929872165158E-4</v>
      </c>
      <c r="G195" s="338">
        <f t="shared" si="57"/>
        <v>1</v>
      </c>
      <c r="H195" s="339">
        <f t="shared" si="58"/>
        <v>0</v>
      </c>
      <c r="I195" s="337">
        <f t="shared" si="59"/>
        <v>20846.062100302752</v>
      </c>
      <c r="J195" s="340">
        <f t="shared" si="60"/>
        <v>1.5707483561040501</v>
      </c>
      <c r="K195" s="348">
        <f t="shared" si="81"/>
        <v>2.1662013299590952</v>
      </c>
      <c r="L195" s="349">
        <f t="shared" si="82"/>
        <v>1.090955923931352</v>
      </c>
      <c r="M195" s="337">
        <f t="shared" si="63"/>
        <v>1.000049619353514</v>
      </c>
      <c r="N195" s="340">
        <f t="shared" si="64"/>
        <v>9.9616566762127674E-3</v>
      </c>
      <c r="O195" s="341">
        <f t="shared" si="65"/>
        <v>0.99989279192023683</v>
      </c>
      <c r="P195" s="342">
        <f t="shared" si="66"/>
        <v>2.4969056080263344E-3</v>
      </c>
      <c r="Q195" s="343">
        <f t="shared" si="67"/>
        <v>13.51954592405438</v>
      </c>
      <c r="R195" s="344">
        <f t="shared" si="68"/>
        <v>-78.887367121121272</v>
      </c>
      <c r="S195" s="346">
        <f t="shared" si="69"/>
        <v>101.11263287887873</v>
      </c>
      <c r="U195" s="319">
        <f t="shared" si="75"/>
        <v>1000000000</v>
      </c>
      <c r="V195" s="319">
        <f t="shared" si="76"/>
        <v>121633326.5625</v>
      </c>
      <c r="X195" s="345">
        <f t="shared" si="70"/>
        <v>18.040289241977774</v>
      </c>
      <c r="Y195" s="346">
        <f t="shared" si="71"/>
        <v>-28.060842322381916</v>
      </c>
      <c r="AA195" s="345">
        <f t="shared" si="72"/>
        <v>31.48943064567807</v>
      </c>
      <c r="AB195" s="346">
        <f t="shared" si="73"/>
        <v>-50.826524798739392</v>
      </c>
      <c r="AD195">
        <f t="shared" si="77"/>
        <v>0</v>
      </c>
      <c r="AE195">
        <f t="shared" si="80"/>
        <v>0</v>
      </c>
    </row>
    <row r="196" spans="1:31" x14ac:dyDescent="0.2">
      <c r="A196" s="347">
        <v>11092.5</v>
      </c>
      <c r="B196" s="364">
        <f t="shared" si="74"/>
        <v>11.092499999999999</v>
      </c>
      <c r="C196" s="337">
        <f t="shared" si="53"/>
        <v>1.5850059966485612</v>
      </c>
      <c r="D196" s="338">
        <f t="shared" si="54"/>
        <v>0.88806763144710488</v>
      </c>
      <c r="E196" s="338">
        <f t="shared" si="55"/>
        <v>1.0000002146071936</v>
      </c>
      <c r="F196" s="339">
        <f t="shared" si="56"/>
        <v>6.5514449590586962E-4</v>
      </c>
      <c r="G196" s="338">
        <f t="shared" si="57"/>
        <v>1</v>
      </c>
      <c r="H196" s="339">
        <f t="shared" si="58"/>
        <v>0</v>
      </c>
      <c r="I196" s="337">
        <f t="shared" si="59"/>
        <v>20966.559568814137</v>
      </c>
      <c r="J196" s="340">
        <f t="shared" si="60"/>
        <v>1.5707486317976751</v>
      </c>
      <c r="K196" s="348">
        <f t="shared" si="81"/>
        <v>2.1760603406328674</v>
      </c>
      <c r="L196" s="349">
        <f t="shared" si="82"/>
        <v>1.0933122781507811</v>
      </c>
      <c r="M196" s="337">
        <f t="shared" si="63"/>
        <v>1.0000501946311233</v>
      </c>
      <c r="N196" s="340">
        <f t="shared" si="64"/>
        <v>1.0019234664290087E-2</v>
      </c>
      <c r="O196" s="341">
        <f t="shared" si="65"/>
        <v>0.99989154894236709</v>
      </c>
      <c r="P196" s="342">
        <f t="shared" si="66"/>
        <v>2.5113417405579742E-3</v>
      </c>
      <c r="Q196" s="343">
        <f t="shared" si="67"/>
        <v>13.478865010750557</v>
      </c>
      <c r="R196" s="344">
        <f t="shared" si="68"/>
        <v>-78.918027472635345</v>
      </c>
      <c r="S196" s="346">
        <f t="shared" si="69"/>
        <v>101.08197252736466</v>
      </c>
      <c r="U196" s="319">
        <f t="shared" si="75"/>
        <v>1000000000</v>
      </c>
      <c r="V196" s="319">
        <f t="shared" si="76"/>
        <v>123043556.25</v>
      </c>
      <c r="X196" s="345">
        <f t="shared" si="70"/>
        <v>18.029663657233638</v>
      </c>
      <c r="Y196" s="346">
        <f t="shared" si="71"/>
        <v>-27.929147942211127</v>
      </c>
      <c r="AA196" s="345">
        <f t="shared" si="72"/>
        <v>31.459375317118386</v>
      </c>
      <c r="AB196" s="346">
        <f t="shared" si="73"/>
        <v>-50.988879530424242</v>
      </c>
      <c r="AD196">
        <f t="shared" si="77"/>
        <v>0</v>
      </c>
      <c r="AE196">
        <f t="shared" si="80"/>
        <v>0</v>
      </c>
    </row>
    <row r="197" spans="1:31" x14ac:dyDescent="0.2">
      <c r="A197" s="347">
        <v>11156.25</v>
      </c>
      <c r="B197" s="364">
        <f t="shared" si="74"/>
        <v>11.15625</v>
      </c>
      <c r="C197" s="337">
        <f t="shared" si="53"/>
        <v>1.5904955432408723</v>
      </c>
      <c r="D197" s="338">
        <f t="shared" si="54"/>
        <v>0.89087112066944929</v>
      </c>
      <c r="E197" s="338">
        <f t="shared" si="55"/>
        <v>1.0000002170810312</v>
      </c>
      <c r="F197" s="339">
        <f t="shared" si="56"/>
        <v>6.5890969307151202E-4</v>
      </c>
      <c r="G197" s="338">
        <f t="shared" si="57"/>
        <v>1</v>
      </c>
      <c r="H197" s="339">
        <f t="shared" si="58"/>
        <v>0</v>
      </c>
      <c r="I197" s="337">
        <f t="shared" si="59"/>
        <v>21087.0570373271</v>
      </c>
      <c r="J197" s="340">
        <f t="shared" si="60"/>
        <v>1.5707489043405161</v>
      </c>
      <c r="K197" s="348">
        <f t="shared" si="81"/>
        <v>2.1859313246484211</v>
      </c>
      <c r="L197" s="349">
        <f t="shared" si="82"/>
        <v>1.0956473641169056</v>
      </c>
      <c r="M197" s="337">
        <f t="shared" si="63"/>
        <v>1.0000507732241199</v>
      </c>
      <c r="N197" s="340">
        <f t="shared" si="64"/>
        <v>1.0076812585933232E-2</v>
      </c>
      <c r="O197" s="341">
        <f t="shared" si="65"/>
        <v>0.99989029880045177</v>
      </c>
      <c r="P197" s="342">
        <f t="shared" si="66"/>
        <v>2.5257779276013203E-3</v>
      </c>
      <c r="Q197" s="343">
        <f t="shared" si="67"/>
        <v>13.438375516365436</v>
      </c>
      <c r="R197" s="344">
        <f t="shared" si="68"/>
        <v>-78.948790992503163</v>
      </c>
      <c r="S197" s="346">
        <f t="shared" si="69"/>
        <v>101.05120900749684</v>
      </c>
      <c r="U197" s="319">
        <f t="shared" si="75"/>
        <v>1000000000</v>
      </c>
      <c r="V197" s="319">
        <f t="shared" si="76"/>
        <v>124461914.0625</v>
      </c>
      <c r="X197" s="345">
        <f t="shared" si="70"/>
        <v>18.019194218593302</v>
      </c>
      <c r="Y197" s="346">
        <f t="shared" si="71"/>
        <v>-27.798671958860691</v>
      </c>
      <c r="AA197" s="345">
        <f t="shared" si="72"/>
        <v>31.429355261373605</v>
      </c>
      <c r="AB197" s="346">
        <f t="shared" si="73"/>
        <v>-51.150119033642454</v>
      </c>
      <c r="AD197">
        <f t="shared" si="77"/>
        <v>0</v>
      </c>
      <c r="AE197">
        <f t="shared" si="80"/>
        <v>0</v>
      </c>
    </row>
    <row r="198" spans="1:31" x14ac:dyDescent="0.2">
      <c r="A198" s="347">
        <v>11220</v>
      </c>
      <c r="B198" s="364">
        <f t="shared" si="74"/>
        <v>11.22</v>
      </c>
      <c r="C198" s="337">
        <f t="shared" si="53"/>
        <v>1.5959975043649635</v>
      </c>
      <c r="D198" s="338">
        <f t="shared" si="54"/>
        <v>0.89365530243471214</v>
      </c>
      <c r="E198" s="338">
        <f t="shared" si="55"/>
        <v>1.0000002195690452</v>
      </c>
      <c r="F198" s="339">
        <f t="shared" si="56"/>
        <v>6.626748902184721E-4</v>
      </c>
      <c r="G198" s="338">
        <f t="shared" si="57"/>
        <v>1</v>
      </c>
      <c r="H198" s="339">
        <f t="shared" si="58"/>
        <v>0</v>
      </c>
      <c r="I198" s="337">
        <f t="shared" si="59"/>
        <v>21207.554505841606</v>
      </c>
      <c r="J198" s="340">
        <f t="shared" si="60"/>
        <v>1.5707491737862791</v>
      </c>
      <c r="K198" s="348">
        <f t="shared" si="81"/>
        <v>2.1958141205321704</v>
      </c>
      <c r="L198" s="349">
        <f t="shared" si="82"/>
        <v>1.0979614433609677</v>
      </c>
      <c r="M198" s="337">
        <f t="shared" si="63"/>
        <v>1.0000513551324979</v>
      </c>
      <c r="N198" s="340">
        <f t="shared" si="64"/>
        <v>1.013439044076055E-2</v>
      </c>
      <c r="O198" s="341">
        <f t="shared" si="65"/>
        <v>0.99988904149449243</v>
      </c>
      <c r="P198" s="342">
        <f t="shared" si="66"/>
        <v>2.5402141694698867E-3</v>
      </c>
      <c r="Q198" s="343">
        <f t="shared" si="67"/>
        <v>13.398075194003184</v>
      </c>
      <c r="R198" s="344">
        <f t="shared" si="68"/>
        <v>-78.97965169494725</v>
      </c>
      <c r="S198" s="346">
        <f t="shared" si="69"/>
        <v>101.02034830505275</v>
      </c>
      <c r="U198" s="319">
        <f t="shared" si="75"/>
        <v>1000000000</v>
      </c>
      <c r="V198" s="319">
        <f t="shared" si="76"/>
        <v>125888400</v>
      </c>
      <c r="X198" s="345">
        <f t="shared" si="70"/>
        <v>18.008877980918729</v>
      </c>
      <c r="Y198" s="346">
        <f t="shared" si="71"/>
        <v>-27.669399390749444</v>
      </c>
      <c r="AA198" s="345">
        <f t="shared" si="72"/>
        <v>31.399371176685918</v>
      </c>
      <c r="AB198" s="346">
        <f t="shared" si="73"/>
        <v>-51.310252304197817</v>
      </c>
      <c r="AD198">
        <f t="shared" si="77"/>
        <v>0</v>
      </c>
      <c r="AE198">
        <f t="shared" si="80"/>
        <v>0</v>
      </c>
    </row>
    <row r="199" spans="1:31" x14ac:dyDescent="0.2">
      <c r="A199" s="347">
        <v>11285.5</v>
      </c>
      <c r="B199" s="364">
        <f t="shared" si="74"/>
        <v>11.285500000000001</v>
      </c>
      <c r="C199" s="337">
        <f t="shared" si="53"/>
        <v>1.6016632956367767</v>
      </c>
      <c r="D199" s="338">
        <f t="shared" si="54"/>
        <v>0.89649596698727696</v>
      </c>
      <c r="E199" s="338">
        <f t="shared" si="55"/>
        <v>1.0000002221401236</v>
      </c>
      <c r="F199" s="339">
        <f t="shared" si="56"/>
        <v>6.6654344569891518E-4</v>
      </c>
      <c r="G199" s="338">
        <f t="shared" si="57"/>
        <v>1</v>
      </c>
      <c r="H199" s="339">
        <f t="shared" si="58"/>
        <v>0</v>
      </c>
      <c r="I199" s="337">
        <f t="shared" si="59"/>
        <v>21331.3597480032</v>
      </c>
      <c r="J199" s="340">
        <f t="shared" si="60"/>
        <v>1.5707494474579871</v>
      </c>
      <c r="K199" s="348">
        <f t="shared" si="81"/>
        <v>2.2059803446790682</v>
      </c>
      <c r="L199" s="349">
        <f t="shared" si="82"/>
        <v>1.1003174376159379</v>
      </c>
      <c r="M199" s="337">
        <f t="shared" si="63"/>
        <v>1.000051956467972</v>
      </c>
      <c r="N199" s="340">
        <f t="shared" si="64"/>
        <v>1.0193548794158371E-2</v>
      </c>
      <c r="O199" s="341">
        <f t="shared" si="65"/>
        <v>0.99988774221252019</v>
      </c>
      <c r="P199" s="342">
        <f t="shared" si="66"/>
        <v>2.5550467577638387E-3</v>
      </c>
      <c r="Q199" s="343">
        <f t="shared" si="67"/>
        <v>13.35686331043763</v>
      </c>
      <c r="R199" s="344">
        <f t="shared" si="68"/>
        <v>-79.011454654504249</v>
      </c>
      <c r="S199" s="346">
        <f t="shared" si="69"/>
        <v>100.98854534549575</v>
      </c>
      <c r="U199" s="319">
        <f t="shared" si="75"/>
        <v>1000000000</v>
      </c>
      <c r="V199" s="319">
        <f t="shared" si="76"/>
        <v>127362510.25</v>
      </c>
      <c r="X199" s="345">
        <f t="shared" si="70"/>
        <v>17.998435094495168</v>
      </c>
      <c r="Y199" s="346">
        <f t="shared" si="71"/>
        <v>-27.537816067438712</v>
      </c>
      <c r="AA199" s="345">
        <f t="shared" si="72"/>
        <v>31.368602179543927</v>
      </c>
      <c r="AB199" s="346">
        <f t="shared" si="73"/>
        <v>-51.473638587065551</v>
      </c>
      <c r="AD199">
        <f t="shared" si="77"/>
        <v>0</v>
      </c>
      <c r="AE199">
        <f t="shared" si="80"/>
        <v>0</v>
      </c>
    </row>
    <row r="200" spans="1:31" x14ac:dyDescent="0.2">
      <c r="A200" s="347">
        <v>11351</v>
      </c>
      <c r="B200" s="364">
        <f t="shared" si="74"/>
        <v>11.351000000000001</v>
      </c>
      <c r="C200" s="337">
        <f t="shared" si="53"/>
        <v>1.6073419201541745</v>
      </c>
      <c r="D200" s="338">
        <f t="shared" si="54"/>
        <v>0.89931658243568846</v>
      </c>
      <c r="E200" s="338">
        <f t="shared" si="55"/>
        <v>1.0000002247261677</v>
      </c>
      <c r="F200" s="339">
        <f t="shared" si="56"/>
        <v>6.7041200115940764E-4</v>
      </c>
      <c r="G200" s="338">
        <f t="shared" si="57"/>
        <v>1</v>
      </c>
      <c r="H200" s="339">
        <f t="shared" si="58"/>
        <v>0</v>
      </c>
      <c r="I200" s="337">
        <f t="shared" si="59"/>
        <v>21455.164990166373</v>
      </c>
      <c r="J200" s="340">
        <f t="shared" si="60"/>
        <v>1.5707497179712955</v>
      </c>
      <c r="K200" s="348">
        <f t="shared" si="81"/>
        <v>2.2161587012001647</v>
      </c>
      <c r="L200" s="349">
        <f t="shared" si="82"/>
        <v>1.1026518035450059</v>
      </c>
      <c r="M200" s="337">
        <f t="shared" si="63"/>
        <v>1.0000525613033342</v>
      </c>
      <c r="N200" s="340">
        <f t="shared" si="64"/>
        <v>1.025270707620486E-2</v>
      </c>
      <c r="O200" s="341">
        <f t="shared" si="65"/>
        <v>0.99988643536778876</v>
      </c>
      <c r="P200" s="342">
        <f t="shared" si="66"/>
        <v>2.569879404605355E-3</v>
      </c>
      <c r="Q200" s="343">
        <f t="shared" si="67"/>
        <v>13.315846473465392</v>
      </c>
      <c r="R200" s="344">
        <f t="shared" si="68"/>
        <v>-79.043347915107063</v>
      </c>
      <c r="S200" s="346">
        <f t="shared" si="69"/>
        <v>100.95665208489294</v>
      </c>
      <c r="U200" s="319">
        <f t="shared" si="75"/>
        <v>1000000000</v>
      </c>
      <c r="V200" s="319">
        <f t="shared" si="76"/>
        <v>128845201</v>
      </c>
      <c r="X200" s="345">
        <f t="shared" si="70"/>
        <v>17.988147846939235</v>
      </c>
      <c r="Y200" s="346">
        <f t="shared" si="71"/>
        <v>-27.407471770870416</v>
      </c>
      <c r="AA200" s="345">
        <f t="shared" si="72"/>
        <v>31.337872590127624</v>
      </c>
      <c r="AB200" s="346">
        <f t="shared" si="73"/>
        <v>-51.635876144236647</v>
      </c>
      <c r="AD200">
        <f t="shared" si="77"/>
        <v>0</v>
      </c>
      <c r="AE200">
        <f t="shared" si="80"/>
        <v>0</v>
      </c>
    </row>
    <row r="201" spans="1:31" x14ac:dyDescent="0.2">
      <c r="A201" s="347">
        <v>11416.5</v>
      </c>
      <c r="B201" s="364">
        <f t="shared" si="74"/>
        <v>11.416499999999999</v>
      </c>
      <c r="C201" s="337">
        <f t="shared" si="53"/>
        <v>1.613033242380248</v>
      </c>
      <c r="D201" s="338">
        <f t="shared" si="54"/>
        <v>0.90211731588121147</v>
      </c>
      <c r="E201" s="338">
        <f t="shared" si="55"/>
        <v>1.0000002273271775</v>
      </c>
      <c r="F201" s="339">
        <f t="shared" si="56"/>
        <v>6.7428055659983358E-4</v>
      </c>
      <c r="G201" s="338">
        <f t="shared" si="57"/>
        <v>1</v>
      </c>
      <c r="H201" s="339">
        <f t="shared" si="58"/>
        <v>0</v>
      </c>
      <c r="I201" s="337">
        <f t="shared" si="59"/>
        <v>21578.970232331096</v>
      </c>
      <c r="J201" s="340">
        <f t="shared" si="60"/>
        <v>1.5707499853805662</v>
      </c>
      <c r="K201" s="348">
        <f t="shared" si="81"/>
        <v>2.2263490236961796</v>
      </c>
      <c r="L201" s="349">
        <f t="shared" si="82"/>
        <v>1.1049648125192579</v>
      </c>
      <c r="M201" s="337">
        <f t="shared" si="63"/>
        <v>1.0000531696385784</v>
      </c>
      <c r="N201" s="340">
        <f t="shared" si="64"/>
        <v>1.0311865286486078E-2</v>
      </c>
      <c r="O201" s="341">
        <f t="shared" si="65"/>
        <v>0.99988512096029991</v>
      </c>
      <c r="P201" s="342">
        <f t="shared" si="66"/>
        <v>2.5847121103344936E-3</v>
      </c>
      <c r="Q201" s="343">
        <f t="shared" si="67"/>
        <v>13.275022400623818</v>
      </c>
      <c r="R201" s="344">
        <f t="shared" si="68"/>
        <v>-79.075325505645452</v>
      </c>
      <c r="S201" s="346">
        <f t="shared" si="69"/>
        <v>100.92467449435455</v>
      </c>
      <c r="U201" s="319">
        <f t="shared" si="75"/>
        <v>1000000000</v>
      </c>
      <c r="V201" s="319">
        <f t="shared" si="76"/>
        <v>130336472.25</v>
      </c>
      <c r="X201" s="345">
        <f t="shared" si="70"/>
        <v>17.978013258432767</v>
      </c>
      <c r="Y201" s="346">
        <f t="shared" si="71"/>
        <v>-27.27835095571762</v>
      </c>
      <c r="AA201" s="345">
        <f t="shared" si="72"/>
        <v>31.307183105792518</v>
      </c>
      <c r="AB201" s="346">
        <f t="shared" si="73"/>
        <v>-51.796974549927818</v>
      </c>
      <c r="AD201">
        <f t="shared" si="77"/>
        <v>0</v>
      </c>
      <c r="AE201">
        <f t="shared" si="80"/>
        <v>0</v>
      </c>
    </row>
    <row r="202" spans="1:31" x14ac:dyDescent="0.2">
      <c r="A202" s="347">
        <v>11482</v>
      </c>
      <c r="B202" s="364">
        <f t="shared" si="74"/>
        <v>11.481999999999999</v>
      </c>
      <c r="C202" s="337">
        <f t="shared" si="53"/>
        <v>1.6187371283832781</v>
      </c>
      <c r="D202" s="338">
        <f t="shared" si="54"/>
        <v>0.90489833332540515</v>
      </c>
      <c r="E202" s="338">
        <f t="shared" si="55"/>
        <v>1.0000002299431532</v>
      </c>
      <c r="F202" s="339">
        <f t="shared" si="56"/>
        <v>6.7814911202007742E-4</v>
      </c>
      <c r="G202" s="338">
        <f t="shared" si="57"/>
        <v>1</v>
      </c>
      <c r="H202" s="339">
        <f t="shared" si="58"/>
        <v>0</v>
      </c>
      <c r="I202" s="337">
        <f t="shared" si="59"/>
        <v>21702.775474497343</v>
      </c>
      <c r="J202" s="340">
        <f t="shared" si="60"/>
        <v>1.5707502497389214</v>
      </c>
      <c r="K202" s="348">
        <f t="shared" si="81"/>
        <v>2.2365511486066154</v>
      </c>
      <c r="L202" s="349">
        <f t="shared" si="82"/>
        <v>1.107256731881114</v>
      </c>
      <c r="M202" s="337">
        <f t="shared" si="63"/>
        <v>1.0000537814736985</v>
      </c>
      <c r="N202" s="340">
        <f t="shared" si="64"/>
        <v>1.0371023424588082E-2</v>
      </c>
      <c r="O202" s="341">
        <f t="shared" si="65"/>
        <v>0.99988379899005531</v>
      </c>
      <c r="P202" s="342">
        <f t="shared" si="66"/>
        <v>2.5995448752913182E-3</v>
      </c>
      <c r="Q202" s="343">
        <f t="shared" si="67"/>
        <v>13.234388858640315</v>
      </c>
      <c r="R202" s="344">
        <f t="shared" si="68"/>
        <v>-79.107381622755241</v>
      </c>
      <c r="S202" s="346">
        <f t="shared" si="69"/>
        <v>100.89261837724476</v>
      </c>
      <c r="U202" s="319">
        <f t="shared" si="75"/>
        <v>1000000000</v>
      </c>
      <c r="V202" s="319">
        <f t="shared" si="76"/>
        <v>131836324</v>
      </c>
      <c r="X202" s="345">
        <f t="shared" si="70"/>
        <v>17.968028417841776</v>
      </c>
      <c r="Y202" s="346">
        <f t="shared" si="71"/>
        <v>-27.150438307407935</v>
      </c>
      <c r="AA202" s="345">
        <f t="shared" si="72"/>
        <v>31.27653440440001</v>
      </c>
      <c r="AB202" s="346">
        <f t="shared" si="73"/>
        <v>-51.956943315347303</v>
      </c>
      <c r="AD202">
        <f t="shared" si="77"/>
        <v>0</v>
      </c>
      <c r="AE202">
        <f t="shared" si="80"/>
        <v>0</v>
      </c>
    </row>
    <row r="203" spans="1:31" x14ac:dyDescent="0.2">
      <c r="A203" s="347">
        <v>11548.75</v>
      </c>
      <c r="B203" s="364">
        <f t="shared" si="74"/>
        <v>11.54875</v>
      </c>
      <c r="C203" s="337">
        <f t="shared" si="53"/>
        <v>1.6245626558723578</v>
      </c>
      <c r="D203" s="338">
        <f t="shared" si="54"/>
        <v>0.90771231035708666</v>
      </c>
      <c r="E203" s="338">
        <f t="shared" si="55"/>
        <v>1.0000002326244488</v>
      </c>
      <c r="F203" s="339">
        <f t="shared" si="56"/>
        <v>6.8209149481295386E-4</v>
      </c>
      <c r="G203" s="338">
        <f t="shared" si="57"/>
        <v>1</v>
      </c>
      <c r="H203" s="339">
        <f t="shared" si="58"/>
        <v>0</v>
      </c>
      <c r="I203" s="337">
        <f t="shared" si="59"/>
        <v>21828.943412126326</v>
      </c>
      <c r="J203" s="340">
        <f t="shared" si="60"/>
        <v>1.5707505160572228</v>
      </c>
      <c r="K203" s="348">
        <f t="shared" si="81"/>
        <v>2.2469599465285168</v>
      </c>
      <c r="L203" s="349">
        <f t="shared" si="82"/>
        <v>1.1095709656664783</v>
      </c>
      <c r="M203" s="337">
        <f t="shared" si="63"/>
        <v>1.0000544085857548</v>
      </c>
      <c r="N203" s="340">
        <f t="shared" si="64"/>
        <v>1.0431310460104143E-2</v>
      </c>
      <c r="O203" s="341">
        <f t="shared" si="65"/>
        <v>0.99988244401074899</v>
      </c>
      <c r="P203" s="342">
        <f t="shared" si="66"/>
        <v>2.61466076956768E-3</v>
      </c>
      <c r="Q203" s="343">
        <f t="shared" si="67"/>
        <v>13.193173624495797</v>
      </c>
      <c r="R203" s="344">
        <f t="shared" si="68"/>
        <v>-79.140124448306224</v>
      </c>
      <c r="S203" s="346">
        <f t="shared" si="69"/>
        <v>100.85987555169378</v>
      </c>
      <c r="U203" s="319">
        <f t="shared" si="75"/>
        <v>1000000000</v>
      </c>
      <c r="V203" s="319">
        <f t="shared" si="76"/>
        <v>133373626.5625</v>
      </c>
      <c r="X203" s="345">
        <f t="shared" si="70"/>
        <v>17.95800414420836</v>
      </c>
      <c r="Y203" s="346">
        <f t="shared" si="71"/>
        <v>-27.021311930161524</v>
      </c>
      <c r="AA203" s="345">
        <f t="shared" si="72"/>
        <v>31.245343443888906</v>
      </c>
      <c r="AB203" s="346">
        <f t="shared" si="73"/>
        <v>-52.118812518144722</v>
      </c>
      <c r="AD203">
        <f t="shared" si="77"/>
        <v>0</v>
      </c>
      <c r="AE203">
        <f t="shared" si="80"/>
        <v>0</v>
      </c>
    </row>
    <row r="204" spans="1:31" x14ac:dyDescent="0.2">
      <c r="A204" s="347">
        <v>11615.5</v>
      </c>
      <c r="B204" s="364">
        <f t="shared" si="74"/>
        <v>11.615500000000001</v>
      </c>
      <c r="C204" s="337">
        <f t="shared" si="53"/>
        <v>1.6304009554194889</v>
      </c>
      <c r="D204" s="338">
        <f t="shared" si="54"/>
        <v>0.91050615625048736</v>
      </c>
      <c r="E204" s="338">
        <f t="shared" si="55"/>
        <v>1.0000002353212867</v>
      </c>
      <c r="F204" s="339">
        <f t="shared" si="56"/>
        <v>6.8603387758462764E-4</v>
      </c>
      <c r="G204" s="338">
        <f t="shared" si="57"/>
        <v>1</v>
      </c>
      <c r="H204" s="339">
        <f t="shared" si="58"/>
        <v>0</v>
      </c>
      <c r="I204" s="337">
        <f t="shared" si="59"/>
        <v>21955.111349756833</v>
      </c>
      <c r="J204" s="340">
        <f t="shared" si="60"/>
        <v>1.5707507793146578</v>
      </c>
      <c r="K204" s="348">
        <f t="shared" si="81"/>
        <v>2.2573806674293468</v>
      </c>
      <c r="L204" s="349">
        <f t="shared" si="82"/>
        <v>1.1118638452948961</v>
      </c>
      <c r="M204" s="337">
        <f t="shared" si="63"/>
        <v>1.0000550393325309</v>
      </c>
      <c r="N204" s="340">
        <f t="shared" si="64"/>
        <v>1.0491597419791797E-2</v>
      </c>
      <c r="O204" s="341">
        <f t="shared" si="65"/>
        <v>0.99988108117728136</v>
      </c>
      <c r="P204" s="342">
        <f t="shared" si="66"/>
        <v>2.6297767260669833E-3</v>
      </c>
      <c r="Q204" s="343">
        <f t="shared" si="67"/>
        <v>13.152151729610996</v>
      </c>
      <c r="R204" s="344">
        <f t="shared" si="68"/>
        <v>-79.172937171512061</v>
      </c>
      <c r="S204" s="346">
        <f t="shared" si="69"/>
        <v>100.82706282848794</v>
      </c>
      <c r="U204" s="319">
        <f t="shared" si="75"/>
        <v>1000000000</v>
      </c>
      <c r="V204" s="319">
        <f t="shared" si="76"/>
        <v>134919840.25</v>
      </c>
      <c r="X204" s="345">
        <f t="shared" si="70"/>
        <v>17.948129494201353</v>
      </c>
      <c r="Y204" s="346">
        <f t="shared" si="71"/>
        <v>-26.893408876265237</v>
      </c>
      <c r="AA204" s="345">
        <f t="shared" si="72"/>
        <v>31.214196199011109</v>
      </c>
      <c r="AB204" s="346">
        <f t="shared" si="73"/>
        <v>-52.279528295246855</v>
      </c>
      <c r="AD204">
        <f t="shared" si="77"/>
        <v>0</v>
      </c>
      <c r="AE204">
        <f t="shared" si="80"/>
        <v>0</v>
      </c>
    </row>
    <row r="205" spans="1:31" x14ac:dyDescent="0.2">
      <c r="A205" s="347">
        <v>11682.25</v>
      </c>
      <c r="B205" s="364">
        <f t="shared" si="74"/>
        <v>11.68225</v>
      </c>
      <c r="C205" s="337">
        <f t="shared" ref="C205:C268" si="83">SQRT(1+(A205/pole1)^2)</f>
        <v>1.6362518903089898</v>
      </c>
      <c r="D205" s="338">
        <f t="shared" ref="D205:D268" si="84">ATAN(A205/pole1)</f>
        <v>0.91328004311197841</v>
      </c>
      <c r="E205" s="338">
        <f t="shared" ref="E205:E268" si="85">SQRT(1+(A205/Zero1)^2)</f>
        <v>1.000000238033667</v>
      </c>
      <c r="F205" s="339">
        <f t="shared" ref="F205:F268" si="86">ATAN(A205/Zero1)</f>
        <v>6.8997626033497626E-4</v>
      </c>
      <c r="G205" s="338">
        <f t="shared" ref="G205:G268" si="87">IF(VIN_nom&gt;Vout, 1, SQRT(1+(A205/z_RHP)^2))</f>
        <v>1</v>
      </c>
      <c r="H205" s="339">
        <f t="shared" ref="H205:H268" si="88">IF(VIN_nom&gt;Vout, 0, -ATAN(A205/z_RHP))</f>
        <v>0</v>
      </c>
      <c r="I205" s="337">
        <f t="shared" ref="I205:I268" si="89">SQRT(1+(A205/Pole2)^2)</f>
        <v>22081.27928738885</v>
      </c>
      <c r="J205" s="340">
        <f t="shared" ref="J205:J268" si="90">ATAN(A205/Pole2)</f>
        <v>1.5707510395636939</v>
      </c>
      <c r="K205" s="348">
        <f t="shared" si="81"/>
        <v>2.2678131469489613</v>
      </c>
      <c r="L205" s="349">
        <f t="shared" si="82"/>
        <v>1.1141356411928776</v>
      </c>
      <c r="M205" s="337">
        <f t="shared" ref="M205:M268" si="91">SQRT(1+(A205/pole4)^2)</f>
        <v>1.00005567371402</v>
      </c>
      <c r="N205" s="340">
        <f t="shared" ref="N205:N268" si="92">ATAN(A205/pole4)</f>
        <v>1.0551884303212961E-2</v>
      </c>
      <c r="O205" s="341">
        <f t="shared" ref="O205:O268" si="93">SQRT((1-(V205/pterm2))^2+(A205/pterm1)^2)</f>
        <v>0.99987971048965463</v>
      </c>
      <c r="P205" s="342">
        <f t="shared" ref="P205:P268" si="94">IF((ATAN((A205/pterm1)/(1-A205^2/pterm2))&gt;0),ATAN((A205/pterm1)/(1-A205^2/pterm2)),PI()+ATAN((A205/pterm1)/(1-A205^2/pterm2)))</f>
        <v>2.6448927451491492E-3</v>
      </c>
      <c r="Q205" s="343">
        <f t="shared" ref="Q205:Q268" si="95">20*LOG10(((E205*K205*G205)/(C205*I205*O205*M205))*Adc)</f>
        <v>13.111320958908506</v>
      </c>
      <c r="R205" s="344">
        <f t="shared" ref="R205:R268" si="96">((F205+L205+H205)-(D205+J205+P205+N205))*radconv</f>
        <v>-79.205814162045442</v>
      </c>
      <c r="S205" s="346">
        <f t="shared" ref="S205:S268" si="97">IF(R205&gt;0,R205,R205+180)</f>
        <v>100.79418583795456</v>
      </c>
      <c r="U205" s="319">
        <f t="shared" si="75"/>
        <v>1000000000</v>
      </c>
      <c r="V205" s="319">
        <f t="shared" si="76"/>
        <v>136474965.0625</v>
      </c>
      <c r="X205" s="345">
        <f t="shared" ref="X205:X268" si="98">20*LOG10((K205/(I205*M205))*AEA)</f>
        <v>17.938401595379826</v>
      </c>
      <c r="Y205" s="346">
        <f t="shared" ref="Y205:Y268" si="99">(L205-(J205+N205))*radconv</f>
        <v>-26.766713654402409</v>
      </c>
      <c r="AA205" s="345">
        <f t="shared" ref="AA205:AA268" si="100">20*LOG10((E205*G205/(C205*O205))*Acs*Am)</f>
        <v>31.183093327130145</v>
      </c>
      <c r="AB205" s="346">
        <f t="shared" ref="AB205:AB268" si="101">(F205+H205-(D205+P205))*radconv</f>
        <v>-52.43910050764304</v>
      </c>
      <c r="AD205">
        <f t="shared" si="77"/>
        <v>0</v>
      </c>
      <c r="AE205">
        <f t="shared" si="80"/>
        <v>0</v>
      </c>
    </row>
    <row r="206" spans="1:31" x14ac:dyDescent="0.2">
      <c r="A206" s="347">
        <v>11749</v>
      </c>
      <c r="B206" s="364">
        <f t="shared" ref="B206:B269" si="102">A206/1000</f>
        <v>11.749000000000001</v>
      </c>
      <c r="C206" s="337">
        <f t="shared" si="83"/>
        <v>1.6421153254798908</v>
      </c>
      <c r="D206" s="338">
        <f t="shared" si="84"/>
        <v>0.91603414182634635</v>
      </c>
      <c r="E206" s="338">
        <f t="shared" si="85"/>
        <v>1.0000002407615898</v>
      </c>
      <c r="F206" s="339">
        <f t="shared" si="86"/>
        <v>6.9391864306387718E-4</v>
      </c>
      <c r="G206" s="338">
        <f t="shared" si="87"/>
        <v>1</v>
      </c>
      <c r="H206" s="339">
        <f t="shared" si="88"/>
        <v>0</v>
      </c>
      <c r="I206" s="337">
        <f t="shared" si="89"/>
        <v>22207.447225022341</v>
      </c>
      <c r="J206" s="340">
        <f t="shared" si="90"/>
        <v>1.5707512968556061</v>
      </c>
      <c r="K206" s="348">
        <f t="shared" si="81"/>
        <v>2.2782572235539598</v>
      </c>
      <c r="L206" s="349">
        <f t="shared" si="82"/>
        <v>1.1163866197070484</v>
      </c>
      <c r="M206" s="337">
        <f t="shared" si="91"/>
        <v>1.0000563117302155</v>
      </c>
      <c r="N206" s="340">
        <f t="shared" si="92"/>
        <v>1.0612171109929553E-2</v>
      </c>
      <c r="O206" s="341">
        <f t="shared" si="93"/>
        <v>0.99987833194787057</v>
      </c>
      <c r="P206" s="342">
        <f t="shared" si="94"/>
        <v>2.6600088271741028E-3</v>
      </c>
      <c r="Q206" s="343">
        <f t="shared" si="95"/>
        <v>13.070679144364243</v>
      </c>
      <c r="R206" s="344">
        <f t="shared" si="96"/>
        <v>-79.238749953279211</v>
      </c>
      <c r="S206" s="346">
        <f t="shared" si="97"/>
        <v>100.76125004672079</v>
      </c>
      <c r="U206" s="319">
        <f t="shared" ref="U206:U269" si="103">IF(Q206&lt;0,A206,1000000000)</f>
        <v>1000000000</v>
      </c>
      <c r="V206" s="319">
        <f t="shared" ref="V206:V269" si="104">A206^2</f>
        <v>138039001</v>
      </c>
      <c r="X206" s="345">
        <f t="shared" si="98"/>
        <v>17.928817641761782</v>
      </c>
      <c r="Y206" s="346">
        <f t="shared" si="99"/>
        <v>-26.641211006948243</v>
      </c>
      <c r="AA206" s="345">
        <f t="shared" si="100"/>
        <v>31.152035466203927</v>
      </c>
      <c r="AB206" s="346">
        <f t="shared" si="101"/>
        <v>-52.597538946330985</v>
      </c>
      <c r="AD206">
        <f t="shared" ref="AD206:AD269" si="105">SUM((Q207&lt;0)*(Q206&gt;0))*A206</f>
        <v>0</v>
      </c>
      <c r="AE206">
        <f t="shared" si="80"/>
        <v>0</v>
      </c>
    </row>
    <row r="207" spans="1:31" x14ac:dyDescent="0.2">
      <c r="A207" s="347">
        <v>11817.5</v>
      </c>
      <c r="B207" s="364">
        <f t="shared" si="102"/>
        <v>11.817500000000001</v>
      </c>
      <c r="C207" s="337">
        <f t="shared" si="83"/>
        <v>1.648145339912366</v>
      </c>
      <c r="D207" s="338">
        <f t="shared" si="84"/>
        <v>0.91884005016198655</v>
      </c>
      <c r="E207" s="338">
        <f t="shared" si="85"/>
        <v>1.0000002435771902</v>
      </c>
      <c r="F207" s="339">
        <f t="shared" si="86"/>
        <v>6.9796438411904855E-4</v>
      </c>
      <c r="G207" s="338">
        <f t="shared" si="87"/>
        <v>1</v>
      </c>
      <c r="H207" s="339">
        <f t="shared" si="88"/>
        <v>0</v>
      </c>
      <c r="I207" s="337">
        <f t="shared" si="89"/>
        <v>22336.922936303166</v>
      </c>
      <c r="J207" s="340">
        <f t="shared" si="90"/>
        <v>1.5707515578711202</v>
      </c>
      <c r="K207" s="348">
        <f t="shared" si="81"/>
        <v>2.288987005552916</v>
      </c>
      <c r="L207" s="349">
        <f t="shared" si="82"/>
        <v>1.1186752445342683</v>
      </c>
      <c r="M207" s="337">
        <f t="shared" si="91"/>
        <v>1.0000569702523128</v>
      </c>
      <c r="N207" s="340">
        <f t="shared" si="92"/>
        <v>1.0674038389424382E-2</v>
      </c>
      <c r="O207" s="341">
        <f t="shared" si="93"/>
        <v>0.99987690909881566</v>
      </c>
      <c r="P207" s="342">
        <f t="shared" si="94"/>
        <v>2.6755212767921688E-3</v>
      </c>
      <c r="Q207" s="343">
        <f t="shared" si="95"/>
        <v>13.029166040512532</v>
      </c>
      <c r="R207" s="344">
        <f t="shared" si="96"/>
        <v>-79.272604798260062</v>
      </c>
      <c r="S207" s="346">
        <f t="shared" si="97"/>
        <v>100.72739520173994</v>
      </c>
      <c r="U207" s="319">
        <f t="shared" si="103"/>
        <v>1000000000</v>
      </c>
      <c r="V207" s="319">
        <f t="shared" si="104"/>
        <v>139653306.25</v>
      </c>
      <c r="X207" s="345">
        <f t="shared" si="98"/>
        <v>17.919129204360431</v>
      </c>
      <c r="Y207" s="346">
        <f t="shared" si="99"/>
        <v>-26.513642152406273</v>
      </c>
      <c r="AA207" s="345">
        <f t="shared" si="100"/>
        <v>31.120210799753568</v>
      </c>
      <c r="AB207" s="346">
        <f t="shared" si="101"/>
        <v>-52.758962645853757</v>
      </c>
      <c r="AD207">
        <f t="shared" si="105"/>
        <v>0</v>
      </c>
      <c r="AE207">
        <f t="shared" si="80"/>
        <v>0</v>
      </c>
    </row>
    <row r="208" spans="1:31" x14ac:dyDescent="0.2">
      <c r="A208" s="347">
        <v>11886</v>
      </c>
      <c r="B208" s="364">
        <f t="shared" si="102"/>
        <v>11.885999999999999</v>
      </c>
      <c r="C208" s="337">
        <f t="shared" si="83"/>
        <v>1.6541882357309412</v>
      </c>
      <c r="D208" s="338">
        <f t="shared" si="84"/>
        <v>0.92162547983219534</v>
      </c>
      <c r="E208" s="338">
        <f t="shared" si="85"/>
        <v>1.0000002464091584</v>
      </c>
      <c r="F208" s="339">
        <f t="shared" si="86"/>
        <v>7.0201012515137145E-4</v>
      </c>
      <c r="G208" s="338">
        <f t="shared" si="87"/>
        <v>1</v>
      </c>
      <c r="H208" s="339">
        <f t="shared" si="88"/>
        <v>0</v>
      </c>
      <c r="I208" s="337">
        <f t="shared" si="89"/>
        <v>22466.398647585498</v>
      </c>
      <c r="J208" s="340">
        <f t="shared" si="90"/>
        <v>1.5707518158781264</v>
      </c>
      <c r="K208" s="348">
        <f t="shared" si="81"/>
        <v>2.2997286649038413</v>
      </c>
      <c r="L208" s="349">
        <f t="shared" si="82"/>
        <v>1.1209425015544519</v>
      </c>
      <c r="M208" s="337">
        <f t="shared" si="91"/>
        <v>1.0000576326021833</v>
      </c>
      <c r="N208" s="340">
        <f t="shared" si="92"/>
        <v>1.0735905587205167E-2</v>
      </c>
      <c r="O208" s="341">
        <f t="shared" si="93"/>
        <v>0.99987547797838072</v>
      </c>
      <c r="P208" s="342">
        <f t="shared" si="94"/>
        <v>2.6910337934647004E-3</v>
      </c>
      <c r="Q208" s="343">
        <f t="shared" si="95"/>
        <v>12.987847450430515</v>
      </c>
      <c r="R208" s="344">
        <f t="shared" si="96"/>
        <v>-79.306510414088834</v>
      </c>
      <c r="S208" s="346">
        <f t="shared" si="97"/>
        <v>100.69348958591117</v>
      </c>
      <c r="U208" s="319">
        <f t="shared" si="103"/>
        <v>1000000000</v>
      </c>
      <c r="V208" s="319">
        <f t="shared" si="104"/>
        <v>141276996</v>
      </c>
      <c r="X208" s="345">
        <f t="shared" si="98"/>
        <v>17.909586578445872</v>
      </c>
      <c r="Y208" s="346">
        <f t="shared" si="99"/>
        <v>-26.387297405969655</v>
      </c>
      <c r="AA208" s="345">
        <f t="shared" si="100"/>
        <v>31.088434835586106</v>
      </c>
      <c r="AB208" s="346">
        <f t="shared" si="101"/>
        <v>-52.919213008119158</v>
      </c>
      <c r="AD208">
        <f t="shared" si="105"/>
        <v>0</v>
      </c>
      <c r="AE208">
        <f t="shared" si="80"/>
        <v>0</v>
      </c>
    </row>
    <row r="209" spans="1:31" x14ac:dyDescent="0.2">
      <c r="A209" s="347">
        <v>11954.5</v>
      </c>
      <c r="B209" s="364">
        <f t="shared" si="102"/>
        <v>11.954499999999999</v>
      </c>
      <c r="C209" s="337">
        <f t="shared" si="83"/>
        <v>1.6602438722800079</v>
      </c>
      <c r="D209" s="338">
        <f t="shared" si="84"/>
        <v>0.92439061146198398</v>
      </c>
      <c r="E209" s="338">
        <f t="shared" si="85"/>
        <v>1.0000002492574949</v>
      </c>
      <c r="F209" s="339">
        <f t="shared" si="86"/>
        <v>7.0605586616071339E-4</v>
      </c>
      <c r="G209" s="338">
        <f t="shared" si="87"/>
        <v>1</v>
      </c>
      <c r="H209" s="339">
        <f t="shared" si="88"/>
        <v>0</v>
      </c>
      <c r="I209" s="337">
        <f t="shared" si="89"/>
        <v>22595.874358869307</v>
      </c>
      <c r="J209" s="340">
        <f t="shared" si="90"/>
        <v>1.5707520709283413</v>
      </c>
      <c r="K209" s="348">
        <f t="shared" si="81"/>
        <v>2.310482035949792</v>
      </c>
      <c r="L209" s="349">
        <f t="shared" si="82"/>
        <v>1.1231886656424452</v>
      </c>
      <c r="M209" s="337">
        <f t="shared" si="91"/>
        <v>1.0000582987798194</v>
      </c>
      <c r="N209" s="340">
        <f t="shared" si="92"/>
        <v>1.0797772702798469E-2</v>
      </c>
      <c r="O209" s="341">
        <f t="shared" si="93"/>
        <v>0.99987403858656765</v>
      </c>
      <c r="P209" s="342">
        <f t="shared" si="94"/>
        <v>2.7065463775806974E-3</v>
      </c>
      <c r="Q209" s="343">
        <f t="shared" si="95"/>
        <v>12.946721176622908</v>
      </c>
      <c r="R209" s="344">
        <f t="shared" si="96"/>
        <v>-79.340461403606128</v>
      </c>
      <c r="S209" s="346">
        <f t="shared" si="97"/>
        <v>100.65953859639387</v>
      </c>
      <c r="U209" s="319">
        <f t="shared" si="103"/>
        <v>1000000000</v>
      </c>
      <c r="V209" s="319">
        <f t="shared" si="104"/>
        <v>142910070.25</v>
      </c>
      <c r="X209" s="345">
        <f t="shared" si="98"/>
        <v>17.900186938219015</v>
      </c>
      <c r="Y209" s="346">
        <f t="shared" si="99"/>
        <v>-26.262161021405827</v>
      </c>
      <c r="AA209" s="345">
        <f t="shared" si="100"/>
        <v>31.05670820200536</v>
      </c>
      <c r="AB209" s="346">
        <f t="shared" si="101"/>
        <v>-53.078300382200318</v>
      </c>
      <c r="AD209">
        <f t="shared" si="105"/>
        <v>0</v>
      </c>
      <c r="AE209">
        <f t="shared" si="80"/>
        <v>0</v>
      </c>
    </row>
    <row r="210" spans="1:31" x14ac:dyDescent="0.2">
      <c r="A210" s="347">
        <v>12023</v>
      </c>
      <c r="B210" s="364">
        <f t="shared" si="102"/>
        <v>12.023</v>
      </c>
      <c r="C210" s="337">
        <f t="shared" si="83"/>
        <v>1.6663121106542018</v>
      </c>
      <c r="D210" s="338">
        <f t="shared" si="84"/>
        <v>0.9271356242951061</v>
      </c>
      <c r="E210" s="338">
        <f t="shared" si="85"/>
        <v>1.0000002521221991</v>
      </c>
      <c r="F210" s="339">
        <f t="shared" si="86"/>
        <v>7.1010160714694186E-4</v>
      </c>
      <c r="G210" s="338">
        <f t="shared" si="87"/>
        <v>1</v>
      </c>
      <c r="H210" s="339">
        <f t="shared" si="88"/>
        <v>0</v>
      </c>
      <c r="I210" s="337">
        <f t="shared" si="89"/>
        <v>22725.350070154567</v>
      </c>
      <c r="J210" s="340">
        <f t="shared" si="90"/>
        <v>1.5707523230723033</v>
      </c>
      <c r="K210" s="348">
        <f t="shared" si="81"/>
        <v>2.3212469559245474</v>
      </c>
      <c r="L210" s="349">
        <f t="shared" si="82"/>
        <v>1.1254140074338015</v>
      </c>
      <c r="M210" s="337">
        <f t="shared" si="91"/>
        <v>1.0000589687852137</v>
      </c>
      <c r="N210" s="340">
        <f t="shared" si="92"/>
        <v>1.0859639735730856E-2</v>
      </c>
      <c r="O210" s="341">
        <f t="shared" si="93"/>
        <v>0.99987259092337866</v>
      </c>
      <c r="P210" s="342">
        <f t="shared" si="94"/>
        <v>2.7220590295291636E-3</v>
      </c>
      <c r="Q210" s="343">
        <f t="shared" si="95"/>
        <v>12.905785067863761</v>
      </c>
      <c r="R210" s="344">
        <f t="shared" si="96"/>
        <v>-79.374452533338399</v>
      </c>
      <c r="S210" s="346">
        <f t="shared" si="97"/>
        <v>100.6255474666616</v>
      </c>
      <c r="U210" s="319">
        <f t="shared" si="103"/>
        <v>1000000000</v>
      </c>
      <c r="V210" s="319">
        <f t="shared" si="104"/>
        <v>144552529</v>
      </c>
      <c r="X210" s="345">
        <f t="shared" si="98"/>
        <v>17.890927523946882</v>
      </c>
      <c r="Y210" s="346">
        <f t="shared" si="99"/>
        <v>-26.138217495308265</v>
      </c>
      <c r="AA210" s="345">
        <f t="shared" si="100"/>
        <v>31.025031507518346</v>
      </c>
      <c r="AB210" s="346">
        <f t="shared" si="101"/>
        <v>-53.236235038030117</v>
      </c>
      <c r="AD210">
        <f t="shared" si="105"/>
        <v>0</v>
      </c>
      <c r="AE210">
        <f t="shared" si="80"/>
        <v>0</v>
      </c>
    </row>
    <row r="211" spans="1:31" x14ac:dyDescent="0.2">
      <c r="A211" s="347">
        <v>12093</v>
      </c>
      <c r="B211" s="364">
        <f t="shared" si="102"/>
        <v>12.093</v>
      </c>
      <c r="C211" s="337">
        <f t="shared" si="83"/>
        <v>1.6725261061961219</v>
      </c>
      <c r="D211" s="338">
        <f t="shared" si="84"/>
        <v>0.92992014751735486</v>
      </c>
      <c r="E211" s="338">
        <f t="shared" si="85"/>
        <v>1.0000002550665439</v>
      </c>
      <c r="F211" s="339">
        <f t="shared" si="86"/>
        <v>7.1423594097746578E-4</v>
      </c>
      <c r="G211" s="338">
        <f t="shared" si="87"/>
        <v>1</v>
      </c>
      <c r="H211" s="339">
        <f t="shared" si="88"/>
        <v>0</v>
      </c>
      <c r="I211" s="337">
        <f t="shared" si="89"/>
        <v>22857.661015994996</v>
      </c>
      <c r="J211" s="340">
        <f t="shared" si="90"/>
        <v>1.5707525777866487</v>
      </c>
      <c r="K211" s="348">
        <f t="shared" si="81"/>
        <v>2.3322593687002171</v>
      </c>
      <c r="L211" s="349">
        <f t="shared" si="82"/>
        <v>1.1276668453728449</v>
      </c>
      <c r="M211" s="337">
        <f t="shared" si="91"/>
        <v>1.000059657416656</v>
      </c>
      <c r="N211" s="340">
        <f t="shared" si="92"/>
        <v>1.0922861435320669E-2</v>
      </c>
      <c r="O211" s="341">
        <f t="shared" si="93"/>
        <v>0.99987110301449145</v>
      </c>
      <c r="P211" s="342">
        <f t="shared" si="94"/>
        <v>2.7379114450676125E-3</v>
      </c>
      <c r="Q211" s="343">
        <f t="shared" si="95"/>
        <v>12.864146813250851</v>
      </c>
      <c r="R211" s="344">
        <f t="shared" si="96"/>
        <v>-79.409224183377958</v>
      </c>
      <c r="S211" s="346">
        <f t="shared" si="97"/>
        <v>100.59077581662204</v>
      </c>
      <c r="U211" s="319">
        <f t="shared" si="103"/>
        <v>1000000000</v>
      </c>
      <c r="V211" s="319">
        <f t="shared" si="104"/>
        <v>146240649</v>
      </c>
      <c r="X211" s="345">
        <f t="shared" si="98"/>
        <v>17.881607409707378</v>
      </c>
      <c r="Y211" s="346">
        <f t="shared" si="99"/>
        <v>-26.012776319947911</v>
      </c>
      <c r="AA211" s="345">
        <f t="shared" si="100"/>
        <v>30.992713367144944</v>
      </c>
      <c r="AB211" s="346">
        <f t="shared" si="101"/>
        <v>-53.396447863430062</v>
      </c>
      <c r="AD211">
        <f t="shared" si="105"/>
        <v>0</v>
      </c>
      <c r="AE211">
        <f t="shared" si="80"/>
        <v>0</v>
      </c>
    </row>
    <row r="212" spans="1:31" x14ac:dyDescent="0.2">
      <c r="A212" s="347">
        <v>12163</v>
      </c>
      <c r="B212" s="364">
        <f t="shared" si="102"/>
        <v>12.163</v>
      </c>
      <c r="C212" s="337">
        <f t="shared" si="83"/>
        <v>1.6787529737233022</v>
      </c>
      <c r="D212" s="338">
        <f t="shared" si="84"/>
        <v>0.93268403520763254</v>
      </c>
      <c r="E212" s="338">
        <f t="shared" si="85"/>
        <v>1.0000002580279814</v>
      </c>
      <c r="F212" s="339">
        <f t="shared" si="86"/>
        <v>7.1837027478357314E-4</v>
      </c>
      <c r="G212" s="338">
        <f t="shared" si="87"/>
        <v>1</v>
      </c>
      <c r="H212" s="339">
        <f t="shared" si="88"/>
        <v>0</v>
      </c>
      <c r="I212" s="337">
        <f t="shared" si="89"/>
        <v>22989.971961836887</v>
      </c>
      <c r="J212" s="340">
        <f t="shared" si="90"/>
        <v>1.5707528295691509</v>
      </c>
      <c r="K212" s="348">
        <f t="shared" si="81"/>
        <v>2.3432835070512734</v>
      </c>
      <c r="L212" s="349">
        <f t="shared" si="82"/>
        <v>1.1298984972876278</v>
      </c>
      <c r="M212" s="337">
        <f t="shared" si="91"/>
        <v>1.0000603500453147</v>
      </c>
      <c r="N212" s="340">
        <f t="shared" si="92"/>
        <v>1.0986083047590141E-2</v>
      </c>
      <c r="O212" s="341">
        <f t="shared" si="93"/>
        <v>0.99986960646801648</v>
      </c>
      <c r="P212" s="342">
        <f t="shared" si="94"/>
        <v>2.7537639322631913E-3</v>
      </c>
      <c r="Q212" s="343">
        <f t="shared" si="95"/>
        <v>12.822702743095217</v>
      </c>
      <c r="R212" s="344">
        <f t="shared" si="96"/>
        <v>-79.444027205424135</v>
      </c>
      <c r="S212" s="346">
        <f t="shared" si="97"/>
        <v>100.55597279457587</v>
      </c>
      <c r="U212" s="319">
        <f t="shared" si="103"/>
        <v>1000000000</v>
      </c>
      <c r="V212" s="319">
        <f t="shared" si="104"/>
        <v>147938569</v>
      </c>
      <c r="X212" s="345">
        <f t="shared" si="98"/>
        <v>17.872428106401678</v>
      </c>
      <c r="Y212" s="346">
        <f t="shared" si="99"/>
        <v>-25.888548841378384</v>
      </c>
      <c r="AA212" s="345">
        <f t="shared" si="100"/>
        <v>30.960448600295006</v>
      </c>
      <c r="AB212" s="346">
        <f t="shared" si="101"/>
        <v>-53.555478364045754</v>
      </c>
      <c r="AD212">
        <f t="shared" si="105"/>
        <v>0</v>
      </c>
      <c r="AE212">
        <f t="shared" si="80"/>
        <v>0</v>
      </c>
    </row>
    <row r="213" spans="1:31" x14ac:dyDescent="0.2">
      <c r="A213" s="347">
        <v>12233</v>
      </c>
      <c r="B213" s="364">
        <f t="shared" si="102"/>
        <v>12.233000000000001</v>
      </c>
      <c r="C213" s="337">
        <f t="shared" si="83"/>
        <v>1.6849925705310007</v>
      </c>
      <c r="D213" s="338">
        <f t="shared" si="84"/>
        <v>0.93542747414657135</v>
      </c>
      <c r="E213" s="338">
        <f t="shared" si="85"/>
        <v>1.0000002610065115</v>
      </c>
      <c r="F213" s="339">
        <f t="shared" si="86"/>
        <v>7.2250460856512289E-4</v>
      </c>
      <c r="G213" s="338">
        <f t="shared" si="87"/>
        <v>1</v>
      </c>
      <c r="H213" s="339">
        <f t="shared" si="88"/>
        <v>0</v>
      </c>
      <c r="I213" s="337">
        <f t="shared" si="89"/>
        <v>23122.282907680226</v>
      </c>
      <c r="J213" s="340">
        <f t="shared" si="90"/>
        <v>1.5707530784701398</v>
      </c>
      <c r="K213" s="348">
        <f t="shared" si="81"/>
        <v>2.3543192062621237</v>
      </c>
      <c r="L213" s="349">
        <f t="shared" si="82"/>
        <v>1.1321092387161922</v>
      </c>
      <c r="M213" s="337">
        <f t="shared" si="91"/>
        <v>1.0000610466711812</v>
      </c>
      <c r="N213" s="340">
        <f t="shared" si="92"/>
        <v>1.1049304572034064E-2</v>
      </c>
      <c r="O213" s="341">
        <f t="shared" si="93"/>
        <v>0.9998681012839562</v>
      </c>
      <c r="P213" s="342">
        <f t="shared" si="94"/>
        <v>2.7696164915310428E-3</v>
      </c>
      <c r="Q213" s="343">
        <f t="shared" si="95"/>
        <v>12.78145070273659</v>
      </c>
      <c r="R213" s="344">
        <f t="shared" si="96"/>
        <v>-79.478856516930477</v>
      </c>
      <c r="S213" s="346">
        <f t="shared" si="97"/>
        <v>100.52114348306952</v>
      </c>
      <c r="U213" s="319">
        <f t="shared" si="103"/>
        <v>1000000000</v>
      </c>
      <c r="V213" s="319">
        <f t="shared" si="104"/>
        <v>149646289</v>
      </c>
      <c r="X213" s="345">
        <f t="shared" si="98"/>
        <v>17.863386871370707</v>
      </c>
      <c r="Y213" s="346">
        <f t="shared" si="99"/>
        <v>-25.765519275287552</v>
      </c>
      <c r="AA213" s="345">
        <f t="shared" si="100"/>
        <v>30.928237794967348</v>
      </c>
      <c r="AB213" s="346">
        <f t="shared" si="101"/>
        <v>-53.713337241642925</v>
      </c>
      <c r="AD213">
        <f t="shared" si="105"/>
        <v>0</v>
      </c>
      <c r="AE213">
        <f t="shared" si="80"/>
        <v>0</v>
      </c>
    </row>
    <row r="214" spans="1:31" x14ac:dyDescent="0.2">
      <c r="A214" s="347">
        <v>12303</v>
      </c>
      <c r="B214" s="364">
        <f t="shared" si="102"/>
        <v>12.303000000000001</v>
      </c>
      <c r="C214" s="337">
        <f t="shared" si="83"/>
        <v>1.6912447557308432</v>
      </c>
      <c r="D214" s="338">
        <f t="shared" si="84"/>
        <v>0.93815064959254824</v>
      </c>
      <c r="E214" s="338">
        <f t="shared" si="85"/>
        <v>1.0000002640021344</v>
      </c>
      <c r="F214" s="339">
        <f t="shared" si="86"/>
        <v>7.2663894232197343E-4</v>
      </c>
      <c r="G214" s="338">
        <f t="shared" si="87"/>
        <v>1</v>
      </c>
      <c r="H214" s="339">
        <f t="shared" si="88"/>
        <v>0</v>
      </c>
      <c r="I214" s="337">
        <f t="shared" si="89"/>
        <v>23254.593853524977</v>
      </c>
      <c r="J214" s="340">
        <f t="shared" si="90"/>
        <v>1.5707533245388001</v>
      </c>
      <c r="K214" s="348">
        <f t="shared" si="81"/>
        <v>2.3653663045199869</v>
      </c>
      <c r="L214" s="349">
        <f t="shared" si="82"/>
        <v>1.1342993408748254</v>
      </c>
      <c r="M214" s="337">
        <f t="shared" si="91"/>
        <v>1.0000617472942472</v>
      </c>
      <c r="N214" s="340">
        <f t="shared" si="92"/>
        <v>1.1112526008147234E-2</v>
      </c>
      <c r="O214" s="341">
        <f t="shared" si="93"/>
        <v>0.99986658746231261</v>
      </c>
      <c r="P214" s="342">
        <f t="shared" si="94"/>
        <v>2.7854691232863131E-3</v>
      </c>
      <c r="Q214" s="343">
        <f t="shared" si="95"/>
        <v>12.740388582238291</v>
      </c>
      <c r="R214" s="344">
        <f t="shared" si="96"/>
        <v>-79.513707195684361</v>
      </c>
      <c r="S214" s="346">
        <f t="shared" si="97"/>
        <v>100.48629280431564</v>
      </c>
      <c r="U214" s="319">
        <f t="shared" si="103"/>
        <v>1000000000</v>
      </c>
      <c r="V214" s="319">
        <f t="shared" si="104"/>
        <v>151363809</v>
      </c>
      <c r="X214" s="345">
        <f t="shared" si="98"/>
        <v>17.854481026466161</v>
      </c>
      <c r="Y214" s="346">
        <f t="shared" si="99"/>
        <v>-25.643672084915892</v>
      </c>
      <c r="AA214" s="345">
        <f t="shared" si="100"/>
        <v>30.896081519373595</v>
      </c>
      <c r="AB214" s="346">
        <f t="shared" si="101"/>
        <v>-53.870035110768498</v>
      </c>
      <c r="AD214">
        <f t="shared" si="105"/>
        <v>0</v>
      </c>
      <c r="AE214">
        <f t="shared" si="80"/>
        <v>0</v>
      </c>
    </row>
    <row r="215" spans="1:31" x14ac:dyDescent="0.2">
      <c r="A215" s="347">
        <v>12374.5</v>
      </c>
      <c r="B215" s="364">
        <f t="shared" si="102"/>
        <v>12.374499999999999</v>
      </c>
      <c r="C215" s="337">
        <f t="shared" si="83"/>
        <v>1.6976437676235174</v>
      </c>
      <c r="D215" s="338">
        <f t="shared" si="84"/>
        <v>0.94091145035452328</v>
      </c>
      <c r="E215" s="338">
        <f t="shared" si="85"/>
        <v>1.0000002670795951</v>
      </c>
      <c r="F215" s="339">
        <f t="shared" si="86"/>
        <v>7.3086186891939647E-4</v>
      </c>
      <c r="G215" s="338">
        <f t="shared" si="87"/>
        <v>1</v>
      </c>
      <c r="H215" s="339">
        <f t="shared" si="88"/>
        <v>0</v>
      </c>
      <c r="I215" s="337">
        <f t="shared" si="89"/>
        <v>23389.74003392498</v>
      </c>
      <c r="J215" s="340">
        <f t="shared" si="90"/>
        <v>1.5707535730063187</v>
      </c>
      <c r="K215" s="348">
        <f t="shared" ref="K215:K278" si="106">SQRT(1+(A215/Zero2)^2)</f>
        <v>2.3766617291015599</v>
      </c>
      <c r="L215" s="349">
        <f t="shared" ref="L215:L278" si="107">ATAN(A215/Zero2)</f>
        <v>1.1365153439359006</v>
      </c>
      <c r="M215" s="337">
        <f t="shared" si="91"/>
        <v>1.0000624670572547</v>
      </c>
      <c r="N215" s="340">
        <f t="shared" si="92"/>
        <v>1.1177102097604455E-2</v>
      </c>
      <c r="O215" s="341">
        <f t="shared" si="93"/>
        <v>0.99986503228443335</v>
      </c>
      <c r="P215" s="342">
        <f t="shared" si="94"/>
        <v>2.8016615295591517E-3</v>
      </c>
      <c r="Q215" s="343">
        <f t="shared" si="95"/>
        <v>12.698640478749713</v>
      </c>
      <c r="R215" s="344">
        <f t="shared" si="96"/>
        <v>-79.549321778866954</v>
      </c>
      <c r="S215" s="346">
        <f t="shared" si="97"/>
        <v>100.45067822113305</v>
      </c>
      <c r="U215" s="319">
        <f t="shared" si="103"/>
        <v>1000000000</v>
      </c>
      <c r="V215" s="319">
        <f t="shared" si="104"/>
        <v>153128250.25</v>
      </c>
      <c r="X215" s="345">
        <f t="shared" si="98"/>
        <v>17.845521396055382</v>
      </c>
      <c r="Y215" s="346">
        <f t="shared" si="99"/>
        <v>-25.520418635510886</v>
      </c>
      <c r="AA215" s="345">
        <f t="shared" si="100"/>
        <v>30.863293046295794</v>
      </c>
      <c r="AB215" s="346">
        <f t="shared" si="101"/>
        <v>-54.028903143356075</v>
      </c>
      <c r="AD215">
        <f t="shared" si="105"/>
        <v>0</v>
      </c>
      <c r="AE215">
        <f t="shared" si="80"/>
        <v>0</v>
      </c>
    </row>
    <row r="216" spans="1:31" x14ac:dyDescent="0.2">
      <c r="A216" s="347">
        <v>12446</v>
      </c>
      <c r="B216" s="364">
        <f t="shared" si="102"/>
        <v>12.446</v>
      </c>
      <c r="C216" s="337">
        <f t="shared" si="83"/>
        <v>1.7040556217553346</v>
      </c>
      <c r="D216" s="338">
        <f t="shared" si="84"/>
        <v>0.94365149572736728</v>
      </c>
      <c r="E216" s="338">
        <f t="shared" si="85"/>
        <v>1.0000002701748891</v>
      </c>
      <c r="F216" s="339">
        <f t="shared" si="86"/>
        <v>7.3508479549075248E-4</v>
      </c>
      <c r="G216" s="338">
        <f t="shared" si="87"/>
        <v>1</v>
      </c>
      <c r="H216" s="339">
        <f t="shared" si="88"/>
        <v>0</v>
      </c>
      <c r="I216" s="337">
        <f t="shared" si="89"/>
        <v>23524.886214326412</v>
      </c>
      <c r="J216" s="340">
        <f t="shared" si="90"/>
        <v>1.570753818619036</v>
      </c>
      <c r="K216" s="348">
        <f t="shared" si="106"/>
        <v>2.3879687142393928</v>
      </c>
      <c r="L216" s="349">
        <f t="shared" si="107"/>
        <v>1.1387103722289003</v>
      </c>
      <c r="M216" s="337">
        <f t="shared" si="91"/>
        <v>1.0000631909905877</v>
      </c>
      <c r="N216" s="340">
        <f t="shared" si="92"/>
        <v>1.1241678093839302E-2</v>
      </c>
      <c r="O216" s="341">
        <f t="shared" si="93"/>
        <v>0.9998634680948274</v>
      </c>
      <c r="P216" s="342">
        <f t="shared" si="94"/>
        <v>2.8178540123348591E-3</v>
      </c>
      <c r="Q216" s="343">
        <f t="shared" si="95"/>
        <v>12.657086208958006</v>
      </c>
      <c r="R216" s="344">
        <f t="shared" si="96"/>
        <v>-79.584948767012648</v>
      </c>
      <c r="S216" s="346">
        <f t="shared" si="97"/>
        <v>100.41505123298735</v>
      </c>
      <c r="U216" s="319">
        <f t="shared" si="103"/>
        <v>1000000000</v>
      </c>
      <c r="V216" s="319">
        <f t="shared" si="104"/>
        <v>154902916</v>
      </c>
      <c r="X216" s="345">
        <f t="shared" si="98"/>
        <v>17.83669757048883</v>
      </c>
      <c r="Y216" s="346">
        <f t="shared" si="99"/>
        <v>-25.398366782884949</v>
      </c>
      <c r="AA216" s="345">
        <f t="shared" si="100"/>
        <v>30.830562602070639</v>
      </c>
      <c r="AB216" s="346">
        <f t="shared" si="101"/>
        <v>-54.186581984127706</v>
      </c>
      <c r="AD216">
        <f t="shared" si="105"/>
        <v>0</v>
      </c>
      <c r="AE216">
        <f t="shared" si="80"/>
        <v>0</v>
      </c>
    </row>
    <row r="217" spans="1:31" x14ac:dyDescent="0.2">
      <c r="A217" s="347">
        <v>12517.5</v>
      </c>
      <c r="B217" s="364">
        <f t="shared" si="102"/>
        <v>12.5175</v>
      </c>
      <c r="C217" s="337">
        <f t="shared" si="83"/>
        <v>1.7104801737062152</v>
      </c>
      <c r="D217" s="338">
        <f t="shared" si="84"/>
        <v>0.94637097820643079</v>
      </c>
      <c r="E217" s="338">
        <f t="shared" si="85"/>
        <v>1.0000002732880162</v>
      </c>
      <c r="F217" s="339">
        <f t="shared" si="86"/>
        <v>7.3930772203589085E-4</v>
      </c>
      <c r="G217" s="338">
        <f t="shared" si="87"/>
        <v>1</v>
      </c>
      <c r="H217" s="339">
        <f t="shared" si="88"/>
        <v>0</v>
      </c>
      <c r="I217" s="337">
        <f t="shared" si="89"/>
        <v>23660.032394729249</v>
      </c>
      <c r="J217" s="340">
        <f t="shared" si="90"/>
        <v>1.5707540614258719</v>
      </c>
      <c r="K217" s="348">
        <f t="shared" si="106"/>
        <v>2.3992870964911446</v>
      </c>
      <c r="L217" s="349">
        <f t="shared" si="107"/>
        <v>1.1408847012899199</v>
      </c>
      <c r="M217" s="337">
        <f t="shared" si="91"/>
        <v>1.0000639190942378</v>
      </c>
      <c r="N217" s="340">
        <f t="shared" si="92"/>
        <v>1.1306253996313409E-2</v>
      </c>
      <c r="O217" s="341">
        <f t="shared" si="93"/>
        <v>0.9998618948934973</v>
      </c>
      <c r="P217" s="342">
        <f t="shared" si="94"/>
        <v>2.834046572055869E-3</v>
      </c>
      <c r="Q217" s="343">
        <f t="shared" si="95"/>
        <v>12.615723660441072</v>
      </c>
      <c r="R217" s="344">
        <f t="shared" si="96"/>
        <v>-79.620583405034694</v>
      </c>
      <c r="S217" s="346">
        <f t="shared" si="97"/>
        <v>100.37941659496531</v>
      </c>
      <c r="U217" s="319">
        <f t="shared" si="103"/>
        <v>1000000000</v>
      </c>
      <c r="V217" s="319">
        <f t="shared" si="104"/>
        <v>156687806.25</v>
      </c>
      <c r="X217" s="345">
        <f t="shared" si="98"/>
        <v>17.828006892948579</v>
      </c>
      <c r="Y217" s="346">
        <f t="shared" si="99"/>
        <v>-25.277500742754714</v>
      </c>
      <c r="AA217" s="345">
        <f t="shared" si="100"/>
        <v>30.797890731093958</v>
      </c>
      <c r="AB217" s="346">
        <f t="shared" si="101"/>
        <v>-54.343082662279947</v>
      </c>
      <c r="AD217">
        <f t="shared" si="105"/>
        <v>0</v>
      </c>
      <c r="AE217">
        <f t="shared" si="80"/>
        <v>0</v>
      </c>
    </row>
    <row r="218" spans="1:31" x14ac:dyDescent="0.2">
      <c r="A218" s="347">
        <v>12589</v>
      </c>
      <c r="B218" s="364">
        <f t="shared" si="102"/>
        <v>12.589</v>
      </c>
      <c r="C218" s="337">
        <f t="shared" si="83"/>
        <v>1.716917280933832</v>
      </c>
      <c r="D218" s="338">
        <f t="shared" si="84"/>
        <v>0.94907008862538678</v>
      </c>
      <c r="E218" s="338">
        <f t="shared" si="85"/>
        <v>1.0000002764189764</v>
      </c>
      <c r="F218" s="339">
        <f t="shared" si="86"/>
        <v>7.4353064855466077E-4</v>
      </c>
      <c r="G218" s="338">
        <f t="shared" si="87"/>
        <v>1</v>
      </c>
      <c r="H218" s="339">
        <f t="shared" si="88"/>
        <v>0</v>
      </c>
      <c r="I218" s="337">
        <f t="shared" si="89"/>
        <v>23795.178575133461</v>
      </c>
      <c r="J218" s="340">
        <f t="shared" si="90"/>
        <v>1.5707543014746352</v>
      </c>
      <c r="K218" s="348">
        <f t="shared" si="106"/>
        <v>2.4106167153208573</v>
      </c>
      <c r="L218" s="349">
        <f t="shared" si="107"/>
        <v>1.1430386022658252</v>
      </c>
      <c r="M218" s="337">
        <f t="shared" si="91"/>
        <v>1.0000646513681952</v>
      </c>
      <c r="N218" s="340">
        <f t="shared" si="92"/>
        <v>1.1370829804488409E-2</v>
      </c>
      <c r="O218" s="341">
        <f t="shared" si="93"/>
        <v>0.99986031268044573</v>
      </c>
      <c r="P218" s="342">
        <f t="shared" si="94"/>
        <v>2.8502392091646189E-3</v>
      </c>
      <c r="Q218" s="343">
        <f t="shared" si="95"/>
        <v>12.574550763932542</v>
      </c>
      <c r="R218" s="344">
        <f t="shared" si="96"/>
        <v>-79.656221094059759</v>
      </c>
      <c r="S218" s="346">
        <f t="shared" si="97"/>
        <v>100.34377890594024</v>
      </c>
      <c r="U218" s="319">
        <f t="shared" si="103"/>
        <v>1000000000</v>
      </c>
      <c r="V218" s="319">
        <f t="shared" si="104"/>
        <v>158482921</v>
      </c>
      <c r="X218" s="345">
        <f t="shared" si="98"/>
        <v>17.819446769445914</v>
      </c>
      <c r="Y218" s="346">
        <f t="shared" si="99"/>
        <v>-25.157804982257549</v>
      </c>
      <c r="AA218" s="345">
        <f t="shared" si="100"/>
        <v>30.765277958088095</v>
      </c>
      <c r="AB218" s="346">
        <f t="shared" si="101"/>
        <v>-54.498416111802207</v>
      </c>
      <c r="AD218">
        <f t="shared" si="105"/>
        <v>0</v>
      </c>
      <c r="AE218">
        <f t="shared" ref="AE218:AE281" si="108">IF(AD218&gt;0,S218,0)</f>
        <v>0</v>
      </c>
    </row>
    <row r="219" spans="1:31" x14ac:dyDescent="0.2">
      <c r="A219" s="347">
        <v>12662.25</v>
      </c>
      <c r="B219" s="364">
        <f t="shared" si="102"/>
        <v>12.66225</v>
      </c>
      <c r="C219" s="337">
        <f t="shared" si="83"/>
        <v>1.7235248126447895</v>
      </c>
      <c r="D219" s="338">
        <f t="shared" si="84"/>
        <v>0.95181433286444705</v>
      </c>
      <c r="E219" s="338">
        <f t="shared" si="85"/>
        <v>1.0000002796450616</v>
      </c>
      <c r="F219" s="339">
        <f t="shared" si="86"/>
        <v>7.4785693338729766E-4</v>
      </c>
      <c r="G219" s="338">
        <f t="shared" si="87"/>
        <v>1</v>
      </c>
      <c r="H219" s="339">
        <f t="shared" si="88"/>
        <v>0</v>
      </c>
      <c r="I219" s="337">
        <f t="shared" si="89"/>
        <v>23933.632529185339</v>
      </c>
      <c r="J219" s="340">
        <f t="shared" si="90"/>
        <v>1.570754544587408</v>
      </c>
      <c r="K219" s="348">
        <f t="shared" si="106"/>
        <v>2.4222351201460839</v>
      </c>
      <c r="L219" s="349">
        <f t="shared" si="107"/>
        <v>1.1452243158524942</v>
      </c>
      <c r="M219" s="337">
        <f t="shared" si="91"/>
        <v>1.000065405889595</v>
      </c>
      <c r="N219" s="340">
        <f t="shared" si="92"/>
        <v>1.1436986041084703E-2</v>
      </c>
      <c r="O219" s="341">
        <f t="shared" si="93"/>
        <v>0.99985868239663156</v>
      </c>
      <c r="P219" s="342">
        <f t="shared" si="94"/>
        <v>2.8668282502738902E-3</v>
      </c>
      <c r="Q219" s="343">
        <f t="shared" si="95"/>
        <v>12.532564691433873</v>
      </c>
      <c r="R219" s="344">
        <f t="shared" si="96"/>
        <v>-79.692729549873278</v>
      </c>
      <c r="S219" s="346">
        <f t="shared" si="97"/>
        <v>100.30727045012672</v>
      </c>
      <c r="U219" s="319">
        <f t="shared" si="103"/>
        <v>1000000000</v>
      </c>
      <c r="V219" s="319">
        <f t="shared" si="104"/>
        <v>160332575.0625</v>
      </c>
      <c r="X219" s="345">
        <f t="shared" si="98"/>
        <v>17.810809870959524</v>
      </c>
      <c r="Y219" s="346">
        <f t="shared" si="99"/>
        <v>-25.036377220859535</v>
      </c>
      <c r="AA219" s="345">
        <f t="shared" si="100"/>
        <v>30.731928784075816</v>
      </c>
      <c r="AB219" s="346">
        <f t="shared" si="101"/>
        <v>-54.656352329013764</v>
      </c>
      <c r="AD219">
        <f t="shared" si="105"/>
        <v>0</v>
      </c>
      <c r="AE219">
        <f t="shared" si="108"/>
        <v>0</v>
      </c>
    </row>
    <row r="220" spans="1:31" x14ac:dyDescent="0.2">
      <c r="A220" s="347">
        <v>12735.5</v>
      </c>
      <c r="B220" s="364">
        <f t="shared" si="102"/>
        <v>12.7355</v>
      </c>
      <c r="C220" s="337">
        <f t="shared" si="83"/>
        <v>1.730145224811199</v>
      </c>
      <c r="D220" s="338">
        <f t="shared" si="84"/>
        <v>0.95453759574405672</v>
      </c>
      <c r="E220" s="338">
        <f t="shared" si="85"/>
        <v>1.0000002828898635</v>
      </c>
      <c r="F220" s="339">
        <f t="shared" si="86"/>
        <v>7.5218321819193947E-4</v>
      </c>
      <c r="G220" s="338">
        <f t="shared" si="87"/>
        <v>1</v>
      </c>
      <c r="H220" s="339">
        <f t="shared" si="88"/>
        <v>0</v>
      </c>
      <c r="I220" s="337">
        <f t="shared" si="89"/>
        <v>24072.086483238614</v>
      </c>
      <c r="J220" s="340">
        <f t="shared" si="90"/>
        <v>1.5707547849035868</v>
      </c>
      <c r="K220" s="348">
        <f t="shared" si="106"/>
        <v>2.4338649863095907</v>
      </c>
      <c r="L220" s="349">
        <f t="shared" si="107"/>
        <v>1.1473891514768211</v>
      </c>
      <c r="M220" s="337">
        <f t="shared" si="91"/>
        <v>1.0000661647879221</v>
      </c>
      <c r="N220" s="340">
        <f t="shared" si="92"/>
        <v>1.1503142177565467E-2</v>
      </c>
      <c r="O220" s="341">
        <f t="shared" si="93"/>
        <v>0.99985704265456965</v>
      </c>
      <c r="P220" s="342">
        <f t="shared" si="94"/>
        <v>2.8834173735455822E-3</v>
      </c>
      <c r="Q220" s="343">
        <f t="shared" si="95"/>
        <v>12.490773404856164</v>
      </c>
      <c r="R220" s="344">
        <f t="shared" si="96"/>
        <v>-79.729231920208832</v>
      </c>
      <c r="S220" s="346">
        <f t="shared" si="97"/>
        <v>100.27076807979117</v>
      </c>
      <c r="U220" s="319">
        <f t="shared" si="103"/>
        <v>1000000000</v>
      </c>
      <c r="V220" s="319">
        <f t="shared" si="104"/>
        <v>162192960.25</v>
      </c>
      <c r="X220" s="345">
        <f t="shared" si="98"/>
        <v>17.802304678553778</v>
      </c>
      <c r="Y220" s="346">
        <f t="shared" si="99"/>
        <v>-24.91614551262068</v>
      </c>
      <c r="AA220" s="345">
        <f t="shared" si="100"/>
        <v>30.698642689903856</v>
      </c>
      <c r="AB220" s="346">
        <f t="shared" si="101"/>
        <v>-54.813086407588152</v>
      </c>
      <c r="AD220">
        <f t="shared" si="105"/>
        <v>0</v>
      </c>
      <c r="AE220">
        <f t="shared" si="108"/>
        <v>0</v>
      </c>
    </row>
    <row r="221" spans="1:31" x14ac:dyDescent="0.2">
      <c r="A221" s="347">
        <v>12808.75</v>
      </c>
      <c r="B221" s="364">
        <f t="shared" si="102"/>
        <v>12.80875</v>
      </c>
      <c r="C221" s="337">
        <f t="shared" si="83"/>
        <v>1.736778370136338</v>
      </c>
      <c r="D221" s="338">
        <f t="shared" si="84"/>
        <v>0.95724007703750358</v>
      </c>
      <c r="E221" s="338">
        <f t="shared" si="85"/>
        <v>1.0000002861533823</v>
      </c>
      <c r="F221" s="339">
        <f t="shared" si="86"/>
        <v>7.5650950296842444E-4</v>
      </c>
      <c r="G221" s="338">
        <f t="shared" si="87"/>
        <v>1</v>
      </c>
      <c r="H221" s="339">
        <f t="shared" si="88"/>
        <v>0</v>
      </c>
      <c r="I221" s="337">
        <f t="shared" si="89"/>
        <v>24210.540437293264</v>
      </c>
      <c r="J221" s="340">
        <f t="shared" si="90"/>
        <v>1.5707550224711508</v>
      </c>
      <c r="K221" s="348">
        <f t="shared" si="106"/>
        <v>2.4455061502945212</v>
      </c>
      <c r="L221" s="349">
        <f t="shared" si="107"/>
        <v>1.1495333868533615</v>
      </c>
      <c r="M221" s="337">
        <f t="shared" si="91"/>
        <v>1.0000669280631662</v>
      </c>
      <c r="N221" s="340">
        <f t="shared" si="92"/>
        <v>1.1569298213351849E-2</v>
      </c>
      <c r="O221" s="341">
        <f t="shared" si="93"/>
        <v>0.99985539345426244</v>
      </c>
      <c r="P221" s="342">
        <f t="shared" si="94"/>
        <v>2.900006579455446E-3</v>
      </c>
      <c r="Q221" s="343">
        <f t="shared" si="95"/>
        <v>12.449174811942205</v>
      </c>
      <c r="R221" s="344">
        <f t="shared" si="96"/>
        <v>-79.765723742103773</v>
      </c>
      <c r="S221" s="346">
        <f t="shared" si="97"/>
        <v>100.23427625789623</v>
      </c>
      <c r="U221" s="319">
        <f t="shared" si="103"/>
        <v>1000000000</v>
      </c>
      <c r="V221" s="319">
        <f t="shared" si="104"/>
        <v>164064076.5625</v>
      </c>
      <c r="X221" s="345">
        <f t="shared" si="98"/>
        <v>17.793928597078754</v>
      </c>
      <c r="Y221" s="346">
        <f t="shared" si="99"/>
        <v>-24.797093948384884</v>
      </c>
      <c r="AA221" s="345">
        <f t="shared" si="100"/>
        <v>30.66542017846492</v>
      </c>
      <c r="AB221" s="346">
        <f t="shared" si="101"/>
        <v>-54.96862979371889</v>
      </c>
      <c r="AD221">
        <f t="shared" si="105"/>
        <v>0</v>
      </c>
      <c r="AE221">
        <f t="shared" si="108"/>
        <v>0</v>
      </c>
    </row>
    <row r="222" spans="1:31" x14ac:dyDescent="0.2">
      <c r="A222" s="347">
        <v>12882</v>
      </c>
      <c r="B222" s="364">
        <f t="shared" si="102"/>
        <v>12.882</v>
      </c>
      <c r="C222" s="337">
        <f t="shared" si="83"/>
        <v>1.7434241032839886</v>
      </c>
      <c r="D222" s="338">
        <f t="shared" si="84"/>
        <v>0.95992197469500629</v>
      </c>
      <c r="E222" s="338">
        <f t="shared" si="85"/>
        <v>1.0000002894356177</v>
      </c>
      <c r="F222" s="339">
        <f t="shared" si="86"/>
        <v>7.6083578771659059E-4</v>
      </c>
      <c r="G222" s="338">
        <f t="shared" si="87"/>
        <v>1</v>
      </c>
      <c r="H222" s="339">
        <f t="shared" si="88"/>
        <v>0</v>
      </c>
      <c r="I222" s="337">
        <f t="shared" si="89"/>
        <v>24348.994391349261</v>
      </c>
      <c r="J222" s="340">
        <f t="shared" si="90"/>
        <v>1.5707552573369876</v>
      </c>
      <c r="K222" s="348">
        <f t="shared" si="106"/>
        <v>2.4571584515254106</v>
      </c>
      <c r="L222" s="349">
        <f t="shared" si="107"/>
        <v>1.1516572951941793</v>
      </c>
      <c r="M222" s="337">
        <f t="shared" si="91"/>
        <v>1.0000676957153178</v>
      </c>
      <c r="N222" s="340">
        <f t="shared" si="92"/>
        <v>1.1635454147864996E-2</v>
      </c>
      <c r="O222" s="341">
        <f t="shared" si="93"/>
        <v>0.9998537347957126</v>
      </c>
      <c r="P222" s="342">
        <f t="shared" si="94"/>
        <v>2.9165958684792379E-3</v>
      </c>
      <c r="Q222" s="343">
        <f t="shared" si="95"/>
        <v>12.407766862582644</v>
      </c>
      <c r="R222" s="344">
        <f t="shared" si="96"/>
        <v>-79.802200706052588</v>
      </c>
      <c r="S222" s="346">
        <f t="shared" si="97"/>
        <v>100.19779929394741</v>
      </c>
      <c r="U222" s="319">
        <f t="shared" si="103"/>
        <v>1000000000</v>
      </c>
      <c r="V222" s="319">
        <f t="shared" si="104"/>
        <v>165945924</v>
      </c>
      <c r="X222" s="345">
        <f t="shared" si="98"/>
        <v>17.785679093255382</v>
      </c>
      <c r="Y222" s="346">
        <f t="shared" si="99"/>
        <v>-24.679206876907223</v>
      </c>
      <c r="AA222" s="345">
        <f t="shared" si="100"/>
        <v>30.632261732928725</v>
      </c>
      <c r="AB222" s="346">
        <f t="shared" si="101"/>
        <v>-55.122993829145351</v>
      </c>
      <c r="AD222">
        <f t="shared" si="105"/>
        <v>0</v>
      </c>
      <c r="AE222">
        <f t="shared" si="108"/>
        <v>0</v>
      </c>
    </row>
    <row r="223" spans="1:31" x14ac:dyDescent="0.2">
      <c r="A223" s="347">
        <v>12957.25</v>
      </c>
      <c r="B223" s="364">
        <f t="shared" si="102"/>
        <v>12.95725</v>
      </c>
      <c r="C223" s="337">
        <f t="shared" si="83"/>
        <v>1.7502642472789289</v>
      </c>
      <c r="D223" s="338">
        <f t="shared" si="84"/>
        <v>0.96265586998518682</v>
      </c>
      <c r="E223" s="338">
        <f t="shared" si="85"/>
        <v>1.0000002928269609</v>
      </c>
      <c r="F223" s="339">
        <f t="shared" si="86"/>
        <v>7.6528019625074712E-4</v>
      </c>
      <c r="G223" s="338">
        <f t="shared" si="87"/>
        <v>1</v>
      </c>
      <c r="H223" s="339">
        <f t="shared" si="88"/>
        <v>0</v>
      </c>
      <c r="I223" s="337">
        <f t="shared" si="89"/>
        <v>24491.228658145374</v>
      </c>
      <c r="J223" s="340">
        <f t="shared" si="90"/>
        <v>1.5707554958503067</v>
      </c>
      <c r="K223" s="348">
        <f t="shared" si="106"/>
        <v>2.4691403361683255</v>
      </c>
      <c r="L223" s="349">
        <f t="shared" si="107"/>
        <v>1.1538183095022725</v>
      </c>
      <c r="M223" s="337">
        <f t="shared" si="91"/>
        <v>1.0000684888850422</v>
      </c>
      <c r="N223" s="340">
        <f t="shared" si="92"/>
        <v>1.1703416281690403E-2</v>
      </c>
      <c r="O223" s="341">
        <f t="shared" si="93"/>
        <v>0.99985202100042414</v>
      </c>
      <c r="P223" s="342">
        <f t="shared" si="94"/>
        <v>2.9336381944228152E-3</v>
      </c>
      <c r="Q223" s="343">
        <f t="shared" si="95"/>
        <v>12.365424732293162</v>
      </c>
      <c r="R223" s="344">
        <f t="shared" si="96"/>
        <v>-79.839653785271921</v>
      </c>
      <c r="S223" s="346">
        <f t="shared" si="97"/>
        <v>100.16034621472808</v>
      </c>
      <c r="U223" s="319">
        <f t="shared" si="103"/>
        <v>1000000000</v>
      </c>
      <c r="V223" s="319">
        <f t="shared" si="104"/>
        <v>167890327.5625</v>
      </c>
      <c r="X223" s="345">
        <f t="shared" si="98"/>
        <v>17.777333557557967</v>
      </c>
      <c r="Y223" s="346">
        <f t="shared" si="99"/>
        <v>-24.559297486690529</v>
      </c>
      <c r="AA223" s="345">
        <f t="shared" si="100"/>
        <v>30.598265138336661</v>
      </c>
      <c r="AB223" s="346">
        <f t="shared" si="101"/>
        <v>-55.280356298581417</v>
      </c>
      <c r="AD223">
        <f t="shared" si="105"/>
        <v>0</v>
      </c>
      <c r="AE223">
        <f t="shared" si="108"/>
        <v>0</v>
      </c>
    </row>
    <row r="224" spans="1:31" x14ac:dyDescent="0.2">
      <c r="A224" s="347">
        <v>13032.5</v>
      </c>
      <c r="B224" s="364">
        <f t="shared" si="102"/>
        <v>13.032500000000001</v>
      </c>
      <c r="C224" s="337">
        <f t="shared" si="83"/>
        <v>1.7571173711629839</v>
      </c>
      <c r="D224" s="338">
        <f t="shared" si="84"/>
        <v>0.96536845989568321</v>
      </c>
      <c r="E224" s="338">
        <f t="shared" si="85"/>
        <v>1.0000002962380568</v>
      </c>
      <c r="F224" s="339">
        <f t="shared" si="86"/>
        <v>7.6972460475467077E-4</v>
      </c>
      <c r="G224" s="338">
        <f t="shared" si="87"/>
        <v>1</v>
      </c>
      <c r="H224" s="339">
        <f t="shared" si="88"/>
        <v>0</v>
      </c>
      <c r="I224" s="337">
        <f t="shared" si="89"/>
        <v>24633.462924942869</v>
      </c>
      <c r="J224" s="340">
        <f t="shared" si="90"/>
        <v>1.5707557316092615</v>
      </c>
      <c r="K224" s="348">
        <f t="shared" si="106"/>
        <v>2.4811336402535646</v>
      </c>
      <c r="L224" s="349">
        <f t="shared" si="107"/>
        <v>1.1559584419019804</v>
      </c>
      <c r="M224" s="337">
        <f t="shared" si="91"/>
        <v>1.0000692866739274</v>
      </c>
      <c r="N224" s="340">
        <f t="shared" si="92"/>
        <v>1.1771378307398356E-2</v>
      </c>
      <c r="O224" s="341">
        <f t="shared" si="93"/>
        <v>0.99985029722335705</v>
      </c>
      <c r="P224" s="342">
        <f t="shared" si="94"/>
        <v>2.9506806090988454E-3</v>
      </c>
      <c r="Q224" s="343">
        <f t="shared" si="95"/>
        <v>12.323279543318899</v>
      </c>
      <c r="R224" s="344">
        <f t="shared" si="96"/>
        <v>-79.8770824424507</v>
      </c>
      <c r="S224" s="346">
        <f t="shared" si="97"/>
        <v>100.1229175575493</v>
      </c>
      <c r="U224" s="319">
        <f t="shared" si="103"/>
        <v>1000000000</v>
      </c>
      <c r="V224" s="319">
        <f t="shared" si="104"/>
        <v>169846056.25</v>
      </c>
      <c r="X224" s="345">
        <f t="shared" si="98"/>
        <v>17.769116379213084</v>
      </c>
      <c r="Y224" s="346">
        <f t="shared" si="99"/>
        <v>-24.44058437768572</v>
      </c>
      <c r="AA224" s="345">
        <f t="shared" si="100"/>
        <v>30.564337127707283</v>
      </c>
      <c r="AB224" s="346">
        <f t="shared" si="101"/>
        <v>-55.43649806476499</v>
      </c>
      <c r="AD224">
        <f t="shared" si="105"/>
        <v>0</v>
      </c>
      <c r="AE224">
        <f t="shared" si="108"/>
        <v>0</v>
      </c>
    </row>
    <row r="225" spans="1:31" x14ac:dyDescent="0.2">
      <c r="A225" s="347">
        <v>13107.75</v>
      </c>
      <c r="B225" s="364">
        <f t="shared" si="102"/>
        <v>13.107749999999999</v>
      </c>
      <c r="C225" s="337">
        <f t="shared" si="83"/>
        <v>1.7639833236544786</v>
      </c>
      <c r="D225" s="338">
        <f t="shared" si="84"/>
        <v>0.96805995305437209</v>
      </c>
      <c r="E225" s="338">
        <f t="shared" si="85"/>
        <v>1.0000002996689052</v>
      </c>
      <c r="F225" s="339">
        <f t="shared" si="86"/>
        <v>7.7416901322818613E-4</v>
      </c>
      <c r="G225" s="338">
        <f t="shared" si="87"/>
        <v>1</v>
      </c>
      <c r="H225" s="339">
        <f t="shared" si="88"/>
        <v>0</v>
      </c>
      <c r="I225" s="337">
        <f t="shared" si="89"/>
        <v>24775.697191741714</v>
      </c>
      <c r="J225" s="340">
        <f t="shared" si="90"/>
        <v>1.5707559646612892</v>
      </c>
      <c r="K225" s="348">
        <f t="shared" si="106"/>
        <v>2.493138198980589</v>
      </c>
      <c r="L225" s="349">
        <f t="shared" si="107"/>
        <v>1.1580779742880063</v>
      </c>
      <c r="M225" s="337">
        <f t="shared" si="91"/>
        <v>1.000070089081962</v>
      </c>
      <c r="N225" s="340">
        <f t="shared" si="92"/>
        <v>1.1839340224361309E-2</v>
      </c>
      <c r="O225" s="341">
        <f t="shared" si="93"/>
        <v>0.99984856346451434</v>
      </c>
      <c r="P225" s="342">
        <f t="shared" si="94"/>
        <v>2.9677231130231544E-3</v>
      </c>
      <c r="Q225" s="343">
        <f t="shared" si="95"/>
        <v>12.281329203851287</v>
      </c>
      <c r="R225" s="344">
        <f t="shared" si="96"/>
        <v>-79.914482482420496</v>
      </c>
      <c r="S225" s="346">
        <f t="shared" si="97"/>
        <v>100.0855175175795</v>
      </c>
      <c r="U225" s="319">
        <f t="shared" si="103"/>
        <v>1000000000</v>
      </c>
      <c r="V225" s="319">
        <f t="shared" si="104"/>
        <v>171813110.0625</v>
      </c>
      <c r="X225" s="345">
        <f t="shared" si="98"/>
        <v>17.761025004512476</v>
      </c>
      <c r="Y225" s="346">
        <f t="shared" si="99"/>
        <v>-24.323051401198033</v>
      </c>
      <c r="AA225" s="345">
        <f t="shared" si="100"/>
        <v>30.530478162940284</v>
      </c>
      <c r="AB225" s="346">
        <f t="shared" si="101"/>
        <v>-55.591431081222467</v>
      </c>
      <c r="AD225">
        <f t="shared" si="105"/>
        <v>0</v>
      </c>
      <c r="AE225">
        <f t="shared" si="108"/>
        <v>0</v>
      </c>
    </row>
    <row r="226" spans="1:31" x14ac:dyDescent="0.2">
      <c r="A226" s="347">
        <v>13183</v>
      </c>
      <c r="B226" s="364">
        <f t="shared" si="102"/>
        <v>13.183</v>
      </c>
      <c r="C226" s="337">
        <f t="shared" si="83"/>
        <v>1.7708619555369165</v>
      </c>
      <c r="D226" s="338">
        <f t="shared" si="84"/>
        <v>0.97073055607931158</v>
      </c>
      <c r="E226" s="338">
        <f t="shared" si="85"/>
        <v>1.0000003031195068</v>
      </c>
      <c r="F226" s="339">
        <f t="shared" si="86"/>
        <v>7.7861342167111745E-4</v>
      </c>
      <c r="G226" s="338">
        <f t="shared" si="87"/>
        <v>1</v>
      </c>
      <c r="H226" s="339">
        <f t="shared" si="88"/>
        <v>0</v>
      </c>
      <c r="I226" s="337">
        <f t="shared" si="89"/>
        <v>24917.931458541887</v>
      </c>
      <c r="J226" s="340">
        <f t="shared" si="90"/>
        <v>1.570756195052744</v>
      </c>
      <c r="K226" s="348">
        <f t="shared" si="106"/>
        <v>2.5051538505545405</v>
      </c>
      <c r="L226" s="349">
        <f t="shared" si="107"/>
        <v>1.1601771838947397</v>
      </c>
      <c r="M226" s="337">
        <f t="shared" si="91"/>
        <v>1.0000708961091354</v>
      </c>
      <c r="N226" s="340">
        <f t="shared" si="92"/>
        <v>1.1907302031951714E-2</v>
      </c>
      <c r="O226" s="341">
        <f t="shared" si="93"/>
        <v>0.99984681972389911</v>
      </c>
      <c r="P226" s="342">
        <f t="shared" si="94"/>
        <v>2.9847657067115785E-3</v>
      </c>
      <c r="Q226" s="343">
        <f t="shared" si="95"/>
        <v>12.239571663700485</v>
      </c>
      <c r="R226" s="344">
        <f t="shared" si="96"/>
        <v>-79.951849861813059</v>
      </c>
      <c r="S226" s="346">
        <f t="shared" si="97"/>
        <v>100.04815013818694</v>
      </c>
      <c r="U226" s="319">
        <f t="shared" si="103"/>
        <v>1000000000</v>
      </c>
      <c r="V226" s="319">
        <f t="shared" si="104"/>
        <v>173791489</v>
      </c>
      <c r="X226" s="345">
        <f t="shared" si="98"/>
        <v>17.753056941278086</v>
      </c>
      <c r="Y226" s="346">
        <f t="shared" si="99"/>
        <v>-24.206682675486935</v>
      </c>
      <c r="AA226" s="345">
        <f t="shared" si="100"/>
        <v>30.496688686023859</v>
      </c>
      <c r="AB226" s="346">
        <f t="shared" si="101"/>
        <v>-55.745167186326128</v>
      </c>
      <c r="AD226">
        <f t="shared" si="105"/>
        <v>0</v>
      </c>
      <c r="AE226">
        <f t="shared" si="108"/>
        <v>0</v>
      </c>
    </row>
    <row r="227" spans="1:31" x14ac:dyDescent="0.2">
      <c r="A227" s="347">
        <v>13259.75</v>
      </c>
      <c r="B227" s="364">
        <f t="shared" si="102"/>
        <v>13.25975</v>
      </c>
      <c r="C227" s="337">
        <f t="shared" si="83"/>
        <v>1.7778906114255966</v>
      </c>
      <c r="D227" s="338">
        <f t="shared" si="84"/>
        <v>0.97343308697409203</v>
      </c>
      <c r="E227" s="338">
        <f t="shared" si="85"/>
        <v>1.0000003066592382</v>
      </c>
      <c r="F227" s="339">
        <f t="shared" si="86"/>
        <v>7.8314642294168967E-4</v>
      </c>
      <c r="G227" s="338">
        <f t="shared" si="87"/>
        <v>1</v>
      </c>
      <c r="H227" s="339">
        <f t="shared" si="88"/>
        <v>0</v>
      </c>
      <c r="I227" s="337">
        <f t="shared" si="89"/>
        <v>25063.000959897563</v>
      </c>
      <c r="J227" s="340">
        <f t="shared" si="90"/>
        <v>1.5707564273430368</v>
      </c>
      <c r="K227" s="348">
        <f t="shared" si="106"/>
        <v>2.5174202788010529</v>
      </c>
      <c r="L227" s="349">
        <f t="shared" si="107"/>
        <v>1.1622975864461427</v>
      </c>
      <c r="M227" s="337">
        <f t="shared" si="91"/>
        <v>1.0000717239813872</v>
      </c>
      <c r="N227" s="340">
        <f t="shared" si="92"/>
        <v>1.1976618446643925E-2</v>
      </c>
      <c r="O227" s="341">
        <f t="shared" si="93"/>
        <v>0.99984503094212407</v>
      </c>
      <c r="P227" s="342">
        <f t="shared" si="94"/>
        <v>3.0021481128763459E-3</v>
      </c>
      <c r="Q227" s="343">
        <f t="shared" si="95"/>
        <v>12.197178265871871</v>
      </c>
      <c r="R227" s="344">
        <f t="shared" si="96"/>
        <v>-79.989924423002947</v>
      </c>
      <c r="S227" s="346">
        <f t="shared" si="97"/>
        <v>100.01007557699705</v>
      </c>
      <c r="U227" s="319">
        <f t="shared" si="103"/>
        <v>1000000000</v>
      </c>
      <c r="V227" s="319">
        <f t="shared" si="104"/>
        <v>175820970.0625</v>
      </c>
      <c r="X227" s="345">
        <f t="shared" si="98"/>
        <v>17.745054547306431</v>
      </c>
      <c r="Y227" s="346">
        <f t="shared" si="99"/>
        <v>-24.089177405554736</v>
      </c>
      <c r="AA227" s="345">
        <f t="shared" si="100"/>
        <v>30.462297682166909</v>
      </c>
      <c r="AB227" s="346">
        <f t="shared" si="101"/>
        <v>-55.900747017448232</v>
      </c>
      <c r="AD227">
        <f t="shared" si="105"/>
        <v>0</v>
      </c>
      <c r="AE227">
        <f t="shared" si="108"/>
        <v>0</v>
      </c>
    </row>
    <row r="228" spans="1:31" x14ac:dyDescent="0.2">
      <c r="A228" s="347">
        <v>13336.5</v>
      </c>
      <c r="B228" s="364">
        <f t="shared" si="102"/>
        <v>13.336499999999999</v>
      </c>
      <c r="C228" s="337">
        <f t="shared" si="83"/>
        <v>1.7849321501263038</v>
      </c>
      <c r="D228" s="338">
        <f t="shared" si="84"/>
        <v>0.97611431441089314</v>
      </c>
      <c r="E228" s="338">
        <f t="shared" si="85"/>
        <v>1.0000003102195179</v>
      </c>
      <c r="F228" s="339">
        <f t="shared" si="86"/>
        <v>7.8767942418007768E-4</v>
      </c>
      <c r="G228" s="338">
        <f t="shared" si="87"/>
        <v>1</v>
      </c>
      <c r="H228" s="339">
        <f t="shared" si="88"/>
        <v>0</v>
      </c>
      <c r="I228" s="337">
        <f t="shared" si="89"/>
        <v>25208.070461254574</v>
      </c>
      <c r="J228" s="340">
        <f t="shared" si="90"/>
        <v>1.5707566569597222</v>
      </c>
      <c r="K228" s="348">
        <f t="shared" si="106"/>
        <v>2.5296979158419273</v>
      </c>
      <c r="L228" s="349">
        <f t="shared" si="107"/>
        <v>1.1643974160369568</v>
      </c>
      <c r="M228" s="337">
        <f t="shared" si="91"/>
        <v>1.000072556658741</v>
      </c>
      <c r="N228" s="340">
        <f t="shared" si="92"/>
        <v>1.2045934746241145E-2</v>
      </c>
      <c r="O228" s="341">
        <f t="shared" si="93"/>
        <v>0.99984323177667234</v>
      </c>
      <c r="P228" s="342">
        <f t="shared" si="94"/>
        <v>3.019530613503468E-3</v>
      </c>
      <c r="Q228" s="343">
        <f t="shared" si="95"/>
        <v>12.154981249327523</v>
      </c>
      <c r="R228" s="344">
        <f t="shared" si="96"/>
        <v>-80.027956975408657</v>
      </c>
      <c r="S228" s="346">
        <f t="shared" si="97"/>
        <v>99.972043024591343</v>
      </c>
      <c r="U228" s="319">
        <f t="shared" si="103"/>
        <v>1000000000</v>
      </c>
      <c r="V228" s="319">
        <f t="shared" si="104"/>
        <v>177862232.25</v>
      </c>
      <c r="X228" s="345">
        <f t="shared" si="98"/>
        <v>17.737175381293284</v>
      </c>
      <c r="Y228" s="346">
        <f t="shared" si="99"/>
        <v>-23.972850719656851</v>
      </c>
      <c r="AA228" s="345">
        <f t="shared" si="100"/>
        <v>30.427979831635707</v>
      </c>
      <c r="AB228" s="346">
        <f t="shared" si="101"/>
        <v>-56.055106255751824</v>
      </c>
      <c r="AD228">
        <f t="shared" si="105"/>
        <v>0</v>
      </c>
      <c r="AE228">
        <f t="shared" si="108"/>
        <v>0</v>
      </c>
    </row>
    <row r="229" spans="1:31" x14ac:dyDescent="0.2">
      <c r="A229" s="347">
        <v>13413.25</v>
      </c>
      <c r="B229" s="364">
        <f t="shared" si="102"/>
        <v>13.41325</v>
      </c>
      <c r="C229" s="337">
        <f t="shared" si="83"/>
        <v>1.7919864197715665</v>
      </c>
      <c r="D229" s="338">
        <f t="shared" si="84"/>
        <v>0.97877445119814155</v>
      </c>
      <c r="E229" s="338">
        <f t="shared" si="85"/>
        <v>1.0000003138003455</v>
      </c>
      <c r="F229" s="339">
        <f t="shared" si="86"/>
        <v>7.9221242538609488E-4</v>
      </c>
      <c r="G229" s="338">
        <f t="shared" si="87"/>
        <v>1</v>
      </c>
      <c r="H229" s="339">
        <f t="shared" si="88"/>
        <v>0</v>
      </c>
      <c r="I229" s="337">
        <f t="shared" si="89"/>
        <v>25353.139962612902</v>
      </c>
      <c r="J229" s="340">
        <f t="shared" si="90"/>
        <v>1.5707568839486956</v>
      </c>
      <c r="K229" s="348">
        <f t="shared" si="106"/>
        <v>2.5419865992638324</v>
      </c>
      <c r="L229" s="349">
        <f t="shared" si="107"/>
        <v>1.1664769523809924</v>
      </c>
      <c r="M229" s="337">
        <f t="shared" si="91"/>
        <v>1.000073394141185</v>
      </c>
      <c r="N229" s="340">
        <f t="shared" si="92"/>
        <v>1.2115250930077559E-2</v>
      </c>
      <c r="O229" s="341">
        <f t="shared" si="93"/>
        <v>0.99984142222754735</v>
      </c>
      <c r="P229" s="342">
        <f t="shared" si="94"/>
        <v>3.0369132091402741E-3</v>
      </c>
      <c r="Q229" s="343">
        <f t="shared" si="95"/>
        <v>12.112978564825227</v>
      </c>
      <c r="R229" s="344">
        <f t="shared" si="96"/>
        <v>-80.065943688256908</v>
      </c>
      <c r="S229" s="346">
        <f t="shared" si="97"/>
        <v>99.934056311743092</v>
      </c>
      <c r="U229" s="319">
        <f t="shared" si="103"/>
        <v>1000000000</v>
      </c>
      <c r="V229" s="319">
        <f t="shared" si="104"/>
        <v>179915275.5625</v>
      </c>
      <c r="X229" s="345">
        <f t="shared" si="98"/>
        <v>17.729416985897124</v>
      </c>
      <c r="Y229" s="346">
        <f t="shared" si="99"/>
        <v>-23.857686593963901</v>
      </c>
      <c r="AA229" s="345">
        <f t="shared" si="100"/>
        <v>30.393735542529573</v>
      </c>
      <c r="AB229" s="346">
        <f t="shared" si="101"/>
        <v>-56.208257094292989</v>
      </c>
      <c r="AD229">
        <f t="shared" si="105"/>
        <v>0</v>
      </c>
      <c r="AE229">
        <f t="shared" si="108"/>
        <v>0</v>
      </c>
    </row>
    <row r="230" spans="1:31" x14ac:dyDescent="0.2">
      <c r="A230" s="347">
        <v>13490</v>
      </c>
      <c r="B230" s="364">
        <f t="shared" si="102"/>
        <v>13.49</v>
      </c>
      <c r="C230" s="337">
        <f t="shared" si="83"/>
        <v>1.7990532706034315</v>
      </c>
      <c r="D230" s="338">
        <f t="shared" si="84"/>
        <v>0.98141370800354777</v>
      </c>
      <c r="E230" s="338">
        <f t="shared" si="85"/>
        <v>1.0000003174017214</v>
      </c>
      <c r="F230" s="339">
        <f t="shared" si="86"/>
        <v>7.9674542655955533E-4</v>
      </c>
      <c r="G230" s="338">
        <f t="shared" si="87"/>
        <v>1</v>
      </c>
      <c r="H230" s="339">
        <f t="shared" si="88"/>
        <v>0</v>
      </c>
      <c r="I230" s="337">
        <f t="shared" si="89"/>
        <v>25498.209463972522</v>
      </c>
      <c r="J230" s="340">
        <f t="shared" si="90"/>
        <v>1.5707571083548069</v>
      </c>
      <c r="K230" s="348">
        <f t="shared" si="106"/>
        <v>2.5542861696341914</v>
      </c>
      <c r="L230" s="349">
        <f t="shared" si="107"/>
        <v>1.1685364705138144</v>
      </c>
      <c r="M230" s="337">
        <f t="shared" si="91"/>
        <v>1.0000742364287067</v>
      </c>
      <c r="N230" s="340">
        <f t="shared" si="92"/>
        <v>1.2184566997487377E-2</v>
      </c>
      <c r="O230" s="341">
        <f t="shared" si="93"/>
        <v>0.99983960229475222</v>
      </c>
      <c r="P230" s="342">
        <f t="shared" si="94"/>
        <v>3.0542959003341057E-3</v>
      </c>
      <c r="Q230" s="343">
        <f t="shared" si="95"/>
        <v>12.071168203069194</v>
      </c>
      <c r="R230" s="344">
        <f t="shared" si="96"/>
        <v>-80.103880876104128</v>
      </c>
      <c r="S230" s="346">
        <f t="shared" si="97"/>
        <v>99.896119123895872</v>
      </c>
      <c r="U230" s="319">
        <f t="shared" si="103"/>
        <v>1000000000</v>
      </c>
      <c r="V230" s="319">
        <f t="shared" si="104"/>
        <v>181980100</v>
      </c>
      <c r="X230" s="345">
        <f t="shared" si="98"/>
        <v>17.721776963177046</v>
      </c>
      <c r="Y230" s="346">
        <f t="shared" si="99"/>
        <v>-23.743669272630353</v>
      </c>
      <c r="AA230" s="345">
        <f t="shared" si="100"/>
        <v>30.359565203493617</v>
      </c>
      <c r="AB230" s="346">
        <f t="shared" si="101"/>
        <v>-56.360211603473793</v>
      </c>
      <c r="AD230">
        <f t="shared" si="105"/>
        <v>0</v>
      </c>
      <c r="AE230">
        <f t="shared" si="108"/>
        <v>0</v>
      </c>
    </row>
    <row r="231" spans="1:31" x14ac:dyDescent="0.2">
      <c r="A231" s="347">
        <v>13568.5</v>
      </c>
      <c r="B231" s="364">
        <f t="shared" si="102"/>
        <v>13.5685</v>
      </c>
      <c r="C231" s="337">
        <f t="shared" si="83"/>
        <v>1.806294115682793</v>
      </c>
      <c r="D231" s="338">
        <f t="shared" si="84"/>
        <v>0.98409176110785046</v>
      </c>
      <c r="E231" s="338">
        <f t="shared" si="85"/>
        <v>1.0000003211064694</v>
      </c>
      <c r="F231" s="339">
        <f t="shared" si="86"/>
        <v>8.0138178603208793E-4</v>
      </c>
      <c r="G231" s="338">
        <f t="shared" si="87"/>
        <v>1</v>
      </c>
      <c r="H231" s="339">
        <f t="shared" si="88"/>
        <v>0</v>
      </c>
      <c r="I231" s="337">
        <f t="shared" si="89"/>
        <v>25646.586738980091</v>
      </c>
      <c r="J231" s="340">
        <f t="shared" si="90"/>
        <v>1.5707573352514825</v>
      </c>
      <c r="K231" s="348">
        <f t="shared" si="106"/>
        <v>2.5668772852441397</v>
      </c>
      <c r="L231" s="349">
        <f t="shared" si="107"/>
        <v>1.1706225221313158</v>
      </c>
      <c r="M231" s="337">
        <f t="shared" si="91"/>
        <v>1.0000751028921389</v>
      </c>
      <c r="N231" s="340">
        <f t="shared" si="92"/>
        <v>1.2255463440415375E-2</v>
      </c>
      <c r="O231" s="341">
        <f t="shared" si="93"/>
        <v>0.99983773012361066</v>
      </c>
      <c r="P231" s="342">
        <f t="shared" si="94"/>
        <v>3.072075038956232E-3</v>
      </c>
      <c r="Q231" s="343">
        <f t="shared" si="95"/>
        <v>12.028601407446629</v>
      </c>
      <c r="R231" s="344">
        <f t="shared" si="96"/>
        <v>-80.142628155768122</v>
      </c>
      <c r="S231" s="346">
        <f t="shared" si="97"/>
        <v>99.857371844231878</v>
      </c>
      <c r="U231" s="319">
        <f t="shared" si="103"/>
        <v>1000000000</v>
      </c>
      <c r="V231" s="319">
        <f t="shared" si="104"/>
        <v>184104192.25</v>
      </c>
      <c r="X231" s="345">
        <f t="shared" si="98"/>
        <v>17.714082751083748</v>
      </c>
      <c r="Y231" s="346">
        <f t="shared" si="99"/>
        <v>-23.628222386153329</v>
      </c>
      <c r="AA231" s="345">
        <f t="shared" si="100"/>
        <v>30.324692619964353</v>
      </c>
      <c r="AB231" s="346">
        <f t="shared" si="101"/>
        <v>-56.51440576961479</v>
      </c>
      <c r="AD231">
        <f t="shared" si="105"/>
        <v>0</v>
      </c>
      <c r="AE231">
        <f t="shared" si="108"/>
        <v>0</v>
      </c>
    </row>
    <row r="232" spans="1:31" x14ac:dyDescent="0.2">
      <c r="A232" s="347">
        <v>13647</v>
      </c>
      <c r="B232" s="364">
        <f t="shared" si="102"/>
        <v>13.647</v>
      </c>
      <c r="C232" s="337">
        <f t="shared" si="83"/>
        <v>1.8135478119457755</v>
      </c>
      <c r="D232" s="338">
        <f t="shared" si="84"/>
        <v>0.98674841017589299</v>
      </c>
      <c r="E232" s="338">
        <f t="shared" si="85"/>
        <v>1.0000003248327134</v>
      </c>
      <c r="F232" s="339">
        <f t="shared" si="86"/>
        <v>8.0601814547016785E-4</v>
      </c>
      <c r="G232" s="338">
        <f t="shared" si="87"/>
        <v>1</v>
      </c>
      <c r="H232" s="339">
        <f t="shared" si="88"/>
        <v>0</v>
      </c>
      <c r="I232" s="337">
        <f t="shared" si="89"/>
        <v>25794.964013988963</v>
      </c>
      <c r="J232" s="340">
        <f t="shared" si="90"/>
        <v>1.5707575595378573</v>
      </c>
      <c r="K232" s="348">
        <f t="shared" si="106"/>
        <v>2.5794794618303167</v>
      </c>
      <c r="L232" s="349">
        <f t="shared" si="107"/>
        <v>1.1726881996447267</v>
      </c>
      <c r="M232" s="337">
        <f t="shared" si="91"/>
        <v>1.0000759743822454</v>
      </c>
      <c r="N232" s="340">
        <f t="shared" si="92"/>
        <v>1.2326359760138012E-2</v>
      </c>
      <c r="O232" s="341">
        <f t="shared" si="93"/>
        <v>0.99983584708988527</v>
      </c>
      <c r="P232" s="342">
        <f t="shared" si="94"/>
        <v>3.0898542787009707E-3</v>
      </c>
      <c r="Q232" s="343">
        <f t="shared" si="95"/>
        <v>11.986231676039194</v>
      </c>
      <c r="R232" s="344">
        <f t="shared" si="96"/>
        <v>-80.181316273842995</v>
      </c>
      <c r="S232" s="346">
        <f t="shared" si="97"/>
        <v>99.818683726157005</v>
      </c>
      <c r="U232" s="319">
        <f t="shared" si="103"/>
        <v>1000000000</v>
      </c>
      <c r="V232" s="319">
        <f t="shared" si="104"/>
        <v>186240609</v>
      </c>
      <c r="X232" s="345">
        <f t="shared" si="98"/>
        <v>17.706507480119956</v>
      </c>
      <c r="Y232" s="346">
        <f t="shared" si="99"/>
        <v>-23.51394269323502</v>
      </c>
      <c r="AA232" s="345">
        <f t="shared" si="100"/>
        <v>30.289898159520703</v>
      </c>
      <c r="AB232" s="346">
        <f t="shared" si="101"/>
        <v>-56.667373580607993</v>
      </c>
      <c r="AD232">
        <f t="shared" si="105"/>
        <v>0</v>
      </c>
      <c r="AE232">
        <f t="shared" si="108"/>
        <v>0</v>
      </c>
    </row>
    <row r="233" spans="1:31" x14ac:dyDescent="0.2">
      <c r="A233" s="347">
        <v>13725.5</v>
      </c>
      <c r="B233" s="364">
        <f t="shared" si="102"/>
        <v>13.7255</v>
      </c>
      <c r="C233" s="337">
        <f t="shared" si="83"/>
        <v>1.8208142058040913</v>
      </c>
      <c r="D233" s="338">
        <f t="shared" si="84"/>
        <v>0.9893838737361369</v>
      </c>
      <c r="E233" s="338">
        <f t="shared" si="85"/>
        <v>1.0000003285804531</v>
      </c>
      <c r="F233" s="339">
        <f t="shared" si="86"/>
        <v>8.1065450487359568E-4</v>
      </c>
      <c r="G233" s="338">
        <f t="shared" si="87"/>
        <v>1</v>
      </c>
      <c r="H233" s="339">
        <f t="shared" si="88"/>
        <v>0</v>
      </c>
      <c r="I233" s="337">
        <f t="shared" si="89"/>
        <v>25943.341288999123</v>
      </c>
      <c r="J233" s="340">
        <f t="shared" si="90"/>
        <v>1.5707577812587181</v>
      </c>
      <c r="K233" s="348">
        <f t="shared" si="106"/>
        <v>2.5920925380647182</v>
      </c>
      <c r="L233" s="349">
        <f t="shared" si="107"/>
        <v>1.1747337827159103</v>
      </c>
      <c r="M233" s="337">
        <f t="shared" si="91"/>
        <v>1.000076850899013</v>
      </c>
      <c r="N233" s="340">
        <f t="shared" si="92"/>
        <v>1.2397255955942914E-2</v>
      </c>
      <c r="O233" s="341">
        <f t="shared" si="93"/>
        <v>0.99983395319357982</v>
      </c>
      <c r="P233" s="342">
        <f t="shared" si="94"/>
        <v>3.1076336201539948E-3</v>
      </c>
      <c r="Q233" s="343">
        <f t="shared" si="95"/>
        <v>11.944056981144708</v>
      </c>
      <c r="R233" s="344">
        <f t="shared" si="96"/>
        <v>-80.219941730201796</v>
      </c>
      <c r="S233" s="346">
        <f t="shared" si="97"/>
        <v>99.780058269798204</v>
      </c>
      <c r="U233" s="319">
        <f t="shared" si="103"/>
        <v>1000000000</v>
      </c>
      <c r="V233" s="319">
        <f t="shared" si="104"/>
        <v>188389350.25</v>
      </c>
      <c r="X233" s="345">
        <f t="shared" si="98"/>
        <v>17.699048766670092</v>
      </c>
      <c r="Y233" s="346">
        <f t="shared" si="99"/>
        <v>-23.400814172956228</v>
      </c>
      <c r="AA233" s="345">
        <f t="shared" si="100"/>
        <v>30.255182178076083</v>
      </c>
      <c r="AB233" s="346">
        <f t="shared" si="101"/>
        <v>-56.819127557245551</v>
      </c>
      <c r="AD233">
        <f t="shared" si="105"/>
        <v>0</v>
      </c>
      <c r="AE233">
        <f t="shared" si="108"/>
        <v>0</v>
      </c>
    </row>
    <row r="234" spans="1:31" x14ac:dyDescent="0.2">
      <c r="A234" s="347">
        <v>13804</v>
      </c>
      <c r="B234" s="364">
        <f t="shared" si="102"/>
        <v>13.804</v>
      </c>
      <c r="C234" s="337">
        <f t="shared" si="83"/>
        <v>1.8280931458446812</v>
      </c>
      <c r="D234" s="338">
        <f t="shared" si="84"/>
        <v>0.99199836802288155</v>
      </c>
      <c r="E234" s="338">
        <f t="shared" si="85"/>
        <v>1.0000003323496887</v>
      </c>
      <c r="F234" s="339">
        <f t="shared" si="86"/>
        <v>8.1529086424217206E-4</v>
      </c>
      <c r="G234" s="338">
        <f t="shared" si="87"/>
        <v>1</v>
      </c>
      <c r="H234" s="339">
        <f t="shared" si="88"/>
        <v>0</v>
      </c>
      <c r="I234" s="337">
        <f t="shared" si="89"/>
        <v>26091.718564010542</v>
      </c>
      <c r="J234" s="340">
        <f t="shared" si="90"/>
        <v>1.5707580004578334</v>
      </c>
      <c r="K234" s="348">
        <f t="shared" si="106"/>
        <v>2.6047163556060076</v>
      </c>
      <c r="L234" s="349">
        <f t="shared" si="107"/>
        <v>1.1767595462648919</v>
      </c>
      <c r="M234" s="337">
        <f t="shared" si="91"/>
        <v>1.0000777324424288</v>
      </c>
      <c r="N234" s="340">
        <f t="shared" si="92"/>
        <v>1.2468152027117728E-2</v>
      </c>
      <c r="O234" s="341">
        <f t="shared" si="93"/>
        <v>0.99983204843469764</v>
      </c>
      <c r="P234" s="342">
        <f t="shared" si="94"/>
        <v>3.125413063900987E-3</v>
      </c>
      <c r="Q234" s="343">
        <f t="shared" si="95"/>
        <v>11.90207533386867</v>
      </c>
      <c r="R234" s="344">
        <f t="shared" si="96"/>
        <v>-80.258501164900522</v>
      </c>
      <c r="S234" s="346">
        <f t="shared" si="97"/>
        <v>99.741498835099478</v>
      </c>
      <c r="U234" s="319">
        <f t="shared" si="103"/>
        <v>1000000000</v>
      </c>
      <c r="V234" s="319">
        <f t="shared" si="104"/>
        <v>190550416</v>
      </c>
      <c r="X234" s="345">
        <f t="shared" si="98"/>
        <v>17.69170428507412</v>
      </c>
      <c r="Y234" s="346">
        <f t="shared" si="99"/>
        <v>-23.288821076026728</v>
      </c>
      <c r="AA234" s="345">
        <f t="shared" si="100"/>
        <v>30.220545012396013</v>
      </c>
      <c r="AB234" s="346">
        <f t="shared" si="101"/>
        <v>-56.969680088873794</v>
      </c>
      <c r="AD234">
        <f t="shared" si="105"/>
        <v>0</v>
      </c>
      <c r="AE234">
        <f t="shared" si="108"/>
        <v>0</v>
      </c>
    </row>
    <row r="235" spans="1:31" x14ac:dyDescent="0.2">
      <c r="A235" s="347">
        <v>13884.25</v>
      </c>
      <c r="B235" s="364">
        <f t="shared" si="102"/>
        <v>13.88425</v>
      </c>
      <c r="C235" s="337">
        <f t="shared" si="83"/>
        <v>1.8355471686536275</v>
      </c>
      <c r="D235" s="338">
        <f t="shared" si="84"/>
        <v>0.99464969431990435</v>
      </c>
      <c r="E235" s="338">
        <f t="shared" si="85"/>
        <v>1.0000003362251717</v>
      </c>
      <c r="F235" s="339">
        <f t="shared" si="86"/>
        <v>8.2003058190438819E-4</v>
      </c>
      <c r="G235" s="338">
        <f t="shared" si="87"/>
        <v>1</v>
      </c>
      <c r="H235" s="339">
        <f t="shared" si="88"/>
        <v>0</v>
      </c>
      <c r="I235" s="337">
        <f t="shared" si="89"/>
        <v>26243.40361266999</v>
      </c>
      <c r="J235" s="340">
        <f t="shared" si="90"/>
        <v>1.5707582219813976</v>
      </c>
      <c r="K235" s="348">
        <f t="shared" si="106"/>
        <v>2.6176325371580966</v>
      </c>
      <c r="L235" s="349">
        <f t="shared" si="107"/>
        <v>1.1788102643693297</v>
      </c>
      <c r="M235" s="337">
        <f t="shared" si="91"/>
        <v>1.0000786388340581</v>
      </c>
      <c r="N235" s="340">
        <f t="shared" si="92"/>
        <v>1.2540628454385224E-2</v>
      </c>
      <c r="O235" s="341">
        <f t="shared" si="93"/>
        <v>0.99983008998452705</v>
      </c>
      <c r="P235" s="342">
        <f t="shared" si="94"/>
        <v>3.1435889710241579E-3</v>
      </c>
      <c r="Q235" s="343">
        <f t="shared" si="95"/>
        <v>11.859355309275557</v>
      </c>
      <c r="R235" s="344">
        <f t="shared" si="96"/>
        <v>-80.297848602232335</v>
      </c>
      <c r="S235" s="346">
        <f t="shared" si="97"/>
        <v>99.702151397767665</v>
      </c>
      <c r="U235" s="319">
        <f t="shared" si="103"/>
        <v>1000000000</v>
      </c>
      <c r="V235" s="319">
        <f t="shared" si="104"/>
        <v>192772398.0625</v>
      </c>
      <c r="X235" s="345">
        <f t="shared" si="98"/>
        <v>17.68431179018236</v>
      </c>
      <c r="Y235" s="346">
        <f t="shared" si="99"/>
        <v>-23.175488869303773</v>
      </c>
      <c r="AA235" s="345">
        <f t="shared" si="100"/>
        <v>30.185217482694661</v>
      </c>
      <c r="AB235" s="346">
        <f t="shared" si="101"/>
        <v>-57.122359732928558</v>
      </c>
      <c r="AD235">
        <f t="shared" si="105"/>
        <v>0</v>
      </c>
      <c r="AE235">
        <f t="shared" si="108"/>
        <v>0</v>
      </c>
    </row>
    <row r="236" spans="1:31" x14ac:dyDescent="0.2">
      <c r="A236" s="347">
        <v>13964.5</v>
      </c>
      <c r="B236" s="364">
        <f t="shared" si="102"/>
        <v>13.964499999999999</v>
      </c>
      <c r="C236" s="337">
        <f t="shared" si="83"/>
        <v>1.8430139900738851</v>
      </c>
      <c r="D236" s="338">
        <f t="shared" si="84"/>
        <v>0.99727955571298965</v>
      </c>
      <c r="E236" s="338">
        <f t="shared" si="85"/>
        <v>1.0000003401231199</v>
      </c>
      <c r="F236" s="339">
        <f t="shared" si="86"/>
        <v>8.2477029952976054E-4</v>
      </c>
      <c r="G236" s="338">
        <f t="shared" si="87"/>
        <v>1</v>
      </c>
      <c r="H236" s="339">
        <f t="shared" si="88"/>
        <v>0</v>
      </c>
      <c r="I236" s="337">
        <f t="shared" si="89"/>
        <v>26395.088661330712</v>
      </c>
      <c r="J236" s="340">
        <f t="shared" si="90"/>
        <v>1.5707584409588962</v>
      </c>
      <c r="K236" s="348">
        <f t="shared" si="106"/>
        <v>2.6305596188896136</v>
      </c>
      <c r="L236" s="349">
        <f t="shared" si="107"/>
        <v>1.1808408356879982</v>
      </c>
      <c r="M236" s="337">
        <f t="shared" si="91"/>
        <v>1.0000795504789235</v>
      </c>
      <c r="N236" s="340">
        <f t="shared" si="92"/>
        <v>1.2613104749898411E-2</v>
      </c>
      <c r="O236" s="341">
        <f t="shared" si="93"/>
        <v>0.99982812018207046</v>
      </c>
      <c r="P236" s="342">
        <f t="shared" si="94"/>
        <v>3.1617649862908694E-3</v>
      </c>
      <c r="Q236" s="343">
        <f t="shared" si="95"/>
        <v>11.816832951288447</v>
      </c>
      <c r="R236" s="344">
        <f t="shared" si="96"/>
        <v>-80.337120369726634</v>
      </c>
      <c r="S236" s="346">
        <f t="shared" si="97"/>
        <v>99.662879630273366</v>
      </c>
      <c r="U236" s="319">
        <f t="shared" si="103"/>
        <v>1000000000</v>
      </c>
      <c r="V236" s="319">
        <f t="shared" si="104"/>
        <v>195007260.25</v>
      </c>
      <c r="X236" s="345">
        <f t="shared" si="98"/>
        <v>17.677033940186789</v>
      </c>
      <c r="Y236" s="346">
        <f t="shared" si="99"/>
        <v>-23.063310834949704</v>
      </c>
      <c r="AA236" s="345">
        <f t="shared" si="100"/>
        <v>30.149972974703125</v>
      </c>
      <c r="AB236" s="346">
        <f t="shared" si="101"/>
        <v>-57.27380953477693</v>
      </c>
      <c r="AD236">
        <f t="shared" si="105"/>
        <v>0</v>
      </c>
      <c r="AE236">
        <f t="shared" si="108"/>
        <v>0</v>
      </c>
    </row>
    <row r="237" spans="1:31" x14ac:dyDescent="0.2">
      <c r="A237" s="347">
        <v>14044.75</v>
      </c>
      <c r="B237" s="364">
        <f t="shared" si="102"/>
        <v>14.044750000000001</v>
      </c>
      <c r="C237" s="337">
        <f t="shared" si="83"/>
        <v>1.850493455176603</v>
      </c>
      <c r="D237" s="338">
        <f t="shared" si="84"/>
        <v>0.99988817587914203</v>
      </c>
      <c r="E237" s="338">
        <f t="shared" si="85"/>
        <v>1.0000003440435328</v>
      </c>
      <c r="F237" s="339">
        <f t="shared" si="86"/>
        <v>8.2951001711807605E-4</v>
      </c>
      <c r="G237" s="338">
        <f t="shared" si="87"/>
        <v>1</v>
      </c>
      <c r="H237" s="339">
        <f t="shared" si="88"/>
        <v>0</v>
      </c>
      <c r="I237" s="337">
        <f t="shared" si="89"/>
        <v>26546.773709992685</v>
      </c>
      <c r="J237" s="340">
        <f t="shared" si="90"/>
        <v>1.5707586574339731</v>
      </c>
      <c r="K237" s="348">
        <f t="shared" si="106"/>
        <v>2.6434974408902416</v>
      </c>
      <c r="L237" s="349">
        <f t="shared" si="107"/>
        <v>1.1828515391596266</v>
      </c>
      <c r="M237" s="337">
        <f t="shared" si="91"/>
        <v>1.0000804673770105</v>
      </c>
      <c r="N237" s="340">
        <f t="shared" si="92"/>
        <v>1.2685580912896241E-2</v>
      </c>
      <c r="O237" s="341">
        <f t="shared" si="93"/>
        <v>0.99982613902733197</v>
      </c>
      <c r="P237" s="342">
        <f t="shared" si="94"/>
        <v>3.1799411103268921E-3</v>
      </c>
      <c r="Q237" s="343">
        <f t="shared" si="95"/>
        <v>11.774506253565564</v>
      </c>
      <c r="R237" s="344">
        <f t="shared" si="96"/>
        <v>-80.37631330361269</v>
      </c>
      <c r="S237" s="346">
        <f t="shared" si="97"/>
        <v>99.62368669638731</v>
      </c>
      <c r="U237" s="319">
        <f t="shared" si="103"/>
        <v>1000000000</v>
      </c>
      <c r="V237" s="319">
        <f t="shared" si="104"/>
        <v>197255002.5625</v>
      </c>
      <c r="X237" s="345">
        <f t="shared" si="98"/>
        <v>17.669868427712281</v>
      </c>
      <c r="Y237" s="346">
        <f t="shared" si="99"/>
        <v>-22.95227099340957</v>
      </c>
      <c r="AA237" s="345">
        <f t="shared" si="100"/>
        <v>30.114811789454748</v>
      </c>
      <c r="AB237" s="346">
        <f t="shared" si="101"/>
        <v>-57.424042310203113</v>
      </c>
      <c r="AD237">
        <f t="shared" si="105"/>
        <v>0</v>
      </c>
      <c r="AE237">
        <f t="shared" si="108"/>
        <v>0</v>
      </c>
    </row>
    <row r="238" spans="1:31" x14ac:dyDescent="0.2">
      <c r="A238" s="347">
        <v>14125</v>
      </c>
      <c r="B238" s="364">
        <f t="shared" si="102"/>
        <v>14.125</v>
      </c>
      <c r="C238" s="337">
        <f t="shared" si="83"/>
        <v>1.8579854112673999</v>
      </c>
      <c r="D238" s="338">
        <f t="shared" si="84"/>
        <v>1.0024757760531433</v>
      </c>
      <c r="E238" s="338">
        <f t="shared" si="85"/>
        <v>1.0000003479864108</v>
      </c>
      <c r="F238" s="339">
        <f t="shared" si="86"/>
        <v>8.3424973466912167E-4</v>
      </c>
      <c r="G238" s="338">
        <f t="shared" si="87"/>
        <v>1</v>
      </c>
      <c r="H238" s="339">
        <f t="shared" si="88"/>
        <v>0</v>
      </c>
      <c r="I238" s="337">
        <f t="shared" si="89"/>
        <v>26698.458758655892</v>
      </c>
      <c r="J238" s="340">
        <f t="shared" si="90"/>
        <v>1.5707588714492802</v>
      </c>
      <c r="K238" s="348">
        <f t="shared" si="106"/>
        <v>2.6564458462333636</v>
      </c>
      <c r="L238" s="349">
        <f t="shared" si="107"/>
        <v>1.1848426489337647</v>
      </c>
      <c r="M238" s="337">
        <f t="shared" si="91"/>
        <v>1.0000813895283049</v>
      </c>
      <c r="N238" s="340">
        <f t="shared" si="92"/>
        <v>1.2758056942617675E-2</v>
      </c>
      <c r="O238" s="341">
        <f t="shared" si="93"/>
        <v>0.99982414652031548</v>
      </c>
      <c r="P238" s="342">
        <f t="shared" si="94"/>
        <v>3.1981173437580076E-3</v>
      </c>
      <c r="Q238" s="343">
        <f t="shared" si="95"/>
        <v>11.732373247425379</v>
      </c>
      <c r="R238" s="344">
        <f t="shared" si="96"/>
        <v>-80.415424374533629</v>
      </c>
      <c r="S238" s="346">
        <f t="shared" si="97"/>
        <v>99.584575625466371</v>
      </c>
      <c r="U238" s="319">
        <f t="shared" si="103"/>
        <v>1000000000</v>
      </c>
      <c r="V238" s="319">
        <f t="shared" si="104"/>
        <v>199515625</v>
      </c>
      <c r="X238" s="345">
        <f t="shared" si="98"/>
        <v>17.662813001774879</v>
      </c>
      <c r="Y238" s="346">
        <f t="shared" si="99"/>
        <v>-22.842353639471362</v>
      </c>
      <c r="AA238" s="345">
        <f t="shared" si="100"/>
        <v>30.079734209251967</v>
      </c>
      <c r="AB238" s="346">
        <f t="shared" si="101"/>
        <v>-57.573070735062288</v>
      </c>
      <c r="AD238">
        <f t="shared" si="105"/>
        <v>0</v>
      </c>
      <c r="AE238">
        <f t="shared" si="108"/>
        <v>0</v>
      </c>
    </row>
    <row r="239" spans="1:31" x14ac:dyDescent="0.2">
      <c r="A239" s="347">
        <v>14207.25</v>
      </c>
      <c r="B239" s="364">
        <f t="shared" si="102"/>
        <v>14.20725</v>
      </c>
      <c r="C239" s="337">
        <f t="shared" si="83"/>
        <v>1.8656768871445535</v>
      </c>
      <c r="D239" s="338">
        <f t="shared" si="84"/>
        <v>1.0051062813189544</v>
      </c>
      <c r="E239" s="338">
        <f t="shared" si="85"/>
        <v>1.0000003520508653</v>
      </c>
      <c r="F239" s="339">
        <f t="shared" si="86"/>
        <v>8.391075759831652E-4</v>
      </c>
      <c r="G239" s="338">
        <f t="shared" si="87"/>
        <v>1</v>
      </c>
      <c r="H239" s="339">
        <f t="shared" si="88"/>
        <v>0</v>
      </c>
      <c r="I239" s="337">
        <f t="shared" si="89"/>
        <v>26853.924120059619</v>
      </c>
      <c r="J239" s="340">
        <f t="shared" si="90"/>
        <v>1.5707590882894269</v>
      </c>
      <c r="K239" s="348">
        <f t="shared" si="106"/>
        <v>2.6697277744123893</v>
      </c>
      <c r="L239" s="349">
        <f t="shared" si="107"/>
        <v>1.1868633310277383</v>
      </c>
      <c r="M239" s="337">
        <f t="shared" si="91"/>
        <v>1.0000823401127681</v>
      </c>
      <c r="N239" s="340">
        <f t="shared" si="92"/>
        <v>1.2832339089435188E-2</v>
      </c>
      <c r="O239" s="341">
        <f t="shared" si="93"/>
        <v>0.99982209257561983</v>
      </c>
      <c r="P239" s="342">
        <f t="shared" si="94"/>
        <v>3.216746681603776E-3</v>
      </c>
      <c r="Q239" s="343">
        <f t="shared" si="95"/>
        <v>11.689389168699906</v>
      </c>
      <c r="R239" s="344">
        <f t="shared" si="96"/>
        <v>-80.455422194734808</v>
      </c>
      <c r="S239" s="346">
        <f t="shared" si="97"/>
        <v>99.544577805265192</v>
      </c>
      <c r="U239" s="319">
        <f t="shared" si="103"/>
        <v>1000000000</v>
      </c>
      <c r="V239" s="319">
        <f t="shared" si="104"/>
        <v>201845952.5625</v>
      </c>
      <c r="X239" s="345">
        <f t="shared" si="98"/>
        <v>17.655693678220111</v>
      </c>
      <c r="Y239" s="346">
        <f t="shared" si="99"/>
        <v>-22.730845561152641</v>
      </c>
      <c r="AA239" s="345">
        <f t="shared" si="100"/>
        <v>30.043869454081261</v>
      </c>
      <c r="AB239" s="346">
        <f t="shared" si="101"/>
        <v>-57.72457663358216</v>
      </c>
      <c r="AD239">
        <f t="shared" si="105"/>
        <v>0</v>
      </c>
      <c r="AE239">
        <f t="shared" si="108"/>
        <v>0</v>
      </c>
    </row>
    <row r="240" spans="1:31" x14ac:dyDescent="0.2">
      <c r="A240" s="347">
        <v>14289.5</v>
      </c>
      <c r="B240" s="364">
        <f t="shared" si="102"/>
        <v>14.2895</v>
      </c>
      <c r="C240" s="337">
        <f t="shared" si="83"/>
        <v>1.873381166623711</v>
      </c>
      <c r="D240" s="338">
        <f t="shared" si="84"/>
        <v>1.0077151686094596</v>
      </c>
      <c r="E240" s="338">
        <f t="shared" si="85"/>
        <v>1.0000003561389184</v>
      </c>
      <c r="F240" s="339">
        <f t="shared" si="86"/>
        <v>8.4396541725760522E-4</v>
      </c>
      <c r="G240" s="338">
        <f t="shared" si="87"/>
        <v>1</v>
      </c>
      <c r="H240" s="339">
        <f t="shared" si="88"/>
        <v>0</v>
      </c>
      <c r="I240" s="337">
        <f t="shared" si="89"/>
        <v>27009.389481464594</v>
      </c>
      <c r="J240" s="340">
        <f t="shared" si="90"/>
        <v>1.5707593026333206</v>
      </c>
      <c r="K240" s="348">
        <f t="shared" si="106"/>
        <v>2.6830204955539148</v>
      </c>
      <c r="L240" s="349">
        <f t="shared" si="107"/>
        <v>1.1888639987423473</v>
      </c>
      <c r="M240" s="337">
        <f t="shared" si="91"/>
        <v>1.0000832962155122</v>
      </c>
      <c r="N240" s="340">
        <f t="shared" si="92"/>
        <v>1.2906621094631676E-2</v>
      </c>
      <c r="O240" s="341">
        <f t="shared" si="93"/>
        <v>0.99982002670575798</v>
      </c>
      <c r="P240" s="342">
        <f t="shared" si="94"/>
        <v>3.2353761356964448E-3</v>
      </c>
      <c r="Q240" s="343">
        <f t="shared" si="95"/>
        <v>11.6466044853283</v>
      </c>
      <c r="R240" s="344">
        <f t="shared" si="96"/>
        <v>-80.495327991180091</v>
      </c>
      <c r="S240" s="346">
        <f t="shared" si="97"/>
        <v>99.504672008819909</v>
      </c>
      <c r="U240" s="319">
        <f t="shared" si="103"/>
        <v>1000000000</v>
      </c>
      <c r="V240" s="319">
        <f t="shared" si="104"/>
        <v>204189810.25</v>
      </c>
      <c r="X240" s="345">
        <f t="shared" si="98"/>
        <v>17.648685383433925</v>
      </c>
      <c r="Y240" s="346">
        <f t="shared" si="99"/>
        <v>-22.620484071163357</v>
      </c>
      <c r="AA240" s="345">
        <f t="shared" si="100"/>
        <v>30.008093065495846</v>
      </c>
      <c r="AB240" s="346">
        <f t="shared" si="101"/>
        <v>-57.874843920016716</v>
      </c>
      <c r="AD240">
        <f t="shared" si="105"/>
        <v>0</v>
      </c>
      <c r="AE240">
        <f t="shared" si="108"/>
        <v>0</v>
      </c>
    </row>
    <row r="241" spans="1:31" x14ac:dyDescent="0.2">
      <c r="A241" s="347">
        <v>14371.75</v>
      </c>
      <c r="B241" s="364">
        <f t="shared" si="102"/>
        <v>14.37175</v>
      </c>
      <c r="C241" s="337">
        <f t="shared" si="83"/>
        <v>1.8810980923884764</v>
      </c>
      <c r="D241" s="338">
        <f t="shared" si="84"/>
        <v>1.0103026682452294</v>
      </c>
      <c r="E241" s="338">
        <f t="shared" si="85"/>
        <v>1.0000003602505703</v>
      </c>
      <c r="F241" s="339">
        <f t="shared" si="86"/>
        <v>8.4882325849221219E-4</v>
      </c>
      <c r="G241" s="338">
        <f t="shared" si="87"/>
        <v>1</v>
      </c>
      <c r="H241" s="339">
        <f t="shared" si="88"/>
        <v>0</v>
      </c>
      <c r="I241" s="337">
        <f t="shared" si="89"/>
        <v>27164.854842870798</v>
      </c>
      <c r="J241" s="340">
        <f t="shared" si="90"/>
        <v>1.5707595145238202</v>
      </c>
      <c r="K241" s="348">
        <f t="shared" si="106"/>
        <v>2.6963238500318969</v>
      </c>
      <c r="L241" s="349">
        <f t="shared" si="107"/>
        <v>1.1908449321881023</v>
      </c>
      <c r="M241" s="337">
        <f t="shared" si="91"/>
        <v>1.0000842578365217</v>
      </c>
      <c r="N241" s="340">
        <f t="shared" si="92"/>
        <v>1.29809029573878E-2</v>
      </c>
      <c r="O241" s="341">
        <f t="shared" si="93"/>
        <v>0.99981794891073461</v>
      </c>
      <c r="P241" s="342">
        <f t="shared" si="94"/>
        <v>3.2540057067098E-3</v>
      </c>
      <c r="Q241" s="343">
        <f t="shared" si="95"/>
        <v>11.604017193884033</v>
      </c>
      <c r="R241" s="344">
        <f t="shared" si="96"/>
        <v>-80.535138913563316</v>
      </c>
      <c r="S241" s="346">
        <f t="shared" si="97"/>
        <v>99.464861086436684</v>
      </c>
      <c r="U241" s="319">
        <f t="shared" si="103"/>
        <v>1000000000</v>
      </c>
      <c r="V241" s="319">
        <f t="shared" si="104"/>
        <v>206547198.0625</v>
      </c>
      <c r="X241" s="345">
        <f t="shared" si="98"/>
        <v>17.641785867924117</v>
      </c>
      <c r="Y241" s="346">
        <f t="shared" si="99"/>
        <v>-22.511253122762117</v>
      </c>
      <c r="AA241" s="345">
        <f t="shared" si="100"/>
        <v>29.972405289561387</v>
      </c>
      <c r="AB241" s="346">
        <f t="shared" si="101"/>
        <v>-58.023885790801188</v>
      </c>
      <c r="AD241">
        <f t="shared" si="105"/>
        <v>0</v>
      </c>
      <c r="AE241">
        <f t="shared" si="108"/>
        <v>0</v>
      </c>
    </row>
    <row r="242" spans="1:31" x14ac:dyDescent="0.2">
      <c r="A242" s="347">
        <v>14454</v>
      </c>
      <c r="B242" s="364">
        <f t="shared" si="102"/>
        <v>14.454000000000001</v>
      </c>
      <c r="C242" s="337">
        <f t="shared" si="83"/>
        <v>1.8888275094372267</v>
      </c>
      <c r="D242" s="338">
        <f t="shared" si="84"/>
        <v>1.0128690079316078</v>
      </c>
      <c r="E242" s="338">
        <f t="shared" si="85"/>
        <v>1.0000003643858206</v>
      </c>
      <c r="F242" s="339">
        <f t="shared" si="86"/>
        <v>8.5368109968675724E-4</v>
      </c>
      <c r="G242" s="338">
        <f t="shared" si="87"/>
        <v>1</v>
      </c>
      <c r="H242" s="339">
        <f t="shared" si="88"/>
        <v>0</v>
      </c>
      <c r="I242" s="337">
        <f t="shared" si="89"/>
        <v>27320.320204278207</v>
      </c>
      <c r="J242" s="340">
        <f t="shared" si="90"/>
        <v>1.5707597240028084</v>
      </c>
      <c r="K242" s="348">
        <f t="shared" si="106"/>
        <v>2.7096376812286729</v>
      </c>
      <c r="L242" s="349">
        <f t="shared" si="107"/>
        <v>1.1928064065963424</v>
      </c>
      <c r="M242" s="337">
        <f t="shared" si="91"/>
        <v>1.0000852249757808</v>
      </c>
      <c r="N242" s="340">
        <f t="shared" si="92"/>
        <v>1.3055184676884228E-2</v>
      </c>
      <c r="O242" s="341">
        <f t="shared" si="93"/>
        <v>0.99981585919055371</v>
      </c>
      <c r="P242" s="342">
        <f t="shared" si="94"/>
        <v>3.27263539531764E-3</v>
      </c>
      <c r="Q242" s="343">
        <f t="shared" si="95"/>
        <v>11.561625327899922</v>
      </c>
      <c r="R242" s="344">
        <f t="shared" si="96"/>
        <v>-80.574852241236911</v>
      </c>
      <c r="S242" s="346">
        <f t="shared" si="97"/>
        <v>99.425147758763089</v>
      </c>
      <c r="U242" s="319">
        <f t="shared" si="103"/>
        <v>1000000000</v>
      </c>
      <c r="V242" s="319">
        <f t="shared" si="104"/>
        <v>208918116</v>
      </c>
      <c r="X242" s="345">
        <f t="shared" si="98"/>
        <v>17.634992937587221</v>
      </c>
      <c r="Y242" s="346">
        <f t="shared" si="99"/>
        <v>-22.403136948707541</v>
      </c>
      <c r="AA242" s="345">
        <f t="shared" si="100"/>
        <v>29.936806353914172</v>
      </c>
      <c r="AB242" s="346">
        <f t="shared" si="101"/>
        <v>-58.171715292529392</v>
      </c>
      <c r="AD242">
        <f t="shared" si="105"/>
        <v>0</v>
      </c>
      <c r="AE242">
        <f t="shared" si="108"/>
        <v>0</v>
      </c>
    </row>
    <row r="243" spans="1:31" x14ac:dyDescent="0.2">
      <c r="A243" s="347">
        <v>14622.5</v>
      </c>
      <c r="B243" s="364">
        <f t="shared" si="102"/>
        <v>14.6225</v>
      </c>
      <c r="C243" s="337">
        <f t="shared" si="83"/>
        <v>1.9047006084087168</v>
      </c>
      <c r="D243" s="338">
        <f t="shared" si="84"/>
        <v>1.018061362434695</v>
      </c>
      <c r="E243" s="338">
        <f t="shared" si="85"/>
        <v>1.0000003729311207</v>
      </c>
      <c r="F243" s="339">
        <f t="shared" si="86"/>
        <v>8.6363302954586363E-4</v>
      </c>
      <c r="G243" s="338">
        <f t="shared" si="87"/>
        <v>1</v>
      </c>
      <c r="H243" s="339">
        <f t="shared" si="88"/>
        <v>0</v>
      </c>
      <c r="I243" s="337">
        <f t="shared" si="89"/>
        <v>27638.811552575484</v>
      </c>
      <c r="J243" s="340">
        <f t="shared" si="90"/>
        <v>1.570760145789128</v>
      </c>
      <c r="K243" s="348">
        <f t="shared" si="106"/>
        <v>2.7369448966206793</v>
      </c>
      <c r="L243" s="349">
        <f t="shared" si="107"/>
        <v>1.1967651148818295</v>
      </c>
      <c r="M243" s="337">
        <f t="shared" si="91"/>
        <v>1.0000872235205447</v>
      </c>
      <c r="N243" s="340">
        <f t="shared" si="92"/>
        <v>1.3207360149896855E-2</v>
      </c>
      <c r="O243" s="341">
        <f t="shared" si="93"/>
        <v>0.99981154088304036</v>
      </c>
      <c r="P243" s="342">
        <f t="shared" si="94"/>
        <v>3.310801145686099E-3</v>
      </c>
      <c r="Q243" s="343">
        <f t="shared" si="95"/>
        <v>11.475382155366097</v>
      </c>
      <c r="R243" s="344">
        <f t="shared" si="96"/>
        <v>-80.655894674774444</v>
      </c>
      <c r="S243" s="346">
        <f t="shared" si="97"/>
        <v>99.344105325225556</v>
      </c>
      <c r="U243" s="319">
        <f t="shared" si="103"/>
        <v>1000000000</v>
      </c>
      <c r="V243" s="319">
        <f t="shared" si="104"/>
        <v>213817506.25</v>
      </c>
      <c r="X243" s="345">
        <f t="shared" si="98"/>
        <v>17.621400599691999</v>
      </c>
      <c r="Y243" s="346">
        <f t="shared" si="99"/>
        <v>-22.18506285030147</v>
      </c>
      <c r="AA243" s="345">
        <f t="shared" si="100"/>
        <v>29.864155519275563</v>
      </c>
      <c r="AB243" s="346">
        <f t="shared" si="101"/>
        <v>-58.470831824472953</v>
      </c>
      <c r="AD243">
        <f t="shared" si="105"/>
        <v>0</v>
      </c>
      <c r="AE243">
        <f t="shared" si="108"/>
        <v>0</v>
      </c>
    </row>
    <row r="244" spans="1:31" x14ac:dyDescent="0.2">
      <c r="A244" s="347">
        <v>14706.75</v>
      </c>
      <c r="B244" s="364">
        <f t="shared" si="102"/>
        <v>14.70675</v>
      </c>
      <c r="C244" s="337">
        <f t="shared" si="83"/>
        <v>1.9126561749482849</v>
      </c>
      <c r="D244" s="338">
        <f t="shared" si="84"/>
        <v>1.0206251867194678</v>
      </c>
      <c r="E244" s="338">
        <f t="shared" si="85"/>
        <v>1.0000003772409112</v>
      </c>
      <c r="F244" s="339">
        <f t="shared" si="86"/>
        <v>8.6860899441138872E-4</v>
      </c>
      <c r="G244" s="338">
        <f t="shared" si="87"/>
        <v>1</v>
      </c>
      <c r="H244" s="339">
        <f t="shared" si="88"/>
        <v>0</v>
      </c>
      <c r="I244" s="337">
        <f t="shared" si="89"/>
        <v>27798.057226725934</v>
      </c>
      <c r="J244" s="340">
        <f t="shared" si="90"/>
        <v>1.5707603530578811</v>
      </c>
      <c r="K244" s="348">
        <f t="shared" si="106"/>
        <v>2.7506143491080191</v>
      </c>
      <c r="L244" s="349">
        <f t="shared" si="107"/>
        <v>1.1987149781774564</v>
      </c>
      <c r="M244" s="337">
        <f t="shared" si="91"/>
        <v>1.0000882314776738</v>
      </c>
      <c r="N244" s="340">
        <f t="shared" si="92"/>
        <v>1.328344765744518E-2</v>
      </c>
      <c r="O244" s="341">
        <f t="shared" si="93"/>
        <v>0.9998093629610697</v>
      </c>
      <c r="P244" s="342">
        <f t="shared" si="94"/>
        <v>3.3298842088156254E-3</v>
      </c>
      <c r="Q244" s="343">
        <f t="shared" si="95"/>
        <v>11.432560043390612</v>
      </c>
      <c r="R244" s="344">
        <f t="shared" si="96"/>
        <v>-80.696251694156928</v>
      </c>
      <c r="S244" s="346">
        <f t="shared" si="97"/>
        <v>99.303748305843072</v>
      </c>
      <c r="U244" s="319">
        <f t="shared" si="103"/>
        <v>1000000000</v>
      </c>
      <c r="V244" s="319">
        <f t="shared" si="104"/>
        <v>216288495.5625</v>
      </c>
      <c r="X244" s="345">
        <f t="shared" si="98"/>
        <v>17.614763257338801</v>
      </c>
      <c r="Y244" s="346">
        <f t="shared" si="99"/>
        <v>-22.077715281392887</v>
      </c>
      <c r="AA244" s="345">
        <f t="shared" si="100"/>
        <v>29.827970749653275</v>
      </c>
      <c r="AB244" s="346">
        <f t="shared" si="101"/>
        <v>-58.618536412764058</v>
      </c>
      <c r="AD244">
        <f t="shared" si="105"/>
        <v>0</v>
      </c>
      <c r="AE244">
        <f t="shared" si="108"/>
        <v>0</v>
      </c>
    </row>
    <row r="245" spans="1:31" x14ac:dyDescent="0.2">
      <c r="A245" s="347">
        <v>14791</v>
      </c>
      <c r="B245" s="364">
        <f t="shared" si="102"/>
        <v>14.791</v>
      </c>
      <c r="C245" s="337">
        <f t="shared" si="83"/>
        <v>1.92062420954873</v>
      </c>
      <c r="D245" s="338">
        <f t="shared" si="84"/>
        <v>1.0231677546837994</v>
      </c>
      <c r="E245" s="338">
        <f t="shared" si="85"/>
        <v>1.0000003815754619</v>
      </c>
      <c r="F245" s="339">
        <f t="shared" si="86"/>
        <v>8.7358495923390005E-4</v>
      </c>
      <c r="G245" s="338">
        <f t="shared" si="87"/>
        <v>1</v>
      </c>
      <c r="H245" s="339">
        <f t="shared" si="88"/>
        <v>0</v>
      </c>
      <c r="I245" s="337">
        <f t="shared" si="89"/>
        <v>27957.302900877563</v>
      </c>
      <c r="J245" s="340">
        <f t="shared" si="90"/>
        <v>1.5707605579654156</v>
      </c>
      <c r="K245" s="348">
        <f t="shared" si="106"/>
        <v>2.7642941558897003</v>
      </c>
      <c r="L245" s="349">
        <f t="shared" si="107"/>
        <v>1.2006455499721116</v>
      </c>
      <c r="M245" s="337">
        <f t="shared" si="91"/>
        <v>1.0000892452246104</v>
      </c>
      <c r="N245" s="340">
        <f t="shared" si="92"/>
        <v>1.3359535011180807E-2</v>
      </c>
      <c r="O245" s="341">
        <f t="shared" si="93"/>
        <v>0.99980717252696294</v>
      </c>
      <c r="P245" s="342">
        <f t="shared" si="94"/>
        <v>3.3489673982076357E-3</v>
      </c>
      <c r="Q245" s="343">
        <f t="shared" si="95"/>
        <v>11.389934950989211</v>
      </c>
      <c r="R245" s="344">
        <f t="shared" si="96"/>
        <v>-80.736496000812323</v>
      </c>
      <c r="S245" s="346">
        <f t="shared" si="97"/>
        <v>99.263503999187677</v>
      </c>
      <c r="U245" s="319">
        <f t="shared" si="103"/>
        <v>1000000000</v>
      </c>
      <c r="V245" s="319">
        <f t="shared" si="104"/>
        <v>218773681</v>
      </c>
      <c r="X245" s="345">
        <f t="shared" si="98"/>
        <v>17.608228936816634</v>
      </c>
      <c r="Y245" s="346">
        <f t="shared" si="99"/>
        <v>-21.971472889971032</v>
      </c>
      <c r="AA245" s="345">
        <f t="shared" si="100"/>
        <v>29.791879977774048</v>
      </c>
      <c r="AB245" s="346">
        <f t="shared" si="101"/>
        <v>-58.765023110841298</v>
      </c>
      <c r="AD245">
        <f t="shared" si="105"/>
        <v>0</v>
      </c>
      <c r="AE245">
        <f t="shared" si="108"/>
        <v>0</v>
      </c>
    </row>
    <row r="246" spans="1:31" x14ac:dyDescent="0.2">
      <c r="A246" s="347">
        <v>14877.25</v>
      </c>
      <c r="B246" s="364">
        <f t="shared" si="102"/>
        <v>14.87725</v>
      </c>
      <c r="C246" s="337">
        <f t="shared" si="83"/>
        <v>1.928794150512271</v>
      </c>
      <c r="D246" s="338">
        <f t="shared" si="84"/>
        <v>1.0257489020814015</v>
      </c>
      <c r="E246" s="338">
        <f t="shared" si="85"/>
        <v>1.0000003860385587</v>
      </c>
      <c r="F246" s="339">
        <f t="shared" si="86"/>
        <v>8.7867904780560252E-4</v>
      </c>
      <c r="G246" s="338">
        <f t="shared" si="87"/>
        <v>1</v>
      </c>
      <c r="H246" s="339">
        <f t="shared" si="88"/>
        <v>0</v>
      </c>
      <c r="I246" s="337">
        <f t="shared" si="89"/>
        <v>28120.328887769905</v>
      </c>
      <c r="J246" s="340">
        <f t="shared" si="90"/>
        <v>1.5707607653331441</v>
      </c>
      <c r="K246" s="348">
        <f t="shared" si="106"/>
        <v>2.778309272079071</v>
      </c>
      <c r="L246" s="349">
        <f t="shared" si="107"/>
        <v>1.2026022501046403</v>
      </c>
      <c r="M246" s="337">
        <f t="shared" si="91"/>
        <v>1.0000902890343426</v>
      </c>
      <c r="N246" s="340">
        <f t="shared" si="92"/>
        <v>1.3437428432645908E-2</v>
      </c>
      <c r="O246" s="341">
        <f t="shared" si="93"/>
        <v>0.99980491713322772</v>
      </c>
      <c r="P246" s="342">
        <f t="shared" si="94"/>
        <v>3.3685037325478918E-3</v>
      </c>
      <c r="Q246" s="343">
        <f t="shared" si="95"/>
        <v>11.346500064568479</v>
      </c>
      <c r="R246" s="344">
        <f t="shared" si="96"/>
        <v>-80.777576519003105</v>
      </c>
      <c r="S246" s="346">
        <f t="shared" si="97"/>
        <v>99.222423480996895</v>
      </c>
      <c r="U246" s="319">
        <f t="shared" si="103"/>
        <v>1000000000</v>
      </c>
      <c r="V246" s="319">
        <f t="shared" si="104"/>
        <v>221332567.5625</v>
      </c>
      <c r="X246" s="345">
        <f t="shared" si="98"/>
        <v>17.601644046058301</v>
      </c>
      <c r="Y246" s="346">
        <f t="shared" si="99"/>
        <v>-21.863837076078898</v>
      </c>
      <c r="AA246" s="345">
        <f t="shared" si="100"/>
        <v>29.755029982111644</v>
      </c>
      <c r="AB246" s="346">
        <f t="shared" si="101"/>
        <v>-58.913739442924225</v>
      </c>
      <c r="AD246">
        <f t="shared" si="105"/>
        <v>0</v>
      </c>
      <c r="AE246">
        <f t="shared" si="108"/>
        <v>0</v>
      </c>
    </row>
    <row r="247" spans="1:31" x14ac:dyDescent="0.2">
      <c r="A247" s="347">
        <v>14963.5</v>
      </c>
      <c r="B247" s="364">
        <f t="shared" si="102"/>
        <v>14.9635</v>
      </c>
      <c r="C247" s="337">
        <f t="shared" si="83"/>
        <v>1.9369768332719304</v>
      </c>
      <c r="D247" s="338">
        <f t="shared" si="84"/>
        <v>1.0283082584983398</v>
      </c>
      <c r="E247" s="338">
        <f t="shared" si="85"/>
        <v>1.0000003905276054</v>
      </c>
      <c r="F247" s="339">
        <f t="shared" si="86"/>
        <v>8.8377313633170203E-4</v>
      </c>
      <c r="G247" s="338">
        <f t="shared" si="87"/>
        <v>1</v>
      </c>
      <c r="H247" s="339">
        <f t="shared" si="88"/>
        <v>0</v>
      </c>
      <c r="I247" s="337">
        <f t="shared" si="89"/>
        <v>28283.354874663437</v>
      </c>
      <c r="J247" s="340">
        <f t="shared" si="90"/>
        <v>1.5707609703103269</v>
      </c>
      <c r="K247" s="348">
        <f t="shared" si="106"/>
        <v>2.7923349187096012</v>
      </c>
      <c r="L247" s="349">
        <f t="shared" si="107"/>
        <v>1.2045393009347409</v>
      </c>
      <c r="M247" s="337">
        <f t="shared" si="91"/>
        <v>1.000091338911995</v>
      </c>
      <c r="N247" s="340">
        <f t="shared" si="92"/>
        <v>1.3515321691041431E-2</v>
      </c>
      <c r="O247" s="341">
        <f t="shared" si="93"/>
        <v>0.99980264862626766</v>
      </c>
      <c r="P247" s="342">
        <f t="shared" si="94"/>
        <v>3.3880402007525306E-3</v>
      </c>
      <c r="Q247" s="343">
        <f t="shared" si="95"/>
        <v>11.303267610388897</v>
      </c>
      <c r="R247" s="344">
        <f t="shared" si="96"/>
        <v>-80.818534189430892</v>
      </c>
      <c r="S247" s="346">
        <f t="shared" si="97"/>
        <v>99.181465810569108</v>
      </c>
      <c r="U247" s="319">
        <f t="shared" si="103"/>
        <v>1000000000</v>
      </c>
      <c r="V247" s="319">
        <f t="shared" si="104"/>
        <v>223906332.25</v>
      </c>
      <c r="X247" s="345">
        <f t="shared" si="98"/>
        <v>17.595162769028548</v>
      </c>
      <c r="Y247" s="346">
        <f t="shared" si="99"/>
        <v>-21.75732693797617</v>
      </c>
      <c r="AA247" s="345">
        <f t="shared" si="100"/>
        <v>29.718278804961816</v>
      </c>
      <c r="AB247" s="346">
        <f t="shared" si="101"/>
        <v>-59.061207251454725</v>
      </c>
      <c r="AD247">
        <f t="shared" si="105"/>
        <v>0</v>
      </c>
      <c r="AE247">
        <f t="shared" si="108"/>
        <v>0</v>
      </c>
    </row>
    <row r="248" spans="1:31" x14ac:dyDescent="0.2">
      <c r="A248" s="347">
        <v>15049.75</v>
      </c>
      <c r="B248" s="364">
        <f t="shared" si="102"/>
        <v>15.04975</v>
      </c>
      <c r="C248" s="337">
        <f t="shared" si="83"/>
        <v>1.9451720970264026</v>
      </c>
      <c r="D248" s="338">
        <f t="shared" si="84"/>
        <v>1.0308460656174336</v>
      </c>
      <c r="E248" s="338">
        <f t="shared" si="85"/>
        <v>1.0000003950426017</v>
      </c>
      <c r="F248" s="339">
        <f t="shared" si="86"/>
        <v>8.8886722481193415E-4</v>
      </c>
      <c r="G248" s="338">
        <f t="shared" si="87"/>
        <v>1</v>
      </c>
      <c r="H248" s="339">
        <f t="shared" si="88"/>
        <v>0</v>
      </c>
      <c r="I248" s="337">
        <f t="shared" si="89"/>
        <v>28446.380861558144</v>
      </c>
      <c r="J248" s="340">
        <f t="shared" si="90"/>
        <v>1.5707611729380642</v>
      </c>
      <c r="K248" s="348">
        <f t="shared" si="106"/>
        <v>2.8063709378945618</v>
      </c>
      <c r="L248" s="349">
        <f t="shared" si="107"/>
        <v>1.206456982643213</v>
      </c>
      <c r="M248" s="337">
        <f t="shared" si="91"/>
        <v>1.0000923948575486</v>
      </c>
      <c r="N248" s="340">
        <f t="shared" si="92"/>
        <v>1.3593214785422679E-2</v>
      </c>
      <c r="O248" s="341">
        <f t="shared" si="93"/>
        <v>0.99980036700608799</v>
      </c>
      <c r="P248" s="342">
        <f t="shared" si="94"/>
        <v>3.4075768035986328E-3</v>
      </c>
      <c r="Q248" s="343">
        <f t="shared" si="95"/>
        <v>11.260235593248126</v>
      </c>
      <c r="R248" s="344">
        <f t="shared" si="96"/>
        <v>-80.859366808669122</v>
      </c>
      <c r="S248" s="346">
        <f t="shared" si="97"/>
        <v>99.140633191330878</v>
      </c>
      <c r="U248" s="319">
        <f t="shared" si="103"/>
        <v>1000000000</v>
      </c>
      <c r="V248" s="319">
        <f t="shared" si="104"/>
        <v>226494975.0625</v>
      </c>
      <c r="X248" s="345">
        <f t="shared" si="98"/>
        <v>17.588782983299765</v>
      </c>
      <c r="Y248" s="346">
        <f t="shared" si="99"/>
        <v>-21.651926424786261</v>
      </c>
      <c r="AA248" s="345">
        <f t="shared" si="100"/>
        <v>29.681626573549828</v>
      </c>
      <c r="AB248" s="346">
        <f t="shared" si="101"/>
        <v>-59.207440383882876</v>
      </c>
      <c r="AD248">
        <f t="shared" si="105"/>
        <v>0</v>
      </c>
      <c r="AE248">
        <f t="shared" si="108"/>
        <v>0</v>
      </c>
    </row>
    <row r="249" spans="1:31" x14ac:dyDescent="0.2">
      <c r="A249" s="347">
        <v>15136</v>
      </c>
      <c r="B249" s="364">
        <f t="shared" si="102"/>
        <v>15.135999999999999</v>
      </c>
      <c r="C249" s="337">
        <f t="shared" si="83"/>
        <v>1.9533797834277291</v>
      </c>
      <c r="D249" s="338">
        <f t="shared" si="84"/>
        <v>1.0333625621791658</v>
      </c>
      <c r="E249" s="338">
        <f t="shared" si="85"/>
        <v>1.0000003995835478</v>
      </c>
      <c r="F249" s="339">
        <f t="shared" si="86"/>
        <v>8.9396131324603445E-4</v>
      </c>
      <c r="G249" s="338">
        <f t="shared" si="87"/>
        <v>1</v>
      </c>
      <c r="H249" s="339">
        <f t="shared" si="88"/>
        <v>0</v>
      </c>
      <c r="I249" s="337">
        <f t="shared" si="89"/>
        <v>28609.406848454004</v>
      </c>
      <c r="J249" s="340">
        <f t="shared" si="90"/>
        <v>1.5707613732565202</v>
      </c>
      <c r="K249" s="348">
        <f t="shared" si="106"/>
        <v>2.8204171747745548</v>
      </c>
      <c r="L249" s="349">
        <f t="shared" si="107"/>
        <v>1.2083555704054767</v>
      </c>
      <c r="M249" s="337">
        <f t="shared" si="91"/>
        <v>1.0000934568709838</v>
      </c>
      <c r="N249" s="340">
        <f t="shared" si="92"/>
        <v>1.3671107714844961E-2</v>
      </c>
      <c r="O249" s="341">
        <f t="shared" si="93"/>
        <v>0.99979807227269391</v>
      </c>
      <c r="P249" s="342">
        <f t="shared" si="94"/>
        <v>3.4271135418632937E-3</v>
      </c>
      <c r="Q249" s="343">
        <f t="shared" si="95"/>
        <v>11.217402053408707</v>
      </c>
      <c r="R249" s="344">
        <f t="shared" si="96"/>
        <v>-80.900072291441361</v>
      </c>
      <c r="S249" s="346">
        <f t="shared" si="97"/>
        <v>99.099927708558639</v>
      </c>
      <c r="U249" s="319">
        <f t="shared" si="103"/>
        <v>1000000000</v>
      </c>
      <c r="V249" s="319">
        <f t="shared" si="104"/>
        <v>229098496</v>
      </c>
      <c r="X249" s="345">
        <f t="shared" si="98"/>
        <v>17.5825026193646</v>
      </c>
      <c r="Y249" s="346">
        <f t="shared" si="99"/>
        <v>-21.547619772366073</v>
      </c>
      <c r="AA249" s="345">
        <f t="shared" si="100"/>
        <v>29.645073397645572</v>
      </c>
      <c r="AB249" s="346">
        <f t="shared" si="101"/>
        <v>-59.3524525190753</v>
      </c>
      <c r="AD249">
        <f t="shared" si="105"/>
        <v>0</v>
      </c>
      <c r="AE249">
        <f t="shared" si="108"/>
        <v>0</v>
      </c>
    </row>
    <row r="250" spans="1:31" x14ac:dyDescent="0.2">
      <c r="A250" s="347">
        <v>15224</v>
      </c>
      <c r="B250" s="364">
        <f t="shared" si="102"/>
        <v>15.224</v>
      </c>
      <c r="C250" s="337">
        <f t="shared" si="83"/>
        <v>1.9617666440929338</v>
      </c>
      <c r="D250" s="338">
        <f t="shared" si="84"/>
        <v>1.0359083992473808</v>
      </c>
      <c r="E250" s="338">
        <f t="shared" si="85"/>
        <v>1.0000004042433741</v>
      </c>
      <c r="F250" s="339">
        <f t="shared" si="86"/>
        <v>8.9915875994836937E-4</v>
      </c>
      <c r="G250" s="338">
        <f t="shared" si="87"/>
        <v>1</v>
      </c>
      <c r="H250" s="339">
        <f t="shared" si="88"/>
        <v>0</v>
      </c>
      <c r="I250" s="337">
        <f t="shared" si="89"/>
        <v>28775.740608998203</v>
      </c>
      <c r="J250" s="340">
        <f t="shared" si="90"/>
        <v>1.5707615753000945</v>
      </c>
      <c r="K250" s="348">
        <f t="shared" si="106"/>
        <v>2.834758780937416</v>
      </c>
      <c r="L250" s="349">
        <f t="shared" si="107"/>
        <v>1.210273281655184</v>
      </c>
      <c r="M250" s="337">
        <f t="shared" si="91"/>
        <v>1.0000945466863036</v>
      </c>
      <c r="N250" s="340">
        <f t="shared" si="92"/>
        <v>1.3750580909522778E-2</v>
      </c>
      <c r="O250" s="341">
        <f t="shared" si="93"/>
        <v>0.99979571746448614</v>
      </c>
      <c r="P250" s="342">
        <f t="shared" si="94"/>
        <v>3.4470468180901439E-3</v>
      </c>
      <c r="Q250" s="343">
        <f t="shared" si="95"/>
        <v>11.173901988521672</v>
      </c>
      <c r="R250" s="344">
        <f t="shared" si="96"/>
        <v>-80.941470605615294</v>
      </c>
      <c r="S250" s="346">
        <f t="shared" si="97"/>
        <v>99.058529394384706</v>
      </c>
      <c r="U250" s="319">
        <f t="shared" si="103"/>
        <v>1000000000</v>
      </c>
      <c r="V250" s="319">
        <f t="shared" si="104"/>
        <v>231770176</v>
      </c>
      <c r="X250" s="345">
        <f t="shared" si="98"/>
        <v>17.576195202124538</v>
      </c>
      <c r="Y250" s="346">
        <f t="shared" si="99"/>
        <v>-21.442308066196297</v>
      </c>
      <c r="AA250" s="345">
        <f t="shared" si="100"/>
        <v>29.607880749998607</v>
      </c>
      <c r="AB250" s="346">
        <f t="shared" si="101"/>
        <v>-59.49916253941899</v>
      </c>
      <c r="AD250">
        <f t="shared" si="105"/>
        <v>0</v>
      </c>
      <c r="AE250">
        <f t="shared" si="108"/>
        <v>0</v>
      </c>
    </row>
    <row r="251" spans="1:31" x14ac:dyDescent="0.2">
      <c r="A251" s="347">
        <v>15312</v>
      </c>
      <c r="B251" s="364">
        <f t="shared" si="102"/>
        <v>15.311999999999999</v>
      </c>
      <c r="C251" s="337">
        <f t="shared" si="83"/>
        <v>1.9701661112299287</v>
      </c>
      <c r="D251" s="338">
        <f t="shared" si="84"/>
        <v>1.0384325450752152</v>
      </c>
      <c r="E251" s="338">
        <f t="shared" si="85"/>
        <v>1.0000004089302135</v>
      </c>
      <c r="F251" s="339">
        <f t="shared" si="86"/>
        <v>9.0435620660212564E-4</v>
      </c>
      <c r="G251" s="338">
        <f t="shared" si="87"/>
        <v>1</v>
      </c>
      <c r="H251" s="339">
        <f t="shared" si="88"/>
        <v>0</v>
      </c>
      <c r="I251" s="337">
        <f t="shared" si="89"/>
        <v>28942.074369543559</v>
      </c>
      <c r="J251" s="340">
        <f t="shared" si="90"/>
        <v>1.5707617750213287</v>
      </c>
      <c r="K251" s="348">
        <f t="shared" si="106"/>
        <v>2.849110707279046</v>
      </c>
      <c r="L251" s="349">
        <f t="shared" si="107"/>
        <v>1.2121716795183051</v>
      </c>
      <c r="M251" s="337">
        <f t="shared" si="91"/>
        <v>1.0000956428181953</v>
      </c>
      <c r="N251" s="340">
        <f t="shared" si="92"/>
        <v>1.3830053930493E-2</v>
      </c>
      <c r="O251" s="341">
        <f t="shared" si="93"/>
        <v>0.99979334900554628</v>
      </c>
      <c r="P251" s="342">
        <f t="shared" si="94"/>
        <v>3.4669802369209205E-3</v>
      </c>
      <c r="Q251" s="343">
        <f t="shared" si="95"/>
        <v>11.130604523822424</v>
      </c>
      <c r="R251" s="344">
        <f t="shared" si="96"/>
        <v>-80.982732543962712</v>
      </c>
      <c r="S251" s="346">
        <f t="shared" si="97"/>
        <v>99.017267456037288</v>
      </c>
      <c r="U251" s="319">
        <f t="shared" si="103"/>
        <v>1000000000</v>
      </c>
      <c r="V251" s="319">
        <f t="shared" si="104"/>
        <v>234457344</v>
      </c>
      <c r="X251" s="345">
        <f t="shared" si="98"/>
        <v>17.56998709146098</v>
      </c>
      <c r="Y251" s="346">
        <f t="shared" si="99"/>
        <v>-21.338102792554277</v>
      </c>
      <c r="AA251" s="345">
        <f t="shared" si="100"/>
        <v>29.570791395962907</v>
      </c>
      <c r="AB251" s="346">
        <f t="shared" si="101"/>
        <v>-59.644629751408438</v>
      </c>
      <c r="AD251">
        <f t="shared" si="105"/>
        <v>0</v>
      </c>
      <c r="AE251">
        <f t="shared" si="108"/>
        <v>0</v>
      </c>
    </row>
    <row r="252" spans="1:31" x14ac:dyDescent="0.2">
      <c r="A252" s="347">
        <v>15400</v>
      </c>
      <c r="B252" s="364">
        <f t="shared" si="102"/>
        <v>15.4</v>
      </c>
      <c r="C252" s="337">
        <f t="shared" si="83"/>
        <v>1.9785780242875908</v>
      </c>
      <c r="D252" s="338">
        <f t="shared" si="84"/>
        <v>1.0409352439529505</v>
      </c>
      <c r="E252" s="338">
        <f t="shared" si="85"/>
        <v>1.0000004136440666</v>
      </c>
      <c r="F252" s="339">
        <f t="shared" si="86"/>
        <v>9.0955365320702223E-4</v>
      </c>
      <c r="G252" s="338">
        <f t="shared" si="87"/>
        <v>1</v>
      </c>
      <c r="H252" s="339">
        <f t="shared" si="88"/>
        <v>0</v>
      </c>
      <c r="I252" s="337">
        <f t="shared" si="89"/>
        <v>29108.408130090058</v>
      </c>
      <c r="J252" s="340">
        <f t="shared" si="90"/>
        <v>1.5707619724600348</v>
      </c>
      <c r="K252" s="348">
        <f t="shared" si="106"/>
        <v>2.8634727986230719</v>
      </c>
      <c r="L252" s="349">
        <f t="shared" si="107"/>
        <v>1.2140510408135408</v>
      </c>
      <c r="M252" s="337">
        <f t="shared" si="91"/>
        <v>1.0000967452666383</v>
      </c>
      <c r="N252" s="340">
        <f t="shared" si="92"/>
        <v>1.3909526776752305E-2</v>
      </c>
      <c r="O252" s="341">
        <f t="shared" si="93"/>
        <v>0.99979096689588043</v>
      </c>
      <c r="P252" s="342">
        <f t="shared" si="94"/>
        <v>3.4869137991810442E-3</v>
      </c>
      <c r="Q252" s="343">
        <f t="shared" si="95"/>
        <v>11.087507685700647</v>
      </c>
      <c r="R252" s="344">
        <f t="shared" si="96"/>
        <v>-81.023856245013391</v>
      </c>
      <c r="S252" s="346">
        <f t="shared" si="97"/>
        <v>98.976143754986609</v>
      </c>
      <c r="U252" s="319">
        <f t="shared" si="103"/>
        <v>1000000000</v>
      </c>
      <c r="V252" s="319">
        <f t="shared" si="104"/>
        <v>237160000</v>
      </c>
      <c r="X252" s="345">
        <f t="shared" si="98"/>
        <v>17.563876249863313</v>
      </c>
      <c r="Y252" s="346">
        <f t="shared" si="99"/>
        <v>-21.234988093120332</v>
      </c>
      <c r="AA252" s="345">
        <f t="shared" si="100"/>
        <v>29.533805399438794</v>
      </c>
      <c r="AB252" s="346">
        <f t="shared" si="101"/>
        <v>-59.788868151893077</v>
      </c>
      <c r="AD252">
        <f t="shared" si="105"/>
        <v>0</v>
      </c>
      <c r="AE252">
        <f t="shared" si="108"/>
        <v>0</v>
      </c>
    </row>
    <row r="253" spans="1:31" x14ac:dyDescent="0.2">
      <c r="A253" s="347">
        <v>15488</v>
      </c>
      <c r="B253" s="364">
        <f t="shared" si="102"/>
        <v>15.488</v>
      </c>
      <c r="C253" s="337">
        <f t="shared" si="83"/>
        <v>1.9870022251976549</v>
      </c>
      <c r="D253" s="338">
        <f t="shared" si="84"/>
        <v>1.0434167371119121</v>
      </c>
      <c r="E253" s="338">
        <f t="shared" si="85"/>
        <v>1.0000004183849331</v>
      </c>
      <c r="F253" s="339">
        <f t="shared" si="86"/>
        <v>9.1475109976277844E-4</v>
      </c>
      <c r="G253" s="338">
        <f t="shared" si="87"/>
        <v>1</v>
      </c>
      <c r="H253" s="339">
        <f t="shared" si="88"/>
        <v>0</v>
      </c>
      <c r="I253" s="337">
        <f t="shared" si="89"/>
        <v>29274.741890637677</v>
      </c>
      <c r="J253" s="340">
        <f t="shared" si="90"/>
        <v>1.5707621676551191</v>
      </c>
      <c r="K253" s="348">
        <f t="shared" si="106"/>
        <v>2.8778449027819764</v>
      </c>
      <c r="L253" s="349">
        <f t="shared" si="107"/>
        <v>1.2159116373735905</v>
      </c>
      <c r="M253" s="337">
        <f t="shared" si="91"/>
        <v>1.0000978540316117</v>
      </c>
      <c r="N253" s="340">
        <f t="shared" si="92"/>
        <v>1.398899944729738E-2</v>
      </c>
      <c r="O253" s="341">
        <f t="shared" si="93"/>
        <v>0.99978857113549402</v>
      </c>
      <c r="P253" s="342">
        <f t="shared" si="94"/>
        <v>3.5068475056959565E-3</v>
      </c>
      <c r="Q253" s="343">
        <f t="shared" si="95"/>
        <v>11.04460953485955</v>
      </c>
      <c r="R253" s="344">
        <f t="shared" si="96"/>
        <v>-81.064839957656744</v>
      </c>
      <c r="S253" s="346">
        <f t="shared" si="97"/>
        <v>98.935160042343256</v>
      </c>
      <c r="U253" s="319">
        <f t="shared" si="103"/>
        <v>1000000000</v>
      </c>
      <c r="V253" s="319">
        <f t="shared" si="104"/>
        <v>239878144</v>
      </c>
      <c r="X253" s="345">
        <f t="shared" si="98"/>
        <v>17.557860690745358</v>
      </c>
      <c r="Y253" s="346">
        <f t="shared" si="99"/>
        <v>-21.132948395199701</v>
      </c>
      <c r="AA253" s="345">
        <f t="shared" si="100"/>
        <v>29.496922807715663</v>
      </c>
      <c r="AB253" s="346">
        <f t="shared" si="101"/>
        <v>-59.931891562457061</v>
      </c>
      <c r="AD253">
        <f t="shared" si="105"/>
        <v>0</v>
      </c>
      <c r="AE253">
        <f t="shared" si="108"/>
        <v>0</v>
      </c>
    </row>
    <row r="254" spans="1:31" x14ac:dyDescent="0.2">
      <c r="A254" s="347">
        <v>15578.25</v>
      </c>
      <c r="B254" s="364">
        <f t="shared" si="102"/>
        <v>15.578250000000001</v>
      </c>
      <c r="C254" s="337">
        <f t="shared" si="83"/>
        <v>1.995654417735147</v>
      </c>
      <c r="D254" s="338">
        <f t="shared" si="84"/>
        <v>1.045939901109</v>
      </c>
      <c r="E254" s="338">
        <f t="shared" si="85"/>
        <v>1.0000004232750734</v>
      </c>
      <c r="F254" s="339">
        <f t="shared" si="86"/>
        <v>9.2008143552572736E-4</v>
      </c>
      <c r="G254" s="338">
        <f t="shared" si="87"/>
        <v>1</v>
      </c>
      <c r="H254" s="339">
        <f t="shared" si="88"/>
        <v>0</v>
      </c>
      <c r="I254" s="337">
        <f t="shared" si="89"/>
        <v>29445.328503018623</v>
      </c>
      <c r="J254" s="340">
        <f t="shared" si="90"/>
        <v>1.570762365550413</v>
      </c>
      <c r="K254" s="348">
        <f t="shared" si="106"/>
        <v>2.8925947192717771</v>
      </c>
      <c r="L254" s="349">
        <f t="shared" si="107"/>
        <v>1.2178005950734123</v>
      </c>
      <c r="M254" s="337">
        <f t="shared" si="91"/>
        <v>1.0000989977065158</v>
      </c>
      <c r="N254" s="340">
        <f t="shared" si="92"/>
        <v>1.4070503905970836E-2</v>
      </c>
      <c r="O254" s="341">
        <f t="shared" si="93"/>
        <v>0.99978609994115797</v>
      </c>
      <c r="P254" s="342">
        <f t="shared" si="94"/>
        <v>3.5272910315424883E-3</v>
      </c>
      <c r="Q254" s="343">
        <f t="shared" si="95"/>
        <v>11.000818932328784</v>
      </c>
      <c r="R254" s="344">
        <f t="shared" si="96"/>
        <v>-81.106724423943973</v>
      </c>
      <c r="S254" s="346">
        <f t="shared" si="97"/>
        <v>98.893275576056027</v>
      </c>
      <c r="U254" s="319">
        <f t="shared" si="103"/>
        <v>1000000000</v>
      </c>
      <c r="V254" s="319">
        <f t="shared" si="104"/>
        <v>242681873.0625</v>
      </c>
      <c r="X254" s="345">
        <f t="shared" si="98"/>
        <v>17.551788263738473</v>
      </c>
      <c r="Y254" s="346">
        <f t="shared" si="99"/>
        <v>-21.02940029126146</v>
      </c>
      <c r="AA254" s="345">
        <f t="shared" si="100"/>
        <v>29.459204632191778</v>
      </c>
      <c r="AB254" s="346">
        <f t="shared" si="101"/>
        <v>-60.077324132682513</v>
      </c>
      <c r="AD254">
        <f t="shared" si="105"/>
        <v>0</v>
      </c>
      <c r="AE254">
        <f t="shared" si="108"/>
        <v>0</v>
      </c>
    </row>
    <row r="255" spans="1:31" x14ac:dyDescent="0.2">
      <c r="A255" s="347">
        <v>15668.5</v>
      </c>
      <c r="B255" s="364">
        <f t="shared" si="102"/>
        <v>15.6685</v>
      </c>
      <c r="C255" s="337">
        <f t="shared" si="83"/>
        <v>2.0043192055836472</v>
      </c>
      <c r="D255" s="338">
        <f t="shared" si="84"/>
        <v>1.048441265348419</v>
      </c>
      <c r="E255" s="338">
        <f t="shared" si="85"/>
        <v>1.0000004281936259</v>
      </c>
      <c r="F255" s="339">
        <f t="shared" si="86"/>
        <v>9.2541177123639257E-4</v>
      </c>
      <c r="G255" s="338">
        <f t="shared" si="87"/>
        <v>1</v>
      </c>
      <c r="H255" s="339">
        <f t="shared" si="88"/>
        <v>0</v>
      </c>
      <c r="I255" s="337">
        <f t="shared" si="89"/>
        <v>29615.915115400712</v>
      </c>
      <c r="J255" s="340">
        <f t="shared" si="90"/>
        <v>1.5707625611659672</v>
      </c>
      <c r="K255" s="348">
        <f t="shared" si="106"/>
        <v>2.9073547522593759</v>
      </c>
      <c r="L255" s="349">
        <f t="shared" si="107"/>
        <v>1.2196703797009967</v>
      </c>
      <c r="M255" s="337">
        <f t="shared" si="91"/>
        <v>1.0001001480250389</v>
      </c>
      <c r="N255" s="340">
        <f t="shared" si="92"/>
        <v>1.4152008177692322E-2</v>
      </c>
      <c r="O255" s="341">
        <f t="shared" si="93"/>
        <v>0.99978361438914176</v>
      </c>
      <c r="P255" s="342">
        <f t="shared" si="94"/>
        <v>3.5477347108734199E-3</v>
      </c>
      <c r="Q255" s="343">
        <f t="shared" si="95"/>
        <v>10.957233282172732</v>
      </c>
      <c r="R255" s="344">
        <f t="shared" si="96"/>
        <v>-81.148458259707667</v>
      </c>
      <c r="S255" s="346">
        <f t="shared" si="97"/>
        <v>98.851541740292333</v>
      </c>
      <c r="U255" s="319">
        <f t="shared" si="103"/>
        <v>1000000000</v>
      </c>
      <c r="V255" s="319">
        <f t="shared" si="104"/>
        <v>245501892.25</v>
      </c>
      <c r="X255" s="345">
        <f t="shared" si="98"/>
        <v>17.545811979484544</v>
      </c>
      <c r="Y255" s="346">
        <f t="shared" si="99"/>
        <v>-20.926950582112962</v>
      </c>
      <c r="AA255" s="345">
        <f t="shared" si="100"/>
        <v>29.42159526628965</v>
      </c>
      <c r="AB255" s="346">
        <f t="shared" si="101"/>
        <v>-60.221507677594701</v>
      </c>
      <c r="AD255">
        <f t="shared" si="105"/>
        <v>0</v>
      </c>
      <c r="AE255">
        <f t="shared" si="108"/>
        <v>0</v>
      </c>
    </row>
    <row r="256" spans="1:31" x14ac:dyDescent="0.2">
      <c r="A256" s="347">
        <v>15758.75</v>
      </c>
      <c r="B256" s="364">
        <f t="shared" si="102"/>
        <v>15.758749999999999</v>
      </c>
      <c r="C256" s="337">
        <f t="shared" si="83"/>
        <v>2.0129964260965267</v>
      </c>
      <c r="D256" s="338">
        <f t="shared" si="84"/>
        <v>1.0509210802356892</v>
      </c>
      <c r="E256" s="338">
        <f t="shared" si="85"/>
        <v>1.0000004331405912</v>
      </c>
      <c r="F256" s="339">
        <f t="shared" si="86"/>
        <v>9.3074210689447138E-4</v>
      </c>
      <c r="G256" s="338">
        <f t="shared" si="87"/>
        <v>1</v>
      </c>
      <c r="H256" s="339">
        <f t="shared" si="88"/>
        <v>0</v>
      </c>
      <c r="I256" s="337">
        <f t="shared" si="89"/>
        <v>29786.501727783922</v>
      </c>
      <c r="J256" s="340">
        <f t="shared" si="90"/>
        <v>1.5707627545409499</v>
      </c>
      <c r="K256" s="348">
        <f t="shared" si="106"/>
        <v>2.9221248469301977</v>
      </c>
      <c r="L256" s="349">
        <f t="shared" si="107"/>
        <v>1.2215212688176047</v>
      </c>
      <c r="M256" s="337">
        <f t="shared" si="91"/>
        <v>1.0001013049871585</v>
      </c>
      <c r="N256" s="340">
        <f t="shared" si="92"/>
        <v>1.4233512261379628E-2</v>
      </c>
      <c r="O256" s="341">
        <f t="shared" si="93"/>
        <v>0.99978111447945184</v>
      </c>
      <c r="P256" s="342">
        <f t="shared" si="94"/>
        <v>3.5681785445792059E-3</v>
      </c>
      <c r="Q256" s="343">
        <f t="shared" si="95"/>
        <v>10.913850598850793</v>
      </c>
      <c r="R256" s="344">
        <f t="shared" si="96"/>
        <v>-81.190039911271654</v>
      </c>
      <c r="S256" s="346">
        <f t="shared" si="97"/>
        <v>98.809960088728346</v>
      </c>
      <c r="U256" s="319">
        <f t="shared" si="103"/>
        <v>1000000000</v>
      </c>
      <c r="V256" s="319">
        <f t="shared" si="104"/>
        <v>248338201.5625</v>
      </c>
      <c r="X256" s="345">
        <f t="shared" si="98"/>
        <v>17.53992985234359</v>
      </c>
      <c r="Y256" s="346">
        <f t="shared" si="99"/>
        <v>-20.825583366847539</v>
      </c>
      <c r="AA256" s="345">
        <f t="shared" si="100"/>
        <v>29.38409471010867</v>
      </c>
      <c r="AB256" s="346">
        <f t="shared" si="101"/>
        <v>-60.364456544424137</v>
      </c>
      <c r="AD256">
        <f t="shared" si="105"/>
        <v>0</v>
      </c>
      <c r="AE256">
        <f t="shared" si="108"/>
        <v>0</v>
      </c>
    </row>
    <row r="257" spans="1:31" x14ac:dyDescent="0.2">
      <c r="A257" s="347">
        <v>15849</v>
      </c>
      <c r="B257" s="364">
        <f t="shared" si="102"/>
        <v>15.849</v>
      </c>
      <c r="C257" s="337">
        <f t="shared" si="83"/>
        <v>2.02168591918814</v>
      </c>
      <c r="D257" s="338">
        <f t="shared" si="84"/>
        <v>1.0533795929406198</v>
      </c>
      <c r="E257" s="338">
        <f t="shared" si="85"/>
        <v>1.0000004381159688</v>
      </c>
      <c r="F257" s="339">
        <f t="shared" si="86"/>
        <v>9.3607244249966075E-4</v>
      </c>
      <c r="G257" s="338">
        <f t="shared" si="87"/>
        <v>1</v>
      </c>
      <c r="H257" s="339">
        <f t="shared" si="88"/>
        <v>0</v>
      </c>
      <c r="I257" s="337">
        <f t="shared" si="89"/>
        <v>29957.088340168226</v>
      </c>
      <c r="J257" s="340">
        <f t="shared" si="90"/>
        <v>1.5707629457136369</v>
      </c>
      <c r="K257" s="348">
        <f t="shared" si="106"/>
        <v>2.9369048514795173</v>
      </c>
      <c r="L257" s="349">
        <f t="shared" si="107"/>
        <v>1.2233535349207598</v>
      </c>
      <c r="M257" s="337">
        <f t="shared" si="91"/>
        <v>1.0001024685928512</v>
      </c>
      <c r="N257" s="340">
        <f t="shared" si="92"/>
        <v>1.431501615595056E-2</v>
      </c>
      <c r="O257" s="341">
        <f t="shared" si="93"/>
        <v>0.99977860021209419</v>
      </c>
      <c r="P257" s="342">
        <f t="shared" si="94"/>
        <v>3.5886225335503203E-3</v>
      </c>
      <c r="Q257" s="343">
        <f t="shared" si="95"/>
        <v>10.870668930770808</v>
      </c>
      <c r="R257" s="344">
        <f t="shared" si="96"/>
        <v>-81.231467929646968</v>
      </c>
      <c r="S257" s="346">
        <f t="shared" si="97"/>
        <v>98.768532070353032</v>
      </c>
      <c r="U257" s="319">
        <f t="shared" si="103"/>
        <v>1000000000</v>
      </c>
      <c r="V257" s="319">
        <f t="shared" si="104"/>
        <v>251190801</v>
      </c>
      <c r="X257" s="345">
        <f t="shared" si="98"/>
        <v>17.534139946667299</v>
      </c>
      <c r="Y257" s="346">
        <f t="shared" si="99"/>
        <v>-20.725283034638178</v>
      </c>
      <c r="AA257" s="345">
        <f t="shared" si="100"/>
        <v>29.346702947704969</v>
      </c>
      <c r="AB257" s="346">
        <f t="shared" si="101"/>
        <v>-60.506184895008808</v>
      </c>
      <c r="AD257">
        <f t="shared" si="105"/>
        <v>0</v>
      </c>
      <c r="AE257">
        <f t="shared" si="108"/>
        <v>0</v>
      </c>
    </row>
    <row r="258" spans="1:31" x14ac:dyDescent="0.2">
      <c r="A258" s="347">
        <v>15941.25</v>
      </c>
      <c r="B258" s="364">
        <f t="shared" si="102"/>
        <v>15.94125</v>
      </c>
      <c r="C258" s="337">
        <f t="shared" si="83"/>
        <v>2.0305804967338688</v>
      </c>
      <c r="D258" s="338">
        <f t="shared" si="84"/>
        <v>1.0558708263884526</v>
      </c>
      <c r="E258" s="338">
        <f t="shared" si="85"/>
        <v>1.0000004432309679</v>
      </c>
      <c r="F258" s="339">
        <f t="shared" si="86"/>
        <v>9.4152090183059875E-4</v>
      </c>
      <c r="G258" s="338">
        <f t="shared" si="87"/>
        <v>1</v>
      </c>
      <c r="H258" s="339">
        <f t="shared" si="88"/>
        <v>0</v>
      </c>
      <c r="I258" s="337">
        <f t="shared" si="89"/>
        <v>30131.455265293476</v>
      </c>
      <c r="J258" s="340">
        <f t="shared" si="90"/>
        <v>1.5707631388857373</v>
      </c>
      <c r="K258" s="348">
        <f t="shared" si="106"/>
        <v>2.9520224775119295</v>
      </c>
      <c r="L258" s="349">
        <f t="shared" si="107"/>
        <v>1.2252074371401906</v>
      </c>
      <c r="M258" s="337">
        <f t="shared" si="91"/>
        <v>1.0001036648508392</v>
      </c>
      <c r="N258" s="340">
        <f t="shared" si="92"/>
        <v>1.4398326034434687E-2</v>
      </c>
      <c r="O258" s="341">
        <f t="shared" si="93"/>
        <v>0.99977601538845096</v>
      </c>
      <c r="P258" s="342">
        <f t="shared" si="94"/>
        <v>3.6095197363003495E-3</v>
      </c>
      <c r="Q258" s="343">
        <f t="shared" si="95"/>
        <v>10.826736077491235</v>
      </c>
      <c r="R258" s="344">
        <f t="shared" si="96"/>
        <v>-81.273653839406123</v>
      </c>
      <c r="S258" s="346">
        <f t="shared" si="97"/>
        <v>98.726346160593877</v>
      </c>
      <c r="U258" s="319">
        <f t="shared" si="103"/>
        <v>1000000000</v>
      </c>
      <c r="V258" s="319">
        <f t="shared" si="104"/>
        <v>254123451.5625</v>
      </c>
      <c r="X258" s="345">
        <f t="shared" si="98"/>
        <v>17.52831507801714</v>
      </c>
      <c r="Y258" s="346">
        <f t="shared" si="99"/>
        <v>-20.623846634093898</v>
      </c>
      <c r="AA258" s="345">
        <f t="shared" si="100"/>
        <v>29.308594963075556</v>
      </c>
      <c r="AB258" s="346">
        <f t="shared" si="101"/>
        <v>-60.64980720531225</v>
      </c>
      <c r="AD258">
        <f t="shared" si="105"/>
        <v>0</v>
      </c>
      <c r="AE258">
        <f t="shared" si="108"/>
        <v>0</v>
      </c>
    </row>
    <row r="259" spans="1:31" x14ac:dyDescent="0.2">
      <c r="A259" s="347">
        <v>16033.5</v>
      </c>
      <c r="B259" s="364">
        <f t="shared" si="102"/>
        <v>16.0335</v>
      </c>
      <c r="C259" s="337">
        <f t="shared" si="83"/>
        <v>2.0394875665907439</v>
      </c>
      <c r="D259" s="338">
        <f t="shared" si="84"/>
        <v>1.058340315084952</v>
      </c>
      <c r="E259" s="338">
        <f t="shared" si="85"/>
        <v>1.0000004483756531</v>
      </c>
      <c r="F259" s="339">
        <f t="shared" si="86"/>
        <v>9.4696936110563723E-4</v>
      </c>
      <c r="G259" s="338">
        <f t="shared" si="87"/>
        <v>1</v>
      </c>
      <c r="H259" s="339">
        <f t="shared" si="88"/>
        <v>0</v>
      </c>
      <c r="I259" s="337">
        <f t="shared" si="89"/>
        <v>30305.822190419833</v>
      </c>
      <c r="J259" s="340">
        <f t="shared" si="90"/>
        <v>1.5707633298349759</v>
      </c>
      <c r="K259" s="348">
        <f t="shared" si="106"/>
        <v>2.9671501461005829</v>
      </c>
      <c r="L259" s="349">
        <f t="shared" si="107"/>
        <v>1.2270424418049564</v>
      </c>
      <c r="M259" s="337">
        <f t="shared" si="91"/>
        <v>1.0001048680500659</v>
      </c>
      <c r="N259" s="340">
        <f t="shared" si="92"/>
        <v>1.4481635713041287E-2</v>
      </c>
      <c r="O259" s="341">
        <f t="shared" si="93"/>
        <v>0.99977341556375177</v>
      </c>
      <c r="P259" s="342">
        <f t="shared" si="94"/>
        <v>3.630417103154971E-3</v>
      </c>
      <c r="Q259" s="343">
        <f t="shared" si="95"/>
        <v>10.783009228737473</v>
      </c>
      <c r="R259" s="344">
        <f t="shared" si="96"/>
        <v>-81.315676487405568</v>
      </c>
      <c r="S259" s="346">
        <f t="shared" si="97"/>
        <v>98.684323512594432</v>
      </c>
      <c r="U259" s="319">
        <f t="shared" si="103"/>
        <v>1000000000</v>
      </c>
      <c r="V259" s="319">
        <f t="shared" si="104"/>
        <v>257073122.25</v>
      </c>
      <c r="X259" s="345">
        <f t="shared" si="98"/>
        <v>17.522582627428445</v>
      </c>
      <c r="Y259" s="346">
        <f t="shared" si="99"/>
        <v>-20.523492844863558</v>
      </c>
      <c r="AA259" s="345">
        <f t="shared" si="100"/>
        <v>29.270600564910495</v>
      </c>
      <c r="AB259" s="346">
        <f t="shared" si="101"/>
        <v>-60.792183642542007</v>
      </c>
      <c r="AD259">
        <f t="shared" si="105"/>
        <v>0</v>
      </c>
      <c r="AE259">
        <f t="shared" si="108"/>
        <v>0</v>
      </c>
    </row>
    <row r="260" spans="1:31" x14ac:dyDescent="0.2">
      <c r="A260" s="347">
        <v>16125.75</v>
      </c>
      <c r="B260" s="364">
        <f t="shared" si="102"/>
        <v>16.12575</v>
      </c>
      <c r="C260" s="337">
        <f t="shared" si="83"/>
        <v>2.0484069657981534</v>
      </c>
      <c r="D260" s="338">
        <f t="shared" si="84"/>
        <v>1.0607883127628639</v>
      </c>
      <c r="E260" s="338">
        <f t="shared" si="85"/>
        <v>1.0000004535500238</v>
      </c>
      <c r="F260" s="339">
        <f t="shared" si="86"/>
        <v>9.524178203244529E-4</v>
      </c>
      <c r="G260" s="338">
        <f t="shared" si="87"/>
        <v>1</v>
      </c>
      <c r="H260" s="339">
        <f t="shared" si="88"/>
        <v>0</v>
      </c>
      <c r="I260" s="337">
        <f t="shared" si="89"/>
        <v>30480.18911554728</v>
      </c>
      <c r="J260" s="340">
        <f t="shared" si="90"/>
        <v>1.5707635185995017</v>
      </c>
      <c r="K260" s="348">
        <f t="shared" si="106"/>
        <v>2.9822877044227383</v>
      </c>
      <c r="L260" s="349">
        <f t="shared" si="107"/>
        <v>1.2288588242241658</v>
      </c>
      <c r="M260" s="337">
        <f t="shared" si="91"/>
        <v>1.0001060781905062</v>
      </c>
      <c r="N260" s="340">
        <f t="shared" si="92"/>
        <v>1.456494519061466E-2</v>
      </c>
      <c r="O260" s="341">
        <f t="shared" si="93"/>
        <v>0.99977080073800384</v>
      </c>
      <c r="P260" s="342">
        <f t="shared" si="94"/>
        <v>3.6513146350652531E-3</v>
      </c>
      <c r="Q260" s="343">
        <f t="shared" si="95"/>
        <v>10.739486404352455</v>
      </c>
      <c r="R260" s="344">
        <f t="shared" si="96"/>
        <v>-81.35753463958477</v>
      </c>
      <c r="S260" s="346">
        <f t="shared" si="97"/>
        <v>98.64246536041523</v>
      </c>
      <c r="U260" s="319">
        <f t="shared" si="103"/>
        <v>1000000000</v>
      </c>
      <c r="V260" s="319">
        <f t="shared" si="104"/>
        <v>260039813.0625</v>
      </c>
      <c r="X260" s="345">
        <f t="shared" si="98"/>
        <v>17.516940680217541</v>
      </c>
      <c r="Y260" s="346">
        <f t="shared" si="99"/>
        <v>-20.424205895016687</v>
      </c>
      <c r="AA260" s="345">
        <f t="shared" si="100"/>
        <v>29.232719687736378</v>
      </c>
      <c r="AB260" s="346">
        <f t="shared" si="101"/>
        <v>-60.933328744568087</v>
      </c>
      <c r="AD260">
        <f t="shared" si="105"/>
        <v>0</v>
      </c>
      <c r="AE260">
        <f t="shared" si="108"/>
        <v>0</v>
      </c>
    </row>
    <row r="261" spans="1:31" x14ac:dyDescent="0.2">
      <c r="A261" s="347">
        <v>16218</v>
      </c>
      <c r="B261" s="364">
        <f t="shared" si="102"/>
        <v>16.218</v>
      </c>
      <c r="C261" s="337">
        <f t="shared" si="83"/>
        <v>2.0573385339978576</v>
      </c>
      <c r="D261" s="338">
        <f t="shared" si="84"/>
        <v>1.0632150697882541</v>
      </c>
      <c r="E261" s="338">
        <f t="shared" si="85"/>
        <v>1.0000004587540801</v>
      </c>
      <c r="F261" s="339">
        <f t="shared" si="86"/>
        <v>9.5786627948672189E-4</v>
      </c>
      <c r="G261" s="338">
        <f t="shared" si="87"/>
        <v>1</v>
      </c>
      <c r="H261" s="339">
        <f t="shared" si="88"/>
        <v>0</v>
      </c>
      <c r="I261" s="337">
        <f t="shared" si="89"/>
        <v>30654.556040675801</v>
      </c>
      <c r="J261" s="340">
        <f t="shared" si="90"/>
        <v>1.5707637052165953</v>
      </c>
      <c r="K261" s="348">
        <f t="shared" si="106"/>
        <v>2.9974350026438739</v>
      </c>
      <c r="L261" s="349">
        <f t="shared" si="107"/>
        <v>1.2306568546389025</v>
      </c>
      <c r="M261" s="337">
        <f t="shared" si="91"/>
        <v>1.0001072952721348</v>
      </c>
      <c r="N261" s="340">
        <f t="shared" si="92"/>
        <v>1.4648254465999124E-2</v>
      </c>
      <c r="O261" s="341">
        <f t="shared" si="93"/>
        <v>0.99976817091121384</v>
      </c>
      <c r="P261" s="342">
        <f t="shared" si="94"/>
        <v>3.67221233298229E-3</v>
      </c>
      <c r="Q261" s="343">
        <f t="shared" si="95"/>
        <v>10.696165657378288</v>
      </c>
      <c r="R261" s="344">
        <f t="shared" si="96"/>
        <v>-81.39922715931344</v>
      </c>
      <c r="S261" s="346">
        <f t="shared" si="97"/>
        <v>98.60077284068656</v>
      </c>
      <c r="U261" s="319">
        <f t="shared" si="103"/>
        <v>1000000000</v>
      </c>
      <c r="V261" s="319">
        <f t="shared" si="104"/>
        <v>263023524</v>
      </c>
      <c r="X261" s="345">
        <f t="shared" si="98"/>
        <v>17.511387370090482</v>
      </c>
      <c r="Y261" s="346">
        <f t="shared" si="99"/>
        <v>-20.325970302949536</v>
      </c>
      <c r="AA261" s="345">
        <f t="shared" si="100"/>
        <v>29.194952250889273</v>
      </c>
      <c r="AB261" s="346">
        <f t="shared" si="101"/>
        <v>-61.073256856363891</v>
      </c>
      <c r="AD261">
        <f t="shared" si="105"/>
        <v>0</v>
      </c>
      <c r="AE261">
        <f t="shared" si="108"/>
        <v>0</v>
      </c>
    </row>
    <row r="262" spans="1:31" x14ac:dyDescent="0.2">
      <c r="A262" s="347">
        <v>16312.5</v>
      </c>
      <c r="B262" s="364">
        <f t="shared" si="102"/>
        <v>16.3125</v>
      </c>
      <c r="C262" s="337">
        <f t="shared" si="83"/>
        <v>2.0665003982063439</v>
      </c>
      <c r="D262" s="338">
        <f t="shared" si="84"/>
        <v>1.0656792501560528</v>
      </c>
      <c r="E262" s="338">
        <f t="shared" si="85"/>
        <v>1.0000004641158453</v>
      </c>
      <c r="F262" s="339">
        <f t="shared" si="86"/>
        <v>9.6344762783788127E-4</v>
      </c>
      <c r="G262" s="338">
        <f t="shared" si="87"/>
        <v>1</v>
      </c>
      <c r="H262" s="339">
        <f t="shared" si="88"/>
        <v>0</v>
      </c>
      <c r="I262" s="337">
        <f t="shared" si="89"/>
        <v>30833.175817637824</v>
      </c>
      <c r="J262" s="340">
        <f t="shared" si="90"/>
        <v>1.5707638941967728</v>
      </c>
      <c r="K262" s="348">
        <f t="shared" si="106"/>
        <v>3.0129616927414462</v>
      </c>
      <c r="L262" s="349">
        <f t="shared" si="107"/>
        <v>1.2324799878481556</v>
      </c>
      <c r="M262" s="337">
        <f t="shared" si="91"/>
        <v>1.0001085492358539</v>
      </c>
      <c r="N262" s="340">
        <f t="shared" si="92"/>
        <v>1.4733595464075315E-2</v>
      </c>
      <c r="O262" s="341">
        <f t="shared" si="93"/>
        <v>0.99976546138799172</v>
      </c>
      <c r="P262" s="342">
        <f t="shared" si="94"/>
        <v>3.6936199039722898E-3</v>
      </c>
      <c r="Q262" s="343">
        <f t="shared" si="95"/>
        <v>10.65199583620916</v>
      </c>
      <c r="R262" s="344">
        <f t="shared" si="96"/>
        <v>-81.441763738554187</v>
      </c>
      <c r="S262" s="346">
        <f t="shared" si="97"/>
        <v>98.558236261445813</v>
      </c>
      <c r="U262" s="319">
        <f t="shared" si="103"/>
        <v>1000000000</v>
      </c>
      <c r="V262" s="319">
        <f t="shared" si="104"/>
        <v>266097656.25</v>
      </c>
      <c r="X262" s="345">
        <f t="shared" si="98"/>
        <v>17.505788618158832</v>
      </c>
      <c r="Y262" s="346">
        <f t="shared" si="99"/>
        <v>-20.226412971231209</v>
      </c>
      <c r="AA262" s="345">
        <f t="shared" si="100"/>
        <v>29.156381181651795</v>
      </c>
      <c r="AB262" s="346">
        <f t="shared" si="101"/>
        <v>-61.21535076732296</v>
      </c>
      <c r="AD262">
        <f t="shared" si="105"/>
        <v>0</v>
      </c>
      <c r="AE262">
        <f t="shared" si="108"/>
        <v>0</v>
      </c>
    </row>
    <row r="263" spans="1:31" x14ac:dyDescent="0.2">
      <c r="A263" s="347">
        <v>16407</v>
      </c>
      <c r="B263" s="364">
        <f t="shared" si="102"/>
        <v>16.407</v>
      </c>
      <c r="C263" s="337">
        <f t="shared" si="83"/>
        <v>2.0756746997698081</v>
      </c>
      <c r="D263" s="338">
        <f t="shared" si="84"/>
        <v>1.0681216623200154</v>
      </c>
      <c r="E263" s="338">
        <f t="shared" si="85"/>
        <v>1.0000004695087621</v>
      </c>
      <c r="F263" s="339">
        <f t="shared" si="86"/>
        <v>9.6902897612901489E-4</v>
      </c>
      <c r="G263" s="338">
        <f t="shared" si="87"/>
        <v>1</v>
      </c>
      <c r="H263" s="339">
        <f t="shared" si="88"/>
        <v>0</v>
      </c>
      <c r="I263" s="337">
        <f t="shared" si="89"/>
        <v>31011.795594600932</v>
      </c>
      <c r="J263" s="340">
        <f t="shared" si="90"/>
        <v>1.5707640809999983</v>
      </c>
      <c r="K263" s="348">
        <f t="shared" si="106"/>
        <v>3.0284982946599066</v>
      </c>
      <c r="L263" s="349">
        <f t="shared" si="107"/>
        <v>1.2342844211687058</v>
      </c>
      <c r="M263" s="337">
        <f t="shared" si="91"/>
        <v>1.0001098104834312</v>
      </c>
      <c r="N263" s="340">
        <f t="shared" si="92"/>
        <v>1.4818936247524431E-2</v>
      </c>
      <c r="O263" s="341">
        <f t="shared" si="93"/>
        <v>0.99976273612306055</v>
      </c>
      <c r="P263" s="342">
        <f t="shared" si="94"/>
        <v>3.7150276511862205E-3</v>
      </c>
      <c r="Q263" s="343">
        <f t="shared" si="95"/>
        <v>10.608034037077147</v>
      </c>
      <c r="R263" s="344">
        <f t="shared" si="96"/>
        <v>-81.484124389360304</v>
      </c>
      <c r="S263" s="346">
        <f t="shared" si="97"/>
        <v>98.515875610639696</v>
      </c>
      <c r="U263" s="319">
        <f t="shared" si="103"/>
        <v>1000000000</v>
      </c>
      <c r="V263" s="319">
        <f t="shared" si="104"/>
        <v>269189649</v>
      </c>
      <c r="X263" s="345">
        <f t="shared" si="98"/>
        <v>17.500279064663488</v>
      </c>
      <c r="Y263" s="346">
        <f t="shared" si="99"/>
        <v>-20.127926927186767</v>
      </c>
      <c r="AA263" s="345">
        <f t="shared" si="100"/>
        <v>29.117928936015119</v>
      </c>
      <c r="AB263" s="346">
        <f t="shared" si="101"/>
        <v>-61.356197462173533</v>
      </c>
      <c r="AD263">
        <f t="shared" si="105"/>
        <v>0</v>
      </c>
      <c r="AE263">
        <f t="shared" si="108"/>
        <v>0</v>
      </c>
    </row>
    <row r="264" spans="1:31" x14ac:dyDescent="0.2">
      <c r="A264" s="347">
        <v>16501.5</v>
      </c>
      <c r="B264" s="364">
        <f t="shared" si="102"/>
        <v>16.5015</v>
      </c>
      <c r="C264" s="337">
        <f t="shared" si="83"/>
        <v>2.0848612744988513</v>
      </c>
      <c r="D264" s="338">
        <f t="shared" si="84"/>
        <v>1.0705425647000204</v>
      </c>
      <c r="E264" s="338">
        <f t="shared" si="85"/>
        <v>1.0000004749328302</v>
      </c>
      <c r="F264" s="339">
        <f t="shared" si="86"/>
        <v>9.7461032435977525E-4</v>
      </c>
      <c r="G264" s="338">
        <f t="shared" si="87"/>
        <v>1</v>
      </c>
      <c r="H264" s="339">
        <f t="shared" si="88"/>
        <v>0</v>
      </c>
      <c r="I264" s="337">
        <f t="shared" si="89"/>
        <v>31190.415371565112</v>
      </c>
      <c r="J264" s="340">
        <f t="shared" si="90"/>
        <v>1.5707642656636722</v>
      </c>
      <c r="K264" s="348">
        <f t="shared" si="106"/>
        <v>3.044044656631431</v>
      </c>
      <c r="L264" s="349">
        <f t="shared" si="107"/>
        <v>1.236070429268205</v>
      </c>
      <c r="M264" s="337">
        <f t="shared" si="91"/>
        <v>1.0001110790148391</v>
      </c>
      <c r="N264" s="340">
        <f t="shared" si="92"/>
        <v>1.4904276815104206E-2</v>
      </c>
      <c r="O264" s="341">
        <f t="shared" si="93"/>
        <v>0.99975999511642777</v>
      </c>
      <c r="P264" s="342">
        <f t="shared" si="94"/>
        <v>3.7364355756465606E-3</v>
      </c>
      <c r="Q264" s="343">
        <f t="shared" si="95"/>
        <v>10.564278269716556</v>
      </c>
      <c r="R264" s="344">
        <f t="shared" si="96"/>
        <v>-81.526308182933306</v>
      </c>
      <c r="S264" s="346">
        <f t="shared" si="97"/>
        <v>98.473691817066694</v>
      </c>
      <c r="U264" s="319">
        <f t="shared" si="103"/>
        <v>1000000000</v>
      </c>
      <c r="V264" s="319">
        <f t="shared" si="104"/>
        <v>272299502.25</v>
      </c>
      <c r="X264" s="345">
        <f t="shared" si="98"/>
        <v>17.494856852113429</v>
      </c>
      <c r="Y264" s="346">
        <f t="shared" si="99"/>
        <v>-20.030496435590671</v>
      </c>
      <c r="AA264" s="345">
        <f t="shared" si="100"/>
        <v>29.079595381204591</v>
      </c>
      <c r="AB264" s="346">
        <f t="shared" si="101"/>
        <v>-61.495811747342636</v>
      </c>
      <c r="AD264">
        <f t="shared" si="105"/>
        <v>0</v>
      </c>
      <c r="AE264">
        <f t="shared" si="108"/>
        <v>0</v>
      </c>
    </row>
    <row r="265" spans="1:31" x14ac:dyDescent="0.2">
      <c r="A265" s="347">
        <v>16596</v>
      </c>
      <c r="B265" s="364">
        <f t="shared" si="102"/>
        <v>16.596</v>
      </c>
      <c r="C265" s="337">
        <f t="shared" si="83"/>
        <v>2.0940599608675123</v>
      </c>
      <c r="D265" s="338">
        <f t="shared" si="84"/>
        <v>1.0729422121928729</v>
      </c>
      <c r="E265" s="338">
        <f t="shared" si="85"/>
        <v>1.0000004803880498</v>
      </c>
      <c r="F265" s="339">
        <f t="shared" si="86"/>
        <v>9.8019167252981444E-4</v>
      </c>
      <c r="G265" s="338">
        <f t="shared" si="87"/>
        <v>1</v>
      </c>
      <c r="H265" s="339">
        <f t="shared" si="88"/>
        <v>0</v>
      </c>
      <c r="I265" s="337">
        <f t="shared" si="89"/>
        <v>31369.035148530347</v>
      </c>
      <c r="J265" s="340">
        <f t="shared" si="90"/>
        <v>1.5707644482243435</v>
      </c>
      <c r="K265" s="348">
        <f t="shared" si="106"/>
        <v>3.0596006298784504</v>
      </c>
      <c r="L265" s="349">
        <f t="shared" si="107"/>
        <v>1.2378382817037794</v>
      </c>
      <c r="M265" s="337">
        <f t="shared" si="91"/>
        <v>1.0001123548300499</v>
      </c>
      <c r="N265" s="340">
        <f t="shared" si="92"/>
        <v>1.4989617165572388E-2</v>
      </c>
      <c r="O265" s="341">
        <f t="shared" si="93"/>
        <v>0.99975723836810126</v>
      </c>
      <c r="P265" s="342">
        <f t="shared" si="94"/>
        <v>3.7578436783758159E-3</v>
      </c>
      <c r="Q265" s="343">
        <f t="shared" si="95"/>
        <v>10.520726576673251</v>
      </c>
      <c r="R265" s="344">
        <f t="shared" si="96"/>
        <v>-81.568314281380154</v>
      </c>
      <c r="S265" s="346">
        <f t="shared" si="97"/>
        <v>98.431685718619846</v>
      </c>
      <c r="U265" s="319">
        <f t="shared" si="103"/>
        <v>1000000000</v>
      </c>
      <c r="V265" s="319">
        <f t="shared" si="104"/>
        <v>275427216</v>
      </c>
      <c r="X265" s="345">
        <f t="shared" si="98"/>
        <v>17.48952017023456</v>
      </c>
      <c r="Y265" s="346">
        <f t="shared" si="99"/>
        <v>-19.934106053980152</v>
      </c>
      <c r="AA265" s="345">
        <f t="shared" si="100"/>
        <v>29.041380370040159</v>
      </c>
      <c r="AB265" s="346">
        <f t="shared" si="101"/>
        <v>-61.634208227400002</v>
      </c>
      <c r="AD265">
        <f t="shared" si="105"/>
        <v>0</v>
      </c>
      <c r="AE265">
        <f t="shared" si="108"/>
        <v>0</v>
      </c>
    </row>
    <row r="266" spans="1:31" x14ac:dyDescent="0.2">
      <c r="A266" s="347">
        <v>16692.5</v>
      </c>
      <c r="B266" s="364">
        <f t="shared" si="102"/>
        <v>16.692499999999999</v>
      </c>
      <c r="C266" s="337">
        <f t="shared" si="83"/>
        <v>2.1034656621433152</v>
      </c>
      <c r="D266" s="338">
        <f t="shared" si="84"/>
        <v>1.0753709727395362</v>
      </c>
      <c r="E266" s="338">
        <f t="shared" si="85"/>
        <v>1.0000004859908711</v>
      </c>
      <c r="F266" s="339">
        <f t="shared" si="86"/>
        <v>9.8589114440762455E-4</v>
      </c>
      <c r="G266" s="338">
        <f t="shared" si="87"/>
        <v>1</v>
      </c>
      <c r="H266" s="339">
        <f t="shared" si="88"/>
        <v>0</v>
      </c>
      <c r="I266" s="337">
        <f t="shared" si="89"/>
        <v>31551.435238236649</v>
      </c>
      <c r="J266" s="340">
        <f t="shared" si="90"/>
        <v>1.5707646325156153</v>
      </c>
      <c r="K266" s="348">
        <f t="shared" si="106"/>
        <v>3.075495597052941</v>
      </c>
      <c r="L266" s="349">
        <f t="shared" si="107"/>
        <v>1.2396250878208883</v>
      </c>
      <c r="M266" s="337">
        <f t="shared" si="91"/>
        <v>1.000113665163278</v>
      </c>
      <c r="N266" s="340">
        <f t="shared" si="92"/>
        <v>1.5076763435680389E-2</v>
      </c>
      <c r="O266" s="341">
        <f t="shared" si="93"/>
        <v>0.9997544070309472</v>
      </c>
      <c r="P266" s="342">
        <f t="shared" si="94"/>
        <v>3.7797050476751537E-3</v>
      </c>
      <c r="Q266" s="343">
        <f t="shared" si="95"/>
        <v>10.476461752337034</v>
      </c>
      <c r="R266" s="344">
        <f t="shared" si="96"/>
        <v>-81.611025241982915</v>
      </c>
      <c r="S266" s="346">
        <f t="shared" si="97"/>
        <v>98.388974758017085</v>
      </c>
      <c r="U266" s="319">
        <f t="shared" si="103"/>
        <v>1000000000</v>
      </c>
      <c r="V266" s="319">
        <f t="shared" si="104"/>
        <v>278639556.25</v>
      </c>
      <c r="X266" s="345">
        <f t="shared" si="98"/>
        <v>17.484156974318783</v>
      </c>
      <c r="Y266" s="346">
        <f t="shared" si="99"/>
        <v>-19.836733277139956</v>
      </c>
      <c r="AA266" s="345">
        <f t="shared" si="100"/>
        <v>29.002478741619719</v>
      </c>
      <c r="AB266" s="346">
        <f t="shared" si="101"/>
        <v>-61.774291964842938</v>
      </c>
      <c r="AD266">
        <f t="shared" si="105"/>
        <v>0</v>
      </c>
      <c r="AE266">
        <f t="shared" si="108"/>
        <v>0</v>
      </c>
    </row>
    <row r="267" spans="1:31" x14ac:dyDescent="0.2">
      <c r="A267" s="347">
        <v>16789</v>
      </c>
      <c r="B267" s="364">
        <f t="shared" si="102"/>
        <v>16.789000000000001</v>
      </c>
      <c r="C267" s="337">
        <f t="shared" si="83"/>
        <v>2.1128836609919821</v>
      </c>
      <c r="D267" s="338">
        <f t="shared" si="84"/>
        <v>1.0777780953939926</v>
      </c>
      <c r="E267" s="338">
        <f t="shared" si="85"/>
        <v>1.0000004916261764</v>
      </c>
      <c r="F267" s="339">
        <f t="shared" si="86"/>
        <v>9.9159061622138326E-4</v>
      </c>
      <c r="G267" s="338">
        <f t="shared" si="87"/>
        <v>1</v>
      </c>
      <c r="H267" s="339">
        <f t="shared" si="88"/>
        <v>0</v>
      </c>
      <c r="I267" s="337">
        <f t="shared" si="89"/>
        <v>31733.835327944005</v>
      </c>
      <c r="J267" s="340">
        <f t="shared" si="90"/>
        <v>1.5707648146883444</v>
      </c>
      <c r="K267" s="348">
        <f t="shared" si="106"/>
        <v>3.0914002822977511</v>
      </c>
      <c r="L267" s="349">
        <f t="shared" si="107"/>
        <v>1.2413935139587595</v>
      </c>
      <c r="M267" s="337">
        <f t="shared" si="91"/>
        <v>1.0001149830918217</v>
      </c>
      <c r="N267" s="340">
        <f t="shared" si="92"/>
        <v>1.5163909476771513E-2</v>
      </c>
      <c r="O267" s="341">
        <f t="shared" si="93"/>
        <v>0.99975155927874937</v>
      </c>
      <c r="P267" s="342">
        <f t="shared" si="94"/>
        <v>3.801566605024175E-3</v>
      </c>
      <c r="Q267" s="343">
        <f t="shared" si="95"/>
        <v>10.43240570714525</v>
      </c>
      <c r="R267" s="344">
        <f t="shared" si="96"/>
        <v>-81.653549414195126</v>
      </c>
      <c r="S267" s="346">
        <f t="shared" si="97"/>
        <v>98.346450585804874</v>
      </c>
      <c r="U267" s="319">
        <f t="shared" si="103"/>
        <v>1000000000</v>
      </c>
      <c r="V267" s="319">
        <f t="shared" si="104"/>
        <v>281870521</v>
      </c>
      <c r="X267" s="345">
        <f t="shared" si="98"/>
        <v>17.478879296890064</v>
      </c>
      <c r="Y267" s="346">
        <f t="shared" si="99"/>
        <v>-19.740413461033572</v>
      </c>
      <c r="AA267" s="345">
        <f t="shared" si="100"/>
        <v>28.963700373856657</v>
      </c>
      <c r="AB267" s="346">
        <f t="shared" si="101"/>
        <v>-61.913135953161571</v>
      </c>
      <c r="AD267">
        <f t="shared" si="105"/>
        <v>0</v>
      </c>
      <c r="AE267">
        <f t="shared" si="108"/>
        <v>0</v>
      </c>
    </row>
    <row r="268" spans="1:31" x14ac:dyDescent="0.2">
      <c r="A268" s="347">
        <v>16885.5</v>
      </c>
      <c r="B268" s="364">
        <f t="shared" si="102"/>
        <v>16.8855</v>
      </c>
      <c r="C268" s="337">
        <f t="shared" si="83"/>
        <v>2.1223137936980585</v>
      </c>
      <c r="D268" s="338">
        <f t="shared" si="84"/>
        <v>1.0801638405070797</v>
      </c>
      <c r="E268" s="338">
        <f t="shared" si="85"/>
        <v>1.0000004972939658</v>
      </c>
      <c r="F268" s="339">
        <f t="shared" si="86"/>
        <v>9.9729008797072019E-4</v>
      </c>
      <c r="G268" s="338">
        <f t="shared" si="87"/>
        <v>1</v>
      </c>
      <c r="H268" s="339">
        <f t="shared" si="88"/>
        <v>0</v>
      </c>
      <c r="I268" s="337">
        <f t="shared" si="89"/>
        <v>31916.235417652406</v>
      </c>
      <c r="J268" s="340">
        <f t="shared" si="90"/>
        <v>1.5707649947788529</v>
      </c>
      <c r="K268" s="348">
        <f t="shared" si="106"/>
        <v>3.107314536388035</v>
      </c>
      <c r="L268" s="349">
        <f t="shared" si="107"/>
        <v>1.2431438313724896</v>
      </c>
      <c r="M268" s="337">
        <f t="shared" si="91"/>
        <v>1.0001163086156513</v>
      </c>
      <c r="N268" s="340">
        <f t="shared" si="92"/>
        <v>1.5251055287523017E-2</v>
      </c>
      <c r="O268" s="341">
        <f t="shared" si="93"/>
        <v>0.99974869511151609</v>
      </c>
      <c r="P268" s="342">
        <f t="shared" si="94"/>
        <v>3.8234283515117791E-3</v>
      </c>
      <c r="Q268" s="343">
        <f t="shared" si="95"/>
        <v>10.38855645715055</v>
      </c>
      <c r="R268" s="344">
        <f t="shared" si="96"/>
        <v>-81.695886175316588</v>
      </c>
      <c r="S268" s="346">
        <f t="shared" si="97"/>
        <v>98.304113824683412</v>
      </c>
      <c r="U268" s="319">
        <f t="shared" si="103"/>
        <v>1000000000</v>
      </c>
      <c r="V268" s="319">
        <f t="shared" si="104"/>
        <v>285120110.25</v>
      </c>
      <c r="X268" s="345">
        <f t="shared" si="98"/>
        <v>17.473685353759798</v>
      </c>
      <c r="Y268" s="346">
        <f t="shared" si="99"/>
        <v>-19.645131065894081</v>
      </c>
      <c r="AA268" s="345">
        <f t="shared" si="100"/>
        <v>28.925045066992219</v>
      </c>
      <c r="AB268" s="346">
        <f t="shared" si="101"/>
        <v>-62.050755109422511</v>
      </c>
      <c r="AD268">
        <f t="shared" si="105"/>
        <v>0</v>
      </c>
      <c r="AE268">
        <f t="shared" si="108"/>
        <v>0</v>
      </c>
    </row>
    <row r="269" spans="1:31" x14ac:dyDescent="0.2">
      <c r="A269" s="347">
        <v>16982</v>
      </c>
      <c r="B269" s="364">
        <f t="shared" si="102"/>
        <v>16.981999999999999</v>
      </c>
      <c r="C269" s="337">
        <f t="shared" ref="C269:C332" si="109">SQRT(1+(A269/pole1)^2)</f>
        <v>2.1317558992338936</v>
      </c>
      <c r="D269" s="338">
        <f t="shared" ref="D269:D332" si="110">ATAN(A269/pole1)</f>
        <v>1.0825284647993132</v>
      </c>
      <c r="E269" s="338">
        <f t="shared" ref="E269:E332" si="111">SQRT(1+(A269/Zero1)^2)</f>
        <v>1.0000005029942391</v>
      </c>
      <c r="F269" s="339">
        <f t="shared" ref="F269:F332" si="112">ATAN(A269/Zero1)</f>
        <v>1.0029895596552654E-3</v>
      </c>
      <c r="G269" s="338">
        <f t="shared" ref="G269:G332" si="113">IF(VIN_nom&gt;Vout, 1, SQRT(1+(A269/z_RHP)^2))</f>
        <v>1</v>
      </c>
      <c r="H269" s="339">
        <f t="shared" ref="H269:H332" si="114">IF(VIN_nom&gt;Vout, 0, -ATAN(A269/z_RHP))</f>
        <v>0</v>
      </c>
      <c r="I269" s="337">
        <f t="shared" ref="I269:I332" si="115">SQRT(1+(A269/Pole2)^2)</f>
        <v>32098.635507361836</v>
      </c>
      <c r="J269" s="340">
        <f t="shared" ref="J269:J332" si="116">ATAN(A269/Pole2)</f>
        <v>1.5707651728226373</v>
      </c>
      <c r="K269" s="348">
        <f t="shared" si="106"/>
        <v>3.1232382130515335</v>
      </c>
      <c r="L269" s="349">
        <f t="shared" si="107"/>
        <v>1.2448763062340813</v>
      </c>
      <c r="M269" s="337">
        <f t="shared" ref="M269:M332" si="117">SQRT(1+(A269/pole4)^2)</f>
        <v>1.0001176417347359</v>
      </c>
      <c r="N269" s="340">
        <f t="shared" ref="N269:N332" si="118">ATAN(A269/pole4)</f>
        <v>1.5338200866612183E-2</v>
      </c>
      <c r="O269" s="341">
        <f t="shared" ref="O269:O332" si="119">SQRT((1-(V269/pterm2))^2+(A269/pterm1)^2)</f>
        <v>0.99974581452925593</v>
      </c>
      <c r="P269" s="342">
        <f t="shared" ref="P269:P332" si="120">IF((ATAN((A269/pterm1)/(1-A269^2/pterm2))&gt;0),ATAN((A269/pterm1)/(1-A269^2/pterm2)),PI()+ATAN((A269/pterm1)/(1-A269^2/pterm2)))</f>
        <v>3.8452902882268993E-3</v>
      </c>
      <c r="Q269" s="343">
        <f t="shared" ref="Q269:Q332" si="121">20*LOG10(((E269*K269*G269)/(C269*I269*O269*M269))*Adc)</f>
        <v>10.344912050491349</v>
      </c>
      <c r="R269" s="344">
        <f t="shared" ref="R269:R332" si="122">((F269+L269+H269)-(D269+J269+P269+N269))*radconv</f>
        <v>-81.738034985837359</v>
      </c>
      <c r="S269" s="346">
        <f t="shared" ref="S269:S332" si="123">IF(R269&gt;0,R269,R269+180)</f>
        <v>98.261965014162641</v>
      </c>
      <c r="U269" s="319">
        <f t="shared" si="103"/>
        <v>1000000000</v>
      </c>
      <c r="V269" s="319">
        <f t="shared" si="104"/>
        <v>288388324</v>
      </c>
      <c r="X269" s="345">
        <f t="shared" ref="X269:X332" si="124">20*LOG10((K269/(I269*M269))*AEA)</f>
        <v>17.468573406207028</v>
      </c>
      <c r="Y269" s="346">
        <f t="shared" ref="Y269:Y332" si="125">(L269-(J269+N269))*radconv</f>
        <v>-19.550870843147102</v>
      </c>
      <c r="AA269" s="345">
        <f t="shared" ref="AA269:AA332" si="126">20*LOG10((E269*G269/(C269*O269))*Acs*Am)</f>
        <v>28.886512607885784</v>
      </c>
      <c r="AB269" s="346">
        <f t="shared" ref="AB269:AB332" si="127">(F269+H269-(D269+P269))*radconv</f>
        <v>-62.18716414269025</v>
      </c>
      <c r="AD269">
        <f t="shared" si="105"/>
        <v>0</v>
      </c>
      <c r="AE269">
        <f t="shared" si="108"/>
        <v>0</v>
      </c>
    </row>
    <row r="270" spans="1:31" x14ac:dyDescent="0.2">
      <c r="A270" s="347">
        <v>17081</v>
      </c>
      <c r="B270" s="364">
        <f t="shared" ref="B270:B333" si="128">A270/1000</f>
        <v>17.081</v>
      </c>
      <c r="C270" s="337">
        <f t="shared" si="109"/>
        <v>2.1414548950138479</v>
      </c>
      <c r="D270" s="338">
        <f t="shared" si="110"/>
        <v>1.0849326654320419</v>
      </c>
      <c r="E270" s="338">
        <f t="shared" si="111"/>
        <v>1.0000005088759452</v>
      </c>
      <c r="F270" s="339">
        <f t="shared" si="112"/>
        <v>1.0088366859789444E-3</v>
      </c>
      <c r="G270" s="338">
        <f t="shared" si="113"/>
        <v>1</v>
      </c>
      <c r="H270" s="339">
        <f t="shared" si="114"/>
        <v>0</v>
      </c>
      <c r="I270" s="337">
        <f t="shared" si="115"/>
        <v>32285.760987997422</v>
      </c>
      <c r="J270" s="340">
        <f t="shared" si="116"/>
        <v>1.5707653533883683</v>
      </c>
      <c r="K270" s="348">
        <f t="shared" si="106"/>
        <v>3.1395840618179949</v>
      </c>
      <c r="L270" s="349">
        <f t="shared" si="107"/>
        <v>1.2466353957112017</v>
      </c>
      <c r="M270" s="337">
        <f t="shared" si="117"/>
        <v>1.0001190172835097</v>
      </c>
      <c r="N270" s="340">
        <f t="shared" si="118"/>
        <v>1.5427603861061786E-2</v>
      </c>
      <c r="O270" s="341">
        <f t="shared" si="119"/>
        <v>0.99974284226209587</v>
      </c>
      <c r="P270" s="342">
        <f t="shared" si="120"/>
        <v>3.8677187951845389E-3</v>
      </c>
      <c r="Q270" s="343">
        <f t="shared" si="121"/>
        <v>10.300347819121438</v>
      </c>
      <c r="R270" s="344">
        <f t="shared" si="122"/>
        <v>-81.781079935460639</v>
      </c>
      <c r="S270" s="346">
        <f t="shared" si="123"/>
        <v>98.218920064539361</v>
      </c>
      <c r="U270" s="319">
        <f t="shared" ref="U270:U333" si="129">IF(Q270&lt;0,A270,1000000000)</f>
        <v>1000000000</v>
      </c>
      <c r="V270" s="319">
        <f t="shared" ref="V270:V333" si="130">A270^2</f>
        <v>291760561</v>
      </c>
      <c r="X270" s="345">
        <f t="shared" si="124"/>
        <v>17.463412458279969</v>
      </c>
      <c r="Y270" s="346">
        <f t="shared" si="125"/>
        <v>-19.455215200125032</v>
      </c>
      <c r="AA270" s="345">
        <f t="shared" si="126"/>
        <v>28.847109324442929</v>
      </c>
      <c r="AB270" s="346">
        <f t="shared" si="127"/>
        <v>-62.325864735335614</v>
      </c>
      <c r="AD270">
        <f t="shared" ref="AD270:AD333" si="131">SUM((Q271&lt;0)*(Q270&gt;0))*A270</f>
        <v>0</v>
      </c>
      <c r="AE270">
        <f t="shared" si="108"/>
        <v>0</v>
      </c>
    </row>
    <row r="271" spans="1:31" x14ac:dyDescent="0.2">
      <c r="A271" s="347">
        <v>17180</v>
      </c>
      <c r="B271" s="364">
        <f t="shared" si="128"/>
        <v>17.18</v>
      </c>
      <c r="C271" s="337">
        <f t="shared" si="109"/>
        <v>2.1511661571307785</v>
      </c>
      <c r="D271" s="338">
        <f t="shared" si="110"/>
        <v>1.0873151726019654</v>
      </c>
      <c r="E271" s="338">
        <f t="shared" si="111"/>
        <v>1.0000005147918403</v>
      </c>
      <c r="F271" s="339">
        <f t="shared" si="112"/>
        <v>1.0146838122336414E-3</v>
      </c>
      <c r="G271" s="338">
        <f t="shared" si="113"/>
        <v>1</v>
      </c>
      <c r="H271" s="339">
        <f t="shared" si="114"/>
        <v>0</v>
      </c>
      <c r="I271" s="337">
        <f t="shared" si="115"/>
        <v>32472.886468634046</v>
      </c>
      <c r="J271" s="340">
        <f t="shared" si="116"/>
        <v>1.570765531873074</v>
      </c>
      <c r="K271" s="348">
        <f t="shared" si="106"/>
        <v>3.1559395250459339</v>
      </c>
      <c r="L271" s="349">
        <f t="shared" si="107"/>
        <v>1.2483762577819422</v>
      </c>
      <c r="M271" s="337">
        <f t="shared" si="117"/>
        <v>1.000120400826108</v>
      </c>
      <c r="N271" s="340">
        <f t="shared" si="118"/>
        <v>1.5517006608870055E-2</v>
      </c>
      <c r="O271" s="341">
        <f t="shared" si="119"/>
        <v>0.99973985271838994</v>
      </c>
      <c r="P271" s="342">
        <f t="shared" si="120"/>
        <v>3.890147504675675E-3</v>
      </c>
      <c r="Q271" s="343">
        <f t="shared" si="121"/>
        <v>10.255995120480346</v>
      </c>
      <c r="R271" s="344">
        <f t="shared" si="122"/>
        <v>-81.823926172921759</v>
      </c>
      <c r="S271" s="346">
        <f t="shared" si="123"/>
        <v>98.176073827078241</v>
      </c>
      <c r="U271" s="319">
        <f t="shared" si="129"/>
        <v>1000000000</v>
      </c>
      <c r="V271" s="319">
        <f t="shared" si="130"/>
        <v>295152400</v>
      </c>
      <c r="X271" s="345">
        <f t="shared" si="124"/>
        <v>17.458334243108006</v>
      </c>
      <c r="Y271" s="346">
        <f t="shared" si="125"/>
        <v>-19.360603777195731</v>
      </c>
      <c r="AA271" s="345">
        <f t="shared" si="126"/>
        <v>28.807834840973811</v>
      </c>
      <c r="AB271" s="346">
        <f t="shared" si="127"/>
        <v>-62.463322395726045</v>
      </c>
      <c r="AD271">
        <f t="shared" si="131"/>
        <v>0</v>
      </c>
      <c r="AE271">
        <f t="shared" si="108"/>
        <v>0</v>
      </c>
    </row>
    <row r="272" spans="1:31" x14ac:dyDescent="0.2">
      <c r="A272" s="347">
        <v>17279</v>
      </c>
      <c r="B272" s="364">
        <f t="shared" si="128"/>
        <v>17.279</v>
      </c>
      <c r="C272" s="337">
        <f t="shared" si="109"/>
        <v>2.1608895202061125</v>
      </c>
      <c r="D272" s="338">
        <f t="shared" si="110"/>
        <v>1.089676251920134</v>
      </c>
      <c r="E272" s="338">
        <f t="shared" si="111"/>
        <v>1.000000520741924</v>
      </c>
      <c r="F272" s="339">
        <f t="shared" si="112"/>
        <v>1.0205309384189567E-3</v>
      </c>
      <c r="G272" s="338">
        <f t="shared" si="113"/>
        <v>1</v>
      </c>
      <c r="H272" s="339">
        <f t="shared" si="114"/>
        <v>0</v>
      </c>
      <c r="I272" s="337">
        <f t="shared" si="115"/>
        <v>32660.011949271695</v>
      </c>
      <c r="J272" s="340">
        <f t="shared" si="116"/>
        <v>1.5707657083125242</v>
      </c>
      <c r="K272" s="348">
        <f t="shared" si="106"/>
        <v>3.172304454027397</v>
      </c>
      <c r="L272" s="349">
        <f t="shared" si="107"/>
        <v>1.2500991639007184</v>
      </c>
      <c r="M272" s="337">
        <f t="shared" si="117"/>
        <v>1.0001217923624977</v>
      </c>
      <c r="N272" s="340">
        <f t="shared" si="118"/>
        <v>1.5606409108608849E-2</v>
      </c>
      <c r="O272" s="341">
        <f t="shared" si="119"/>
        <v>0.9997368458981476</v>
      </c>
      <c r="P272" s="342">
        <f t="shared" si="120"/>
        <v>3.9125764178761825E-3</v>
      </c>
      <c r="Q272" s="343">
        <f t="shared" si="121"/>
        <v>10.211851946968123</v>
      </c>
      <c r="R272" s="344">
        <f t="shared" si="122"/>
        <v>-81.866573365455579</v>
      </c>
      <c r="S272" s="346">
        <f t="shared" si="123"/>
        <v>98.133426634544421</v>
      </c>
      <c r="U272" s="319">
        <f t="shared" si="129"/>
        <v>1000000000</v>
      </c>
      <c r="V272" s="319">
        <f t="shared" si="130"/>
        <v>298563841</v>
      </c>
      <c r="X272" s="345">
        <f t="shared" si="124"/>
        <v>17.453337023681982</v>
      </c>
      <c r="Y272" s="346">
        <f t="shared" si="125"/>
        <v>-19.267021023134429</v>
      </c>
      <c r="AA272" s="345">
        <f t="shared" si="126"/>
        <v>28.768688886887613</v>
      </c>
      <c r="AB272" s="346">
        <f t="shared" si="127"/>
        <v>-62.59955234232114</v>
      </c>
      <c r="AD272">
        <f t="shared" si="131"/>
        <v>0</v>
      </c>
      <c r="AE272">
        <f t="shared" si="108"/>
        <v>0</v>
      </c>
    </row>
    <row r="273" spans="1:31" x14ac:dyDescent="0.2">
      <c r="A273" s="347">
        <v>17378</v>
      </c>
      <c r="B273" s="364">
        <f t="shared" si="128"/>
        <v>17.378</v>
      </c>
      <c r="C273" s="337">
        <f t="shared" si="109"/>
        <v>2.1706248216203035</v>
      </c>
      <c r="D273" s="338">
        <f t="shared" si="110"/>
        <v>1.0920161651970517</v>
      </c>
      <c r="E273" s="338">
        <f t="shared" si="111"/>
        <v>1.0000005267261969</v>
      </c>
      <c r="F273" s="339">
        <f t="shared" si="112"/>
        <v>1.0263780645344903E-3</v>
      </c>
      <c r="G273" s="338">
        <f t="shared" si="113"/>
        <v>1</v>
      </c>
      <c r="H273" s="339">
        <f t="shared" si="114"/>
        <v>0</v>
      </c>
      <c r="I273" s="337">
        <f t="shared" si="115"/>
        <v>32847.137429910355</v>
      </c>
      <c r="J273" s="340">
        <f t="shared" si="116"/>
        <v>1.5707658827416731</v>
      </c>
      <c r="K273" s="348">
        <f t="shared" si="106"/>
        <v>3.1886787030220369</v>
      </c>
      <c r="L273" s="349">
        <f t="shared" si="107"/>
        <v>1.2518043803773988</v>
      </c>
      <c r="M273" s="337">
        <f t="shared" si="117"/>
        <v>1.0001231918926456</v>
      </c>
      <c r="N273" s="340">
        <f t="shared" si="118"/>
        <v>1.5695811358850054E-2</v>
      </c>
      <c r="O273" s="341">
        <f t="shared" si="119"/>
        <v>0.99973382180137771</v>
      </c>
      <c r="P273" s="342">
        <f t="shared" si="120"/>
        <v>3.9350055359619746E-3</v>
      </c>
      <c r="Q273" s="343">
        <f t="shared" si="121"/>
        <v>10.167916323010878</v>
      </c>
      <c r="R273" s="344">
        <f t="shared" si="122"/>
        <v>-81.909021257255816</v>
      </c>
      <c r="S273" s="346">
        <f t="shared" si="123"/>
        <v>98.090978742744184</v>
      </c>
      <c r="U273" s="319">
        <f t="shared" si="129"/>
        <v>1000000000</v>
      </c>
      <c r="V273" s="319">
        <f t="shared" si="130"/>
        <v>301994884</v>
      </c>
      <c r="X273" s="345">
        <f t="shared" si="124"/>
        <v>17.448419107565012</v>
      </c>
      <c r="Y273" s="346">
        <f t="shared" si="125"/>
        <v>-19.174451681430554</v>
      </c>
      <c r="AA273" s="345">
        <f t="shared" si="126"/>
        <v>28.729671179047337</v>
      </c>
      <c r="AB273" s="346">
        <f t="shared" si="127"/>
        <v>-62.734569575825248</v>
      </c>
      <c r="AD273">
        <f t="shared" si="131"/>
        <v>0</v>
      </c>
      <c r="AE273">
        <f t="shared" si="108"/>
        <v>0</v>
      </c>
    </row>
    <row r="274" spans="1:31" x14ac:dyDescent="0.2">
      <c r="A274" s="347">
        <v>17479.25</v>
      </c>
      <c r="B274" s="364">
        <f t="shared" si="128"/>
        <v>17.47925</v>
      </c>
      <c r="C274" s="337">
        <f t="shared" si="109"/>
        <v>2.1805935616524983</v>
      </c>
      <c r="D274" s="338">
        <f t="shared" si="110"/>
        <v>1.0943876341731433</v>
      </c>
      <c r="E274" s="338">
        <f t="shared" si="111"/>
        <v>1.0000005328818391</v>
      </c>
      <c r="F274" s="339">
        <f t="shared" si="112"/>
        <v>1.0323580798073269E-3</v>
      </c>
      <c r="G274" s="338">
        <f t="shared" si="113"/>
        <v>1</v>
      </c>
      <c r="H274" s="339">
        <f t="shared" si="114"/>
        <v>0</v>
      </c>
      <c r="I274" s="337">
        <f t="shared" si="115"/>
        <v>33038.515762382725</v>
      </c>
      <c r="J274" s="340">
        <f t="shared" si="116"/>
        <v>1.570766059091367</v>
      </c>
      <c r="K274" s="348">
        <f t="shared" si="106"/>
        <v>3.2054345853338884</v>
      </c>
      <c r="L274" s="349">
        <f t="shared" si="107"/>
        <v>1.2535303267810609</v>
      </c>
      <c r="M274" s="337">
        <f t="shared" si="117"/>
        <v>1.000124631498599</v>
      </c>
      <c r="N274" s="340">
        <f t="shared" si="118"/>
        <v>1.5787245218858961E-2</v>
      </c>
      <c r="O274" s="341">
        <f t="shared" si="119"/>
        <v>0.99973071110518363</v>
      </c>
      <c r="P274" s="342">
        <f t="shared" si="120"/>
        <v>3.9579446198800151E-3</v>
      </c>
      <c r="Q274" s="343">
        <f t="shared" si="121"/>
        <v>10.123194814654175</v>
      </c>
      <c r="R274" s="344">
        <f t="shared" si="122"/>
        <v>-81.952227537719935</v>
      </c>
      <c r="S274" s="346">
        <f t="shared" si="123"/>
        <v>98.047772462280065</v>
      </c>
      <c r="U274" s="319">
        <f t="shared" si="129"/>
        <v>1000000000</v>
      </c>
      <c r="V274" s="319">
        <f t="shared" si="130"/>
        <v>305524180.5625</v>
      </c>
      <c r="X274" s="345">
        <f t="shared" si="124"/>
        <v>17.443469729409259</v>
      </c>
      <c r="Y274" s="346">
        <f t="shared" si="125"/>
        <v>-19.080811115104215</v>
      </c>
      <c r="AA274" s="345">
        <f t="shared" si="126"/>
        <v>28.689899048846378</v>
      </c>
      <c r="AB274" s="346">
        <f t="shared" si="127"/>
        <v>-62.871416422615731</v>
      </c>
      <c r="AD274">
        <f t="shared" si="131"/>
        <v>0</v>
      </c>
      <c r="AE274">
        <f t="shared" si="108"/>
        <v>0</v>
      </c>
    </row>
    <row r="275" spans="1:31" x14ac:dyDescent="0.2">
      <c r="A275" s="347">
        <v>17580.5</v>
      </c>
      <c r="B275" s="364">
        <f t="shared" si="128"/>
        <v>17.580500000000001</v>
      </c>
      <c r="C275" s="337">
        <f t="shared" si="109"/>
        <v>2.1905744533938911</v>
      </c>
      <c r="D275" s="338">
        <f t="shared" si="110"/>
        <v>1.0967375060653088</v>
      </c>
      <c r="E275" s="338">
        <f t="shared" si="111"/>
        <v>1.000000539073242</v>
      </c>
      <c r="F275" s="339">
        <f t="shared" si="112"/>
        <v>1.0383380950063281E-3</v>
      </c>
      <c r="G275" s="338">
        <f t="shared" si="113"/>
        <v>1</v>
      </c>
      <c r="H275" s="339">
        <f t="shared" si="114"/>
        <v>0</v>
      </c>
      <c r="I275" s="337">
        <f t="shared" si="115"/>
        <v>33229.894094856114</v>
      </c>
      <c r="J275" s="340">
        <f t="shared" si="116"/>
        <v>1.5707662334097869</v>
      </c>
      <c r="K275" s="348">
        <f t="shared" si="106"/>
        <v>3.2221999169609643</v>
      </c>
      <c r="L275" s="349">
        <f t="shared" si="107"/>
        <v>1.2552383177888164</v>
      </c>
      <c r="M275" s="337">
        <f t="shared" si="117"/>
        <v>1.000126079465721</v>
      </c>
      <c r="N275" s="340">
        <f t="shared" si="118"/>
        <v>1.5878678814879199E-2</v>
      </c>
      <c r="O275" s="341">
        <f t="shared" si="119"/>
        <v>0.99972758233826131</v>
      </c>
      <c r="P275" s="342">
        <f t="shared" si="120"/>
        <v>3.9808839205901425E-3</v>
      </c>
      <c r="Q275" s="343">
        <f t="shared" si="121"/>
        <v>10.078686316453991</v>
      </c>
      <c r="R275" s="344">
        <f t="shared" si="122"/>
        <v>-81.995225045746636</v>
      </c>
      <c r="S275" s="346">
        <f t="shared" si="123"/>
        <v>98.004774954253364</v>
      </c>
      <c r="U275" s="319">
        <f t="shared" si="129"/>
        <v>1000000000</v>
      </c>
      <c r="V275" s="319">
        <f t="shared" si="130"/>
        <v>309073980.25</v>
      </c>
      <c r="X275" s="345">
        <f t="shared" si="124"/>
        <v>17.438599856487293</v>
      </c>
      <c r="Y275" s="346">
        <f t="shared" si="125"/>
        <v>-18.988199185675121</v>
      </c>
      <c r="AA275" s="345">
        <f t="shared" si="126"/>
        <v>28.650260423568167</v>
      </c>
      <c r="AB275" s="346">
        <f t="shared" si="127"/>
        <v>-63.007025860071536</v>
      </c>
      <c r="AD275">
        <f t="shared" si="131"/>
        <v>0</v>
      </c>
      <c r="AE275">
        <f t="shared" si="108"/>
        <v>0</v>
      </c>
    </row>
    <row r="276" spans="1:31" x14ac:dyDescent="0.2">
      <c r="A276" s="347">
        <v>17681.75</v>
      </c>
      <c r="B276" s="364">
        <f t="shared" si="128"/>
        <v>17.681750000000001</v>
      </c>
      <c r="C276" s="337">
        <f t="shared" si="109"/>
        <v>2.2005673314986365</v>
      </c>
      <c r="D276" s="338">
        <f t="shared" si="110"/>
        <v>1.0990660489643147</v>
      </c>
      <c r="E276" s="338">
        <f t="shared" si="111"/>
        <v>1.0000005453004053</v>
      </c>
      <c r="F276" s="339">
        <f t="shared" si="112"/>
        <v>1.0443181101310662E-3</v>
      </c>
      <c r="G276" s="338">
        <f t="shared" si="113"/>
        <v>1</v>
      </c>
      <c r="H276" s="339">
        <f t="shared" si="114"/>
        <v>0</v>
      </c>
      <c r="I276" s="337">
        <f t="shared" si="115"/>
        <v>33421.272427330499</v>
      </c>
      <c r="J276" s="340">
        <f t="shared" si="116"/>
        <v>1.5707664057318276</v>
      </c>
      <c r="K276" s="348">
        <f t="shared" si="106"/>
        <v>3.2389745511708079</v>
      </c>
      <c r="L276" s="349">
        <f t="shared" si="107"/>
        <v>1.256928622330072</v>
      </c>
      <c r="M276" s="337">
        <f t="shared" si="117"/>
        <v>1.0001275357939754</v>
      </c>
      <c r="N276" s="340">
        <f t="shared" si="118"/>
        <v>1.5970112145383127E-2</v>
      </c>
      <c r="O276" s="341">
        <f t="shared" si="119"/>
        <v>0.99972443550062073</v>
      </c>
      <c r="P276" s="342">
        <f t="shared" si="120"/>
        <v>4.0038234393503964E-3</v>
      </c>
      <c r="Q276" s="343">
        <f t="shared" si="121"/>
        <v>10.034388813806206</v>
      </c>
      <c r="R276" s="344">
        <f t="shared" si="122"/>
        <v>-82.038013735269303</v>
      </c>
      <c r="S276" s="346">
        <f t="shared" si="123"/>
        <v>97.961986264730697</v>
      </c>
      <c r="U276" s="319">
        <f t="shared" si="129"/>
        <v>1000000000</v>
      </c>
      <c r="V276" s="319">
        <f t="shared" si="130"/>
        <v>312644283.0625</v>
      </c>
      <c r="X276" s="345">
        <f t="shared" si="124"/>
        <v>17.433807814396662</v>
      </c>
      <c r="Y276" s="346">
        <f t="shared" si="125"/>
        <v>-18.896600486535053</v>
      </c>
      <c r="AA276" s="345">
        <f t="shared" si="126"/>
        <v>28.610754963011008</v>
      </c>
      <c r="AB276" s="346">
        <f t="shared" si="127"/>
        <v>-63.141413248734231</v>
      </c>
      <c r="AD276">
        <f t="shared" si="131"/>
        <v>0</v>
      </c>
      <c r="AE276">
        <f t="shared" si="108"/>
        <v>0</v>
      </c>
    </row>
    <row r="277" spans="1:31" x14ac:dyDescent="0.2">
      <c r="A277" s="347">
        <v>17783</v>
      </c>
      <c r="B277" s="364">
        <f t="shared" si="128"/>
        <v>17.783000000000001</v>
      </c>
      <c r="C277" s="337">
        <f t="shared" si="109"/>
        <v>2.2105720334138814</v>
      </c>
      <c r="D277" s="338">
        <f t="shared" si="110"/>
        <v>1.1013735270415137</v>
      </c>
      <c r="E277" s="338">
        <f t="shared" si="111"/>
        <v>1.0000005515633295</v>
      </c>
      <c r="F277" s="339">
        <f t="shared" si="112"/>
        <v>1.0502981251811132E-3</v>
      </c>
      <c r="G277" s="338">
        <f t="shared" si="113"/>
        <v>1</v>
      </c>
      <c r="H277" s="339">
        <f t="shared" si="114"/>
        <v>0</v>
      </c>
      <c r="I277" s="337">
        <f t="shared" si="115"/>
        <v>33612.650759805867</v>
      </c>
      <c r="J277" s="340">
        <f t="shared" si="116"/>
        <v>1.5707665760915888</v>
      </c>
      <c r="K277" s="348">
        <f t="shared" si="106"/>
        <v>3.2557583441744109</v>
      </c>
      <c r="L277" s="349">
        <f t="shared" si="107"/>
        <v>1.2586015041976797</v>
      </c>
      <c r="M277" s="337">
        <f t="shared" si="117"/>
        <v>1.0001290004833254</v>
      </c>
      <c r="N277" s="340">
        <f t="shared" si="118"/>
        <v>1.6061545208843134E-2</v>
      </c>
      <c r="O277" s="341">
        <f t="shared" si="119"/>
        <v>0.99972127059227189</v>
      </c>
      <c r="P277" s="342">
        <f t="shared" si="120"/>
        <v>4.0267631774188531E-3</v>
      </c>
      <c r="Q277" s="343">
        <f t="shared" si="121"/>
        <v>9.9903003237398345</v>
      </c>
      <c r="R277" s="344">
        <f t="shared" si="122"/>
        <v>-82.080593629912713</v>
      </c>
      <c r="S277" s="346">
        <f t="shared" si="123"/>
        <v>97.919406370087287</v>
      </c>
      <c r="U277" s="319">
        <f t="shared" si="129"/>
        <v>1000000000</v>
      </c>
      <c r="V277" s="319">
        <f t="shared" si="130"/>
        <v>316235089</v>
      </c>
      <c r="X277" s="345">
        <f t="shared" si="124"/>
        <v>17.429091971858291</v>
      </c>
      <c r="Y277" s="346">
        <f t="shared" si="125"/>
        <v>-18.80599990533317</v>
      </c>
      <c r="AA277" s="345">
        <f t="shared" si="126"/>
        <v>28.57138231548301</v>
      </c>
      <c r="AB277" s="346">
        <f t="shared" si="127"/>
        <v>-63.274593724579546</v>
      </c>
      <c r="AD277">
        <f t="shared" si="131"/>
        <v>0</v>
      </c>
      <c r="AE277">
        <f t="shared" si="108"/>
        <v>0</v>
      </c>
    </row>
    <row r="278" spans="1:31" x14ac:dyDescent="0.2">
      <c r="A278" s="347">
        <v>17886.5</v>
      </c>
      <c r="B278" s="364">
        <f t="shared" si="128"/>
        <v>17.886500000000002</v>
      </c>
      <c r="C278" s="337">
        <f t="shared" si="109"/>
        <v>2.220811116506785</v>
      </c>
      <c r="D278" s="338">
        <f t="shared" si="110"/>
        <v>1.1037107812485238</v>
      </c>
      <c r="E278" s="338">
        <f t="shared" si="111"/>
        <v>1.000000558002391</v>
      </c>
      <c r="F278" s="339">
        <f t="shared" si="112"/>
        <v>1.0564110293768507E-3</v>
      </c>
      <c r="G278" s="338">
        <f t="shared" si="113"/>
        <v>1</v>
      </c>
      <c r="H278" s="339">
        <f t="shared" si="114"/>
        <v>0</v>
      </c>
      <c r="I278" s="337">
        <f t="shared" si="115"/>
        <v>33808.28194411502</v>
      </c>
      <c r="J278" s="340">
        <f t="shared" si="116"/>
        <v>1.5707667482436469</v>
      </c>
      <c r="K278" s="348">
        <f t="shared" si="106"/>
        <v>3.2729244299926332</v>
      </c>
      <c r="L278" s="349">
        <f t="shared" si="107"/>
        <v>1.2602938229017633</v>
      </c>
      <c r="M278" s="337">
        <f t="shared" si="117"/>
        <v>1.0001305063631527</v>
      </c>
      <c r="N278" s="340">
        <f t="shared" si="118"/>
        <v>1.6155009840555914E-2</v>
      </c>
      <c r="O278" s="341">
        <f t="shared" si="119"/>
        <v>0.99971801667511007</v>
      </c>
      <c r="P278" s="342">
        <f t="shared" si="120"/>
        <v>4.0502129154270121E-3</v>
      </c>
      <c r="Q278" s="343">
        <f t="shared" si="121"/>
        <v>9.945446088277798</v>
      </c>
      <c r="R278" s="344">
        <f t="shared" si="122"/>
        <v>-82.123904032262857</v>
      </c>
      <c r="S278" s="346">
        <f t="shared" si="123"/>
        <v>97.876095967737143</v>
      </c>
      <c r="U278" s="319">
        <f t="shared" si="129"/>
        <v>1000000000</v>
      </c>
      <c r="V278" s="319">
        <f t="shared" si="130"/>
        <v>319926882.25</v>
      </c>
      <c r="X278" s="345">
        <f t="shared" si="124"/>
        <v>17.424348436402639</v>
      </c>
      <c r="Y278" s="346">
        <f t="shared" si="125"/>
        <v>-18.714402178410719</v>
      </c>
      <c r="AA278" s="345">
        <f t="shared" si="126"/>
        <v>28.531271615476626</v>
      </c>
      <c r="AB278" s="346">
        <f t="shared" si="127"/>
        <v>-63.409501853852142</v>
      </c>
      <c r="AD278">
        <f t="shared" si="131"/>
        <v>0</v>
      </c>
      <c r="AE278">
        <f t="shared" si="108"/>
        <v>0</v>
      </c>
    </row>
    <row r="279" spans="1:31" x14ac:dyDescent="0.2">
      <c r="A279" s="347">
        <v>17990</v>
      </c>
      <c r="B279" s="364">
        <f t="shared" si="128"/>
        <v>17.989999999999998</v>
      </c>
      <c r="C279" s="337">
        <f t="shared" si="109"/>
        <v>2.2310622199599619</v>
      </c>
      <c r="D279" s="338">
        <f t="shared" si="110"/>
        <v>1.1060265699579397</v>
      </c>
      <c r="E279" s="338">
        <f t="shared" si="111"/>
        <v>1.0000005644788201</v>
      </c>
      <c r="F279" s="339">
        <f t="shared" si="112"/>
        <v>1.0625239334936367E-3</v>
      </c>
      <c r="G279" s="338">
        <f t="shared" si="113"/>
        <v>1</v>
      </c>
      <c r="H279" s="339">
        <f t="shared" si="114"/>
        <v>0</v>
      </c>
      <c r="I279" s="337">
        <f t="shared" si="115"/>
        <v>34003.913128425156</v>
      </c>
      <c r="J279" s="340">
        <f t="shared" si="116"/>
        <v>1.5707669184148561</v>
      </c>
      <c r="K279" s="348">
        <f t="shared" ref="K279:K342" si="132">SQRT(1+(A279/Zero2)^2)</f>
        <v>3.2900997914509005</v>
      </c>
      <c r="L279" s="349">
        <f t="shared" ref="L279:L342" si="133">ATAN(A279/Zero2)</f>
        <v>1.2619684774826136</v>
      </c>
      <c r="M279" s="337">
        <f t="shared" si="117"/>
        <v>1.0001320209797313</v>
      </c>
      <c r="N279" s="340">
        <f t="shared" si="118"/>
        <v>1.6248474189996372E-2</v>
      </c>
      <c r="O279" s="341">
        <f t="shared" si="119"/>
        <v>0.9997147438751951</v>
      </c>
      <c r="P279" s="342">
        <f t="shared" si="120"/>
        <v>4.0736628852572716E-3</v>
      </c>
      <c r="Q279" s="343">
        <f t="shared" si="121"/>
        <v>9.9008061656392847</v>
      </c>
      <c r="R279" s="344">
        <f t="shared" si="122"/>
        <v>-82.16699651552517</v>
      </c>
      <c r="S279" s="346">
        <f t="shared" si="123"/>
        <v>97.83300348447483</v>
      </c>
      <c r="U279" s="319">
        <f t="shared" si="129"/>
        <v>1000000000</v>
      </c>
      <c r="V279" s="319">
        <f t="shared" si="130"/>
        <v>323640100</v>
      </c>
      <c r="X279" s="345">
        <f t="shared" si="124"/>
        <v>17.419681210037886</v>
      </c>
      <c r="Y279" s="346">
        <f t="shared" si="125"/>
        <v>-18.623816401532192</v>
      </c>
      <c r="AA279" s="345">
        <f t="shared" si="126"/>
        <v>28.491298919202865</v>
      </c>
      <c r="AB279" s="346">
        <f t="shared" si="127"/>
        <v>-63.54318011399301</v>
      </c>
      <c r="AD279">
        <f t="shared" si="131"/>
        <v>0</v>
      </c>
      <c r="AE279">
        <f t="shared" si="108"/>
        <v>0</v>
      </c>
    </row>
    <row r="280" spans="1:31" x14ac:dyDescent="0.2">
      <c r="A280" s="347">
        <v>18093.5</v>
      </c>
      <c r="B280" s="364">
        <f t="shared" si="128"/>
        <v>18.093499999999999</v>
      </c>
      <c r="C280" s="337">
        <f t="shared" si="109"/>
        <v>2.2413251788415862</v>
      </c>
      <c r="D280" s="338">
        <f t="shared" si="110"/>
        <v>1.1083211630291017</v>
      </c>
      <c r="E280" s="338">
        <f t="shared" si="111"/>
        <v>1.000000570992617</v>
      </c>
      <c r="F280" s="339">
        <f t="shared" si="112"/>
        <v>1.0686368375310148E-3</v>
      </c>
      <c r="G280" s="338">
        <f t="shared" si="113"/>
        <v>1</v>
      </c>
      <c r="H280" s="339">
        <f t="shared" si="114"/>
        <v>0</v>
      </c>
      <c r="I280" s="337">
        <f t="shared" si="115"/>
        <v>34199.544312736267</v>
      </c>
      <c r="J280" s="340">
        <f t="shared" si="116"/>
        <v>1.5707670866392092</v>
      </c>
      <c r="K280" s="348">
        <f t="shared" si="132"/>
        <v>3.3072842840386842</v>
      </c>
      <c r="L280" s="349">
        <f t="shared" si="133"/>
        <v>1.2636257338191677</v>
      </c>
      <c r="M280" s="337">
        <f t="shared" si="117"/>
        <v>1.000133544333021</v>
      </c>
      <c r="N280" s="340">
        <f t="shared" si="118"/>
        <v>1.6341938255532866E-2</v>
      </c>
      <c r="O280" s="341">
        <f t="shared" si="119"/>
        <v>0.99971145219253799</v>
      </c>
      <c r="P280" s="342">
        <f t="shared" si="120"/>
        <v>4.097113088253587E-3</v>
      </c>
      <c r="Q280" s="343">
        <f t="shared" si="121"/>
        <v>9.8563785351709488</v>
      </c>
      <c r="R280" s="344">
        <f t="shared" si="122"/>
        <v>-82.209871309691209</v>
      </c>
      <c r="S280" s="346">
        <f t="shared" si="123"/>
        <v>97.790128690308791</v>
      </c>
      <c r="U280" s="319">
        <f t="shared" si="129"/>
        <v>1000000000</v>
      </c>
      <c r="V280" s="319">
        <f t="shared" si="130"/>
        <v>327374742.25</v>
      </c>
      <c r="X280" s="345">
        <f t="shared" si="124"/>
        <v>17.415088681684544</v>
      </c>
      <c r="Y280" s="346">
        <f t="shared" si="125"/>
        <v>-18.534227342810777</v>
      </c>
      <c r="AA280" s="345">
        <f t="shared" si="126"/>
        <v>28.451463817087873</v>
      </c>
      <c r="AB280" s="346">
        <f t="shared" si="127"/>
        <v>-63.675643966880415</v>
      </c>
      <c r="AD280">
        <f t="shared" si="131"/>
        <v>0</v>
      </c>
      <c r="AE280">
        <f t="shared" si="108"/>
        <v>0</v>
      </c>
    </row>
    <row r="281" spans="1:31" x14ac:dyDescent="0.2">
      <c r="A281" s="347">
        <v>18197</v>
      </c>
      <c r="B281" s="364">
        <f t="shared" si="128"/>
        <v>18.196999999999999</v>
      </c>
      <c r="C281" s="337">
        <f t="shared" si="109"/>
        <v>2.2515998310378991</v>
      </c>
      <c r="D281" s="338">
        <f t="shared" si="110"/>
        <v>1.1105948262969265</v>
      </c>
      <c r="E281" s="338">
        <f t="shared" si="111"/>
        <v>1.0000005775437812</v>
      </c>
      <c r="F281" s="339">
        <f t="shared" si="112"/>
        <v>1.0747497414885282E-3</v>
      </c>
      <c r="G281" s="338">
        <f t="shared" si="113"/>
        <v>1</v>
      </c>
      <c r="H281" s="339">
        <f t="shared" si="114"/>
        <v>0</v>
      </c>
      <c r="I281" s="337">
        <f t="shared" si="115"/>
        <v>34395.175497048338</v>
      </c>
      <c r="J281" s="340">
        <f t="shared" si="116"/>
        <v>1.5707672529499259</v>
      </c>
      <c r="K281" s="348">
        <f t="shared" si="132"/>
        <v>3.3244777661573615</v>
      </c>
      <c r="L281" s="349">
        <f t="shared" si="133"/>
        <v>1.2652658526767611</v>
      </c>
      <c r="M281" s="337">
        <f t="shared" si="117"/>
        <v>1.0001350764229826</v>
      </c>
      <c r="N281" s="340">
        <f t="shared" si="118"/>
        <v>1.6435402035533783E-2</v>
      </c>
      <c r="O281" s="341">
        <f t="shared" si="119"/>
        <v>0.9997081416271496</v>
      </c>
      <c r="P281" s="342">
        <f t="shared" si="120"/>
        <v>4.1205635257599597E-3</v>
      </c>
      <c r="Q281" s="343">
        <f t="shared" si="121"/>
        <v>9.8121612074692592</v>
      </c>
      <c r="R281" s="344">
        <f t="shared" si="122"/>
        <v>-82.252528707113399</v>
      </c>
      <c r="S281" s="346">
        <f t="shared" si="123"/>
        <v>97.747471292886601</v>
      </c>
      <c r="U281" s="319">
        <f t="shared" si="129"/>
        <v>1000000000</v>
      </c>
      <c r="V281" s="319">
        <f t="shared" si="130"/>
        <v>331130809</v>
      </c>
      <c r="X281" s="345">
        <f t="shared" si="124"/>
        <v>17.410569281881497</v>
      </c>
      <c r="Y281" s="346">
        <f t="shared" si="125"/>
        <v>-18.44562006330316</v>
      </c>
      <c r="AA281" s="345">
        <f t="shared" si="126"/>
        <v>28.41176588918923</v>
      </c>
      <c r="AB281" s="346">
        <f t="shared" si="127"/>
        <v>-63.80690864381021</v>
      </c>
      <c r="AD281">
        <f t="shared" si="131"/>
        <v>0</v>
      </c>
      <c r="AE281">
        <f t="shared" si="108"/>
        <v>0</v>
      </c>
    </row>
    <row r="282" spans="1:31" x14ac:dyDescent="0.2">
      <c r="A282" s="347">
        <v>18303</v>
      </c>
      <c r="B282" s="364">
        <f t="shared" si="128"/>
        <v>18.303000000000001</v>
      </c>
      <c r="C282" s="337">
        <f t="shared" si="109"/>
        <v>2.262134617151673</v>
      </c>
      <c r="D282" s="338">
        <f t="shared" si="110"/>
        <v>1.1129019883305902</v>
      </c>
      <c r="E282" s="338">
        <f t="shared" si="111"/>
        <v>1.0000005842919188</v>
      </c>
      <c r="F282" s="339">
        <f t="shared" si="112"/>
        <v>1.0810103000477467E-3</v>
      </c>
      <c r="G282" s="338">
        <f t="shared" si="113"/>
        <v>1</v>
      </c>
      <c r="H282" s="339">
        <f t="shared" si="114"/>
        <v>0</v>
      </c>
      <c r="I282" s="337">
        <f t="shared" si="115"/>
        <v>34595.532072286798</v>
      </c>
      <c r="J282" s="340">
        <f t="shared" si="116"/>
        <v>1.5707674213282008</v>
      </c>
      <c r="K282" s="348">
        <f t="shared" si="132"/>
        <v>3.3420957226713437</v>
      </c>
      <c r="L282" s="349">
        <f t="shared" si="133"/>
        <v>1.2669280917444674</v>
      </c>
      <c r="M282" s="337">
        <f t="shared" si="117"/>
        <v>1.000136654575672</v>
      </c>
      <c r="N282" s="340">
        <f t="shared" si="118"/>
        <v>1.653112309709261E-2</v>
      </c>
      <c r="O282" s="341">
        <f t="shared" si="119"/>
        <v>0.99970473152402894</v>
      </c>
      <c r="P282" s="342">
        <f t="shared" si="120"/>
        <v>4.1445806434344482E-3</v>
      </c>
      <c r="Q282" s="343">
        <f t="shared" si="121"/>
        <v>9.7670917655357528</v>
      </c>
      <c r="R282" s="344">
        <f t="shared" si="122"/>
        <v>-82.295991507321759</v>
      </c>
      <c r="S282" s="346">
        <f t="shared" si="123"/>
        <v>97.704008492678241</v>
      </c>
      <c r="U282" s="319">
        <f t="shared" si="129"/>
        <v>1000000000</v>
      </c>
      <c r="V282" s="319">
        <f t="shared" si="130"/>
        <v>334999809</v>
      </c>
      <c r="X282" s="345">
        <f t="shared" si="124"/>
        <v>17.406014919832316</v>
      </c>
      <c r="Y282" s="346">
        <f t="shared" si="125"/>
        <v>-18.355874840281622</v>
      </c>
      <c r="AA282" s="345">
        <f t="shared" si="126"/>
        <v>28.371250809304907</v>
      </c>
      <c r="AB282" s="346">
        <f t="shared" si="127"/>
        <v>-63.940116667040137</v>
      </c>
      <c r="AD282">
        <f t="shared" si="131"/>
        <v>0</v>
      </c>
      <c r="AE282">
        <f t="shared" ref="AE282:AE345" si="134">IF(AD282&gt;0,S282,0)</f>
        <v>0</v>
      </c>
    </row>
    <row r="283" spans="1:31" x14ac:dyDescent="0.2">
      <c r="A283" s="347">
        <v>18409</v>
      </c>
      <c r="B283" s="364">
        <f t="shared" si="128"/>
        <v>18.408999999999999</v>
      </c>
      <c r="C283" s="337">
        <f t="shared" si="109"/>
        <v>2.2726813329304481</v>
      </c>
      <c r="D283" s="338">
        <f t="shared" si="110"/>
        <v>1.115187748980268</v>
      </c>
      <c r="E283" s="338">
        <f t="shared" si="111"/>
        <v>1.0000005910792511</v>
      </c>
      <c r="F283" s="339">
        <f t="shared" si="112"/>
        <v>1.0872708585222253E-3</v>
      </c>
      <c r="G283" s="338">
        <f t="shared" si="113"/>
        <v>1</v>
      </c>
      <c r="H283" s="339">
        <f t="shared" si="114"/>
        <v>0</v>
      </c>
      <c r="I283" s="337">
        <f t="shared" si="115"/>
        <v>34795.888647526226</v>
      </c>
      <c r="J283" s="340">
        <f t="shared" si="116"/>
        <v>1.5707675877674137</v>
      </c>
      <c r="K283" s="348">
        <f t="shared" si="132"/>
        <v>3.3597228166630213</v>
      </c>
      <c r="L283" s="349">
        <f t="shared" si="133"/>
        <v>1.2685728931376383</v>
      </c>
      <c r="M283" s="337">
        <f t="shared" si="117"/>
        <v>1.0001382418921061</v>
      </c>
      <c r="N283" s="340">
        <f t="shared" si="118"/>
        <v>1.6626843855691253E-2</v>
      </c>
      <c r="O283" s="341">
        <f t="shared" si="119"/>
        <v>0.9997013016149745</v>
      </c>
      <c r="P283" s="342">
        <f t="shared" si="120"/>
        <v>4.1685980099384163E-3</v>
      </c>
      <c r="Q283" s="343">
        <f t="shared" si="121"/>
        <v>9.7222387820805007</v>
      </c>
      <c r="R283" s="344">
        <f t="shared" si="122"/>
        <v>-82.339227089510501</v>
      </c>
      <c r="S283" s="346">
        <f t="shared" si="123"/>
        <v>97.660772910489499</v>
      </c>
      <c r="U283" s="319">
        <f t="shared" si="129"/>
        <v>1000000000</v>
      </c>
      <c r="V283" s="319">
        <f t="shared" si="130"/>
        <v>338891281</v>
      </c>
      <c r="X283" s="345">
        <f t="shared" si="124"/>
        <v>17.401534057999413</v>
      </c>
      <c r="Y283" s="346">
        <f t="shared" si="125"/>
        <v>-18.267128593958226</v>
      </c>
      <c r="AA283" s="345">
        <f t="shared" si="126"/>
        <v>28.33087868768256</v>
      </c>
      <c r="AB283" s="346">
        <f t="shared" si="127"/>
        <v>-64.072098495552297</v>
      </c>
      <c r="AD283">
        <f t="shared" si="131"/>
        <v>0</v>
      </c>
      <c r="AE283">
        <f t="shared" si="134"/>
        <v>0</v>
      </c>
    </row>
    <row r="284" spans="1:31" x14ac:dyDescent="0.2">
      <c r="A284" s="347">
        <v>18515</v>
      </c>
      <c r="B284" s="364">
        <f t="shared" si="128"/>
        <v>18.515000000000001</v>
      </c>
      <c r="C284" s="337">
        <f t="shared" si="109"/>
        <v>2.2832398130581057</v>
      </c>
      <c r="D284" s="338">
        <f t="shared" si="110"/>
        <v>1.1174523810963222</v>
      </c>
      <c r="E284" s="338">
        <f t="shared" si="111"/>
        <v>1.0000005979057778</v>
      </c>
      <c r="F284" s="339">
        <f t="shared" si="112"/>
        <v>1.0935314169114739E-3</v>
      </c>
      <c r="G284" s="338">
        <f t="shared" si="113"/>
        <v>1</v>
      </c>
      <c r="H284" s="339">
        <f t="shared" si="114"/>
        <v>0</v>
      </c>
      <c r="I284" s="337">
        <f t="shared" si="115"/>
        <v>34996.245222766607</v>
      </c>
      <c r="J284" s="340">
        <f t="shared" si="116"/>
        <v>1.5707677523008681</v>
      </c>
      <c r="K284" s="348">
        <f t="shared" si="132"/>
        <v>3.3773589050615689</v>
      </c>
      <c r="L284" s="349">
        <f t="shared" si="133"/>
        <v>1.2702005210575003</v>
      </c>
      <c r="M284" s="337">
        <f t="shared" si="117"/>
        <v>1.0001398383722415</v>
      </c>
      <c r="N284" s="340">
        <f t="shared" si="118"/>
        <v>1.6722564309577085E-2</v>
      </c>
      <c r="O284" s="341">
        <f t="shared" si="119"/>
        <v>0.99969785189999816</v>
      </c>
      <c r="P284" s="342">
        <f t="shared" si="120"/>
        <v>4.1926156267157689E-3</v>
      </c>
      <c r="Q284" s="343">
        <f t="shared" si="121"/>
        <v>9.677600217063322</v>
      </c>
      <c r="R284" s="344">
        <f t="shared" si="122"/>
        <v>-82.382235951129061</v>
      </c>
      <c r="S284" s="346">
        <f t="shared" si="123"/>
        <v>97.617764048870939</v>
      </c>
      <c r="U284" s="319">
        <f t="shared" si="129"/>
        <v>1000000000</v>
      </c>
      <c r="V284" s="319">
        <f t="shared" si="130"/>
        <v>342805225</v>
      </c>
      <c r="X284" s="345">
        <f t="shared" si="124"/>
        <v>17.397125138031488</v>
      </c>
      <c r="Y284" s="346">
        <f t="shared" si="125"/>
        <v>-18.17936618852546</v>
      </c>
      <c r="AA284" s="345">
        <f t="shared" si="126"/>
        <v>28.290649042633298</v>
      </c>
      <c r="AB284" s="346">
        <f t="shared" si="127"/>
        <v>-64.202869762603612</v>
      </c>
      <c r="AD284">
        <f t="shared" si="131"/>
        <v>0</v>
      </c>
      <c r="AE284">
        <f t="shared" si="134"/>
        <v>0</v>
      </c>
    </row>
    <row r="285" spans="1:31" x14ac:dyDescent="0.2">
      <c r="A285" s="347">
        <v>18621</v>
      </c>
      <c r="B285" s="364">
        <f t="shared" si="128"/>
        <v>18.620999999999999</v>
      </c>
      <c r="C285" s="337">
        <f t="shared" si="109"/>
        <v>2.2938098950796313</v>
      </c>
      <c r="D285" s="338">
        <f t="shared" si="110"/>
        <v>1.119696153375132</v>
      </c>
      <c r="E285" s="338">
        <f t="shared" si="111"/>
        <v>1.0000006047714991</v>
      </c>
      <c r="F285" s="339">
        <f t="shared" si="112"/>
        <v>1.0997919752150013E-3</v>
      </c>
      <c r="G285" s="338">
        <f t="shared" si="113"/>
        <v>1</v>
      </c>
      <c r="H285" s="339">
        <f t="shared" si="114"/>
        <v>0</v>
      </c>
      <c r="I285" s="337">
        <f t="shared" si="115"/>
        <v>35196.60179800792</v>
      </c>
      <c r="J285" s="340">
        <f t="shared" si="116"/>
        <v>1.57076791496111</v>
      </c>
      <c r="K285" s="348">
        <f t="shared" si="132"/>
        <v>3.3950038476967626</v>
      </c>
      <c r="L285" s="349">
        <f t="shared" si="133"/>
        <v>1.271811234580899</v>
      </c>
      <c r="M285" s="337">
        <f t="shared" si="117"/>
        <v>1.0001414440160341</v>
      </c>
      <c r="N285" s="340">
        <f t="shared" si="118"/>
        <v>1.6818284456997505E-2</v>
      </c>
      <c r="O285" s="341">
        <f t="shared" si="119"/>
        <v>0.99969438237911223</v>
      </c>
      <c r="P285" s="342">
        <f t="shared" si="120"/>
        <v>4.2166334952104621E-3</v>
      </c>
      <c r="Q285" s="343">
        <f t="shared" si="121"/>
        <v>9.6331740616128414</v>
      </c>
      <c r="R285" s="344">
        <f t="shared" si="122"/>
        <v>-82.425018645183172</v>
      </c>
      <c r="S285" s="346">
        <f t="shared" si="123"/>
        <v>97.574981354816828</v>
      </c>
      <c r="U285" s="319">
        <f t="shared" si="129"/>
        <v>1000000000</v>
      </c>
      <c r="V285" s="319">
        <f t="shared" si="130"/>
        <v>346741641</v>
      </c>
      <c r="X285" s="345">
        <f t="shared" si="124"/>
        <v>17.392786642024753</v>
      </c>
      <c r="Y285" s="346">
        <f t="shared" si="125"/>
        <v>-18.092572781737804</v>
      </c>
      <c r="AA285" s="345">
        <f t="shared" si="126"/>
        <v>28.250561383189559</v>
      </c>
      <c r="AB285" s="346">
        <f t="shared" si="127"/>
        <v>-64.332445863445386</v>
      </c>
      <c r="AD285">
        <f t="shared" si="131"/>
        <v>0</v>
      </c>
      <c r="AE285">
        <f t="shared" si="134"/>
        <v>0</v>
      </c>
    </row>
    <row r="286" spans="1:31" x14ac:dyDescent="0.2">
      <c r="A286" s="347">
        <v>18729.5</v>
      </c>
      <c r="B286" s="364">
        <f t="shared" si="128"/>
        <v>18.729500000000002</v>
      </c>
      <c r="C286" s="337">
        <f t="shared" si="109"/>
        <v>2.304641120426894</v>
      </c>
      <c r="D286" s="338">
        <f t="shared" si="110"/>
        <v>1.1219715173804141</v>
      </c>
      <c r="E286" s="338">
        <f t="shared" si="111"/>
        <v>1.00000061183974</v>
      </c>
      <c r="F286" s="339">
        <f t="shared" si="112"/>
        <v>1.1062001881062089E-3</v>
      </c>
      <c r="G286" s="338">
        <f t="shared" si="113"/>
        <v>1</v>
      </c>
      <c r="H286" s="339">
        <f t="shared" si="114"/>
        <v>0</v>
      </c>
      <c r="I286" s="337">
        <f t="shared" si="115"/>
        <v>35401.683764175701</v>
      </c>
      <c r="J286" s="340">
        <f t="shared" si="116"/>
        <v>1.5707680795508729</v>
      </c>
      <c r="K286" s="348">
        <f t="shared" si="132"/>
        <v>3.4130739712390947</v>
      </c>
      <c r="L286" s="349">
        <f t="shared" si="133"/>
        <v>1.2734426843119384</v>
      </c>
      <c r="M286" s="337">
        <f t="shared" si="117"/>
        <v>1.0001430970191301</v>
      </c>
      <c r="N286" s="340">
        <f t="shared" si="118"/>
        <v>1.6916261835842734E-2</v>
      </c>
      <c r="O286" s="341">
        <f t="shared" si="119"/>
        <v>0.99969081051781727</v>
      </c>
      <c r="P286" s="342">
        <f t="shared" si="120"/>
        <v>4.2412180850674554E-3</v>
      </c>
      <c r="Q286" s="343">
        <f t="shared" si="121"/>
        <v>9.587918037696193</v>
      </c>
      <c r="R286" s="344">
        <f t="shared" si="122"/>
        <v>-82.468576765796627</v>
      </c>
      <c r="S286" s="346">
        <f t="shared" si="123"/>
        <v>97.531423234203373</v>
      </c>
      <c r="U286" s="319">
        <f t="shared" si="129"/>
        <v>1000000000</v>
      </c>
      <c r="V286" s="319">
        <f t="shared" si="130"/>
        <v>350794170.25</v>
      </c>
      <c r="X286" s="345">
        <f t="shared" si="124"/>
        <v>17.38841721474143</v>
      </c>
      <c r="Y286" s="346">
        <f t="shared" si="125"/>
        <v>-18.004720718155454</v>
      </c>
      <c r="AA286" s="345">
        <f t="shared" si="126"/>
        <v>28.209674786556228</v>
      </c>
      <c r="AB286" s="346">
        <f t="shared" si="127"/>
        <v>-64.463856047641173</v>
      </c>
      <c r="AD286">
        <f t="shared" si="131"/>
        <v>0</v>
      </c>
      <c r="AE286">
        <f t="shared" si="134"/>
        <v>0</v>
      </c>
    </row>
    <row r="287" spans="1:31" x14ac:dyDescent="0.2">
      <c r="A287" s="347">
        <v>18838</v>
      </c>
      <c r="B287" s="364">
        <f t="shared" si="128"/>
        <v>18.838000000000001</v>
      </c>
      <c r="C287" s="337">
        <f t="shared" si="109"/>
        <v>2.3154841658864145</v>
      </c>
      <c r="D287" s="338">
        <f t="shared" si="110"/>
        <v>1.1242255826265517</v>
      </c>
      <c r="E287" s="338">
        <f t="shared" si="111"/>
        <v>1.000000618949046</v>
      </c>
      <c r="F287" s="339">
        <f t="shared" si="112"/>
        <v>1.112608400906564E-3</v>
      </c>
      <c r="G287" s="338">
        <f t="shared" si="113"/>
        <v>1</v>
      </c>
      <c r="H287" s="339">
        <f t="shared" si="114"/>
        <v>0</v>
      </c>
      <c r="I287" s="337">
        <f t="shared" si="115"/>
        <v>35606.765730344421</v>
      </c>
      <c r="J287" s="340">
        <f t="shared" si="116"/>
        <v>1.570768242244682</v>
      </c>
      <c r="K287" s="348">
        <f t="shared" si="132"/>
        <v>3.4311530834163682</v>
      </c>
      <c r="L287" s="349">
        <f t="shared" si="133"/>
        <v>1.2750569457360275</v>
      </c>
      <c r="M287" s="337">
        <f t="shared" si="117"/>
        <v>1.0001447596231345</v>
      </c>
      <c r="N287" s="340">
        <f t="shared" si="118"/>
        <v>1.7014238889880486E-2</v>
      </c>
      <c r="O287" s="341">
        <f t="shared" si="119"/>
        <v>0.99968721790538073</v>
      </c>
      <c r="P287" s="342">
        <f t="shared" si="120"/>
        <v>4.2658029417168416E-3</v>
      </c>
      <c r="Q287" s="343">
        <f t="shared" si="121"/>
        <v>9.5428803985399249</v>
      </c>
      <c r="R287" s="344">
        <f t="shared" si="122"/>
        <v>-82.511899262898211</v>
      </c>
      <c r="S287" s="346">
        <f t="shared" si="123"/>
        <v>97.488100737101789</v>
      </c>
      <c r="U287" s="319">
        <f t="shared" si="129"/>
        <v>1000000000</v>
      </c>
      <c r="V287" s="319">
        <f t="shared" si="130"/>
        <v>354870244</v>
      </c>
      <c r="X287" s="345">
        <f t="shared" si="124"/>
        <v>17.384118478809569</v>
      </c>
      <c r="Y287" s="346">
        <f t="shared" si="125"/>
        <v>-17.917853344779214</v>
      </c>
      <c r="AA287" s="345">
        <f t="shared" si="126"/>
        <v>28.168935883331827</v>
      </c>
      <c r="AB287" s="346">
        <f t="shared" si="127"/>
        <v>-64.594045918118994</v>
      </c>
      <c r="AD287">
        <f t="shared" si="131"/>
        <v>0</v>
      </c>
      <c r="AE287">
        <f t="shared" si="134"/>
        <v>0</v>
      </c>
    </row>
    <row r="288" spans="1:31" x14ac:dyDescent="0.2">
      <c r="A288" s="347">
        <v>18946.5</v>
      </c>
      <c r="B288" s="364">
        <f t="shared" si="128"/>
        <v>18.9465</v>
      </c>
      <c r="C288" s="337">
        <f t="shared" si="109"/>
        <v>2.3263388661778737</v>
      </c>
      <c r="D288" s="338">
        <f t="shared" si="110"/>
        <v>1.1264586241873595</v>
      </c>
      <c r="E288" s="338">
        <f t="shared" si="111"/>
        <v>1.0000006260994174</v>
      </c>
      <c r="F288" s="339">
        <f t="shared" si="112"/>
        <v>1.1190166136155399E-3</v>
      </c>
      <c r="G288" s="338">
        <f t="shared" si="113"/>
        <v>1</v>
      </c>
      <c r="H288" s="339">
        <f t="shared" si="114"/>
        <v>0</v>
      </c>
      <c r="I288" s="337">
        <f t="shared" si="115"/>
        <v>35811.847696514065</v>
      </c>
      <c r="J288" s="340">
        <f t="shared" si="116"/>
        <v>1.5707684030751097</v>
      </c>
      <c r="K288" s="348">
        <f t="shared" si="132"/>
        <v>3.4492410428874574</v>
      </c>
      <c r="L288" s="349">
        <f t="shared" si="133"/>
        <v>1.2766542807818853</v>
      </c>
      <c r="M288" s="337">
        <f t="shared" si="117"/>
        <v>1.0001464318279998</v>
      </c>
      <c r="N288" s="340">
        <f t="shared" si="118"/>
        <v>1.7112215617231329E-2</v>
      </c>
      <c r="O288" s="341">
        <f t="shared" si="119"/>
        <v>0.9996836045418156</v>
      </c>
      <c r="P288" s="342">
        <f t="shared" si="120"/>
        <v>4.2903880667073324E-3</v>
      </c>
      <c r="Q288" s="343">
        <f t="shared" si="121"/>
        <v>9.4980590864434848</v>
      </c>
      <c r="R288" s="344">
        <f t="shared" si="122"/>
        <v>-82.554986891493797</v>
      </c>
      <c r="S288" s="346">
        <f t="shared" si="123"/>
        <v>97.445013108506203</v>
      </c>
      <c r="U288" s="319">
        <f t="shared" si="129"/>
        <v>1000000000</v>
      </c>
      <c r="V288" s="319">
        <f t="shared" si="130"/>
        <v>358969862.25</v>
      </c>
      <c r="X288" s="345">
        <f t="shared" si="124"/>
        <v>17.379888930110482</v>
      </c>
      <c r="Y288" s="346">
        <f t="shared" si="125"/>
        <v>-17.831955655957511</v>
      </c>
      <c r="AA288" s="345">
        <f t="shared" si="126"/>
        <v>28.128344119934468</v>
      </c>
      <c r="AB288" s="346">
        <f t="shared" si="127"/>
        <v>-64.723031235536297</v>
      </c>
      <c r="AD288">
        <f t="shared" si="131"/>
        <v>0</v>
      </c>
      <c r="AE288">
        <f t="shared" si="134"/>
        <v>0</v>
      </c>
    </row>
    <row r="289" spans="1:31" x14ac:dyDescent="0.2">
      <c r="A289" s="347">
        <v>19055</v>
      </c>
      <c r="B289" s="364">
        <f t="shared" si="128"/>
        <v>19.055</v>
      </c>
      <c r="C289" s="337">
        <f t="shared" si="109"/>
        <v>2.3372050589153877</v>
      </c>
      <c r="D289" s="338">
        <f t="shared" si="110"/>
        <v>1.1286709128680608</v>
      </c>
      <c r="E289" s="338">
        <f t="shared" si="111"/>
        <v>1.000000633290854</v>
      </c>
      <c r="F289" s="339">
        <f t="shared" si="112"/>
        <v>1.1254248262326106E-3</v>
      </c>
      <c r="G289" s="338">
        <f t="shared" si="113"/>
        <v>1</v>
      </c>
      <c r="H289" s="339">
        <f t="shared" si="114"/>
        <v>0</v>
      </c>
      <c r="I289" s="337">
        <f t="shared" si="115"/>
        <v>36016.929662684641</v>
      </c>
      <c r="J289" s="340">
        <f t="shared" si="116"/>
        <v>1.5707685620739864</v>
      </c>
      <c r="K289" s="348">
        <f t="shared" si="132"/>
        <v>3.4673377111921075</v>
      </c>
      <c r="L289" s="349">
        <f t="shared" si="133"/>
        <v>1.2782349462595406</v>
      </c>
      <c r="M289" s="337">
        <f t="shared" si="117"/>
        <v>1.0001481136336776</v>
      </c>
      <c r="N289" s="340">
        <f t="shared" si="118"/>
        <v>1.7210192016015858E-2</v>
      </c>
      <c r="O289" s="341">
        <f t="shared" si="119"/>
        <v>0.99967997042713508</v>
      </c>
      <c r="P289" s="342">
        <f t="shared" si="120"/>
        <v>4.314973461587694E-3</v>
      </c>
      <c r="Q289" s="343">
        <f t="shared" si="121"/>
        <v>9.4534520747855257</v>
      </c>
      <c r="R289" s="344">
        <f t="shared" si="122"/>
        <v>-82.597840455253788</v>
      </c>
      <c r="S289" s="346">
        <f t="shared" si="123"/>
        <v>97.402159544746212</v>
      </c>
      <c r="U289" s="319">
        <f t="shared" si="129"/>
        <v>1000000000</v>
      </c>
      <c r="V289" s="319">
        <f t="shared" si="130"/>
        <v>363093025</v>
      </c>
      <c r="X289" s="345">
        <f t="shared" si="124"/>
        <v>17.375727103722916</v>
      </c>
      <c r="Y289" s="346">
        <f t="shared" si="125"/>
        <v>-17.747012939275596</v>
      </c>
      <c r="AA289" s="345">
        <f t="shared" si="126"/>
        <v>28.087898934664079</v>
      </c>
      <c r="AB289" s="346">
        <f t="shared" si="127"/>
        <v>-64.850827515978182</v>
      </c>
      <c r="AD289">
        <f t="shared" si="131"/>
        <v>0</v>
      </c>
      <c r="AE289">
        <f t="shared" si="134"/>
        <v>0</v>
      </c>
    </row>
    <row r="290" spans="1:31" x14ac:dyDescent="0.2">
      <c r="A290" s="347">
        <v>19165.75</v>
      </c>
      <c r="B290" s="364">
        <f t="shared" si="128"/>
        <v>19.165749999999999</v>
      </c>
      <c r="C290" s="337">
        <f t="shared" si="109"/>
        <v>2.3483082741780255</v>
      </c>
      <c r="D290" s="338">
        <f t="shared" si="110"/>
        <v>1.1309079524581951</v>
      </c>
      <c r="E290" s="338">
        <f t="shared" si="111"/>
        <v>1.0000006406737731</v>
      </c>
      <c r="F290" s="339">
        <f t="shared" si="112"/>
        <v>1.1319659279560874E-3</v>
      </c>
      <c r="G290" s="338">
        <f t="shared" si="113"/>
        <v>1</v>
      </c>
      <c r="H290" s="339">
        <f t="shared" si="114"/>
        <v>0</v>
      </c>
      <c r="I290" s="337">
        <f t="shared" si="115"/>
        <v>36226.264480689169</v>
      </c>
      <c r="J290" s="340">
        <f t="shared" si="116"/>
        <v>1.5707687225134599</v>
      </c>
      <c r="K290" s="348">
        <f t="shared" si="132"/>
        <v>3.4858184967798489</v>
      </c>
      <c r="L290" s="349">
        <f t="shared" si="133"/>
        <v>1.2798314603052536</v>
      </c>
      <c r="M290" s="337">
        <f t="shared" si="117"/>
        <v>1.0001498402169795</v>
      </c>
      <c r="N290" s="340">
        <f t="shared" si="118"/>
        <v>1.7310199842629808E-2</v>
      </c>
      <c r="O290" s="341">
        <f t="shared" si="119"/>
        <v>0.99967623954958229</v>
      </c>
      <c r="P290" s="342">
        <f t="shared" si="120"/>
        <v>4.3400689717972276E-3</v>
      </c>
      <c r="Q290" s="343">
        <f t="shared" si="121"/>
        <v>9.4081389726114057</v>
      </c>
      <c r="R290" s="344">
        <f t="shared" si="122"/>
        <v>-82.64134217385471</v>
      </c>
      <c r="S290" s="346">
        <f t="shared" si="123"/>
        <v>97.35865782614529</v>
      </c>
      <c r="U290" s="319">
        <f t="shared" si="129"/>
        <v>1000000000</v>
      </c>
      <c r="V290" s="319">
        <f t="shared" si="130"/>
        <v>367325973.0625</v>
      </c>
      <c r="X290" s="345">
        <f t="shared" si="124"/>
        <v>17.371547334030335</v>
      </c>
      <c r="Y290" s="346">
        <f t="shared" si="125"/>
        <v>-17.661278641312862</v>
      </c>
      <c r="AA290" s="345">
        <f t="shared" si="126"/>
        <v>28.046765602182539</v>
      </c>
      <c r="AB290" s="346">
        <f t="shared" si="127"/>
        <v>-64.980063532541848</v>
      </c>
      <c r="AD290">
        <f t="shared" si="131"/>
        <v>0</v>
      </c>
      <c r="AE290">
        <f t="shared" si="134"/>
        <v>0</v>
      </c>
    </row>
    <row r="291" spans="1:31" x14ac:dyDescent="0.2">
      <c r="A291" s="347">
        <v>19276.5</v>
      </c>
      <c r="B291" s="364">
        <f t="shared" si="128"/>
        <v>19.276499999999999</v>
      </c>
      <c r="C291" s="337">
        <f t="shared" si="109"/>
        <v>2.3594231305488078</v>
      </c>
      <c r="D291" s="338">
        <f t="shared" si="110"/>
        <v>1.1331239263958994</v>
      </c>
      <c r="E291" s="338">
        <f t="shared" si="111"/>
        <v>1.0000006480994783</v>
      </c>
      <c r="F291" s="339">
        <f t="shared" si="112"/>
        <v>1.1385070295826995E-3</v>
      </c>
      <c r="G291" s="338">
        <f t="shared" si="113"/>
        <v>1</v>
      </c>
      <c r="H291" s="339">
        <f t="shared" si="114"/>
        <v>0</v>
      </c>
      <c r="I291" s="337">
        <f t="shared" si="115"/>
        <v>36435.599298694615</v>
      </c>
      <c r="J291" s="340">
        <f t="shared" si="116"/>
        <v>1.5707688811093754</v>
      </c>
      <c r="K291" s="348">
        <f t="shared" si="132"/>
        <v>3.5043080734949896</v>
      </c>
      <c r="L291" s="349">
        <f t="shared" si="133"/>
        <v>1.2814111311537333</v>
      </c>
      <c r="M291" s="337">
        <f t="shared" si="117"/>
        <v>1.0001515768033107</v>
      </c>
      <c r="N291" s="340">
        <f t="shared" si="118"/>
        <v>1.7410207322952183E-2</v>
      </c>
      <c r="O291" s="341">
        <f t="shared" si="119"/>
        <v>0.99967248705137335</v>
      </c>
      <c r="P291" s="342">
        <f t="shared" si="120"/>
        <v>4.365164766467259E-3</v>
      </c>
      <c r="Q291" s="343">
        <f t="shared" si="121"/>
        <v>9.363044980054239</v>
      </c>
      <c r="R291" s="344">
        <f t="shared" si="122"/>
        <v>-82.684601854428209</v>
      </c>
      <c r="S291" s="346">
        <f t="shared" si="123"/>
        <v>97.315398145571791</v>
      </c>
      <c r="U291" s="319">
        <f t="shared" si="129"/>
        <v>1000000000</v>
      </c>
      <c r="V291" s="319">
        <f t="shared" si="130"/>
        <v>371583452.25</v>
      </c>
      <c r="X291" s="345">
        <f t="shared" si="124"/>
        <v>17.367435159960078</v>
      </c>
      <c r="Y291" s="346">
        <f t="shared" si="125"/>
        <v>-17.576509261997092</v>
      </c>
      <c r="AA291" s="345">
        <f t="shared" si="126"/>
        <v>28.005783783695627</v>
      </c>
      <c r="AB291" s="346">
        <f t="shared" si="127"/>
        <v>-65.108092592431134</v>
      </c>
      <c r="AD291">
        <f t="shared" si="131"/>
        <v>0</v>
      </c>
      <c r="AE291">
        <f t="shared" si="134"/>
        <v>0</v>
      </c>
    </row>
    <row r="292" spans="1:31" x14ac:dyDescent="0.2">
      <c r="A292" s="347">
        <v>19387.25</v>
      </c>
      <c r="B292" s="364">
        <f t="shared" si="128"/>
        <v>19.387250000000002</v>
      </c>
      <c r="C292" s="337">
        <f t="shared" si="109"/>
        <v>2.3705494642818494</v>
      </c>
      <c r="D292" s="338">
        <f t="shared" si="110"/>
        <v>1.1353191093828567</v>
      </c>
      <c r="E292" s="338">
        <f t="shared" si="111"/>
        <v>1.0000006555679695</v>
      </c>
      <c r="F292" s="339">
        <f t="shared" si="112"/>
        <v>1.1450481311118873E-3</v>
      </c>
      <c r="G292" s="338">
        <f t="shared" si="113"/>
        <v>1</v>
      </c>
      <c r="H292" s="339">
        <f t="shared" si="114"/>
        <v>0</v>
      </c>
      <c r="I292" s="337">
        <f t="shared" si="115"/>
        <v>36644.93411670097</v>
      </c>
      <c r="J292" s="340">
        <f t="shared" si="116"/>
        <v>1.5707690378933272</v>
      </c>
      <c r="K292" s="348">
        <f t="shared" si="132"/>
        <v>3.5228063029158792</v>
      </c>
      <c r="L292" s="349">
        <f t="shared" si="133"/>
        <v>1.2829742161891093</v>
      </c>
      <c r="M292" s="337">
        <f t="shared" si="117"/>
        <v>1.0001533233926192</v>
      </c>
      <c r="N292" s="340">
        <f t="shared" si="118"/>
        <v>1.7510214454984342E-2</v>
      </c>
      <c r="O292" s="341">
        <f t="shared" si="119"/>
        <v>0.99966871293252269</v>
      </c>
      <c r="P292" s="342">
        <f t="shared" si="120"/>
        <v>4.390260847245097E-3</v>
      </c>
      <c r="Q292" s="343">
        <f t="shared" si="121"/>
        <v>9.3181680373484621</v>
      </c>
      <c r="R292" s="344">
        <f t="shared" si="122"/>
        <v>-82.727620490987107</v>
      </c>
      <c r="S292" s="346">
        <f t="shared" si="123"/>
        <v>97.272379509012893</v>
      </c>
      <c r="U292" s="319">
        <f t="shared" si="129"/>
        <v>1000000000</v>
      </c>
      <c r="V292" s="319">
        <f t="shared" si="130"/>
        <v>375865462.5625</v>
      </c>
      <c r="X292" s="345">
        <f t="shared" si="124"/>
        <v>17.363389142273913</v>
      </c>
      <c r="Y292" s="346">
        <f t="shared" si="125"/>
        <v>-17.492690055999589</v>
      </c>
      <c r="AA292" s="345">
        <f t="shared" si="126"/>
        <v>27.964952858676018</v>
      </c>
      <c r="AB292" s="346">
        <f t="shared" si="127"/>
        <v>-65.234930434987533</v>
      </c>
      <c r="AD292">
        <f t="shared" si="131"/>
        <v>0</v>
      </c>
      <c r="AE292">
        <f t="shared" si="134"/>
        <v>0</v>
      </c>
    </row>
    <row r="293" spans="1:31" x14ac:dyDescent="0.2">
      <c r="A293" s="347">
        <v>19498</v>
      </c>
      <c r="B293" s="364">
        <f t="shared" si="128"/>
        <v>19.498000000000001</v>
      </c>
      <c r="C293" s="337">
        <f t="shared" si="109"/>
        <v>2.3816871145235798</v>
      </c>
      <c r="D293" s="338">
        <f t="shared" si="110"/>
        <v>1.137493771791795</v>
      </c>
      <c r="E293" s="338">
        <f t="shared" si="111"/>
        <v>1.0000006630792466</v>
      </c>
      <c r="F293" s="339">
        <f t="shared" si="112"/>
        <v>1.1515892325430909E-3</v>
      </c>
      <c r="G293" s="338">
        <f t="shared" si="113"/>
        <v>1</v>
      </c>
      <c r="H293" s="339">
        <f t="shared" si="114"/>
        <v>0</v>
      </c>
      <c r="I293" s="337">
        <f t="shared" si="115"/>
        <v>36854.268934708212</v>
      </c>
      <c r="J293" s="340">
        <f t="shared" si="116"/>
        <v>1.5707691928961915</v>
      </c>
      <c r="K293" s="348">
        <f t="shared" si="132"/>
        <v>3.54131304944897</v>
      </c>
      <c r="L293" s="349">
        <f t="shared" si="133"/>
        <v>1.2845209677431717</v>
      </c>
      <c r="M293" s="337">
        <f t="shared" si="117"/>
        <v>1.0001550799848529</v>
      </c>
      <c r="N293" s="340">
        <f t="shared" si="118"/>
        <v>1.7610221236727674E-2</v>
      </c>
      <c r="O293" s="341">
        <f t="shared" si="119"/>
        <v>0.99966491719304484</v>
      </c>
      <c r="P293" s="342">
        <f t="shared" si="120"/>
        <v>4.415357215778115E-3</v>
      </c>
      <c r="Q293" s="343">
        <f t="shared" si="121"/>
        <v>9.2735061154376872</v>
      </c>
      <c r="R293" s="344">
        <f t="shared" si="122"/>
        <v>-82.770399118950039</v>
      </c>
      <c r="S293" s="346">
        <f t="shared" si="123"/>
        <v>97.229600881049961</v>
      </c>
      <c r="U293" s="319">
        <f t="shared" si="129"/>
        <v>1000000000</v>
      </c>
      <c r="V293" s="319">
        <f t="shared" si="130"/>
        <v>380172004</v>
      </c>
      <c r="X293" s="345">
        <f t="shared" si="124"/>
        <v>17.359407879283523</v>
      </c>
      <c r="Y293" s="346">
        <f t="shared" si="125"/>
        <v>-17.409806567428326</v>
      </c>
      <c r="AA293" s="345">
        <f t="shared" si="126"/>
        <v>27.924272199755631</v>
      </c>
      <c r="AB293" s="346">
        <f t="shared" si="127"/>
        <v>-65.360592551521719</v>
      </c>
      <c r="AD293">
        <f t="shared" si="131"/>
        <v>0</v>
      </c>
      <c r="AE293">
        <f t="shared" si="134"/>
        <v>0</v>
      </c>
    </row>
    <row r="294" spans="1:31" x14ac:dyDescent="0.2">
      <c r="A294" s="347">
        <v>19611.75</v>
      </c>
      <c r="B294" s="364">
        <f t="shared" si="128"/>
        <v>19.611750000000001</v>
      </c>
      <c r="C294" s="337">
        <f t="shared" si="109"/>
        <v>2.393138076345783</v>
      </c>
      <c r="D294" s="338">
        <f t="shared" si="110"/>
        <v>1.1397062591346858</v>
      </c>
      <c r="E294" s="338">
        <f t="shared" si="111"/>
        <v>1.0000006708385298</v>
      </c>
      <c r="F294" s="339">
        <f t="shared" si="112"/>
        <v>1.1583075194635209E-3</v>
      </c>
      <c r="G294" s="338">
        <f t="shared" si="113"/>
        <v>1</v>
      </c>
      <c r="H294" s="339">
        <f t="shared" si="114"/>
        <v>0</v>
      </c>
      <c r="I294" s="337">
        <f t="shared" si="115"/>
        <v>37069.274221827181</v>
      </c>
      <c r="J294" s="340">
        <f t="shared" si="116"/>
        <v>1.5707693502753635</v>
      </c>
      <c r="K294" s="348">
        <f t="shared" si="132"/>
        <v>3.5603298341941532</v>
      </c>
      <c r="L294" s="349">
        <f t="shared" si="133"/>
        <v>1.2860928744550162</v>
      </c>
      <c r="M294" s="337">
        <f t="shared" si="117"/>
        <v>1.0001568945726991</v>
      </c>
      <c r="N294" s="340">
        <f t="shared" si="118"/>
        <v>1.7712936639037294E-2</v>
      </c>
      <c r="O294" s="341">
        <f t="shared" si="119"/>
        <v>0.99966099612740422</v>
      </c>
      <c r="P294" s="342">
        <f t="shared" si="120"/>
        <v>4.4411336969316668E-3</v>
      </c>
      <c r="Q294" s="343">
        <f t="shared" si="121"/>
        <v>9.2278561266027967</v>
      </c>
      <c r="R294" s="344">
        <f t="shared" si="122"/>
        <v>-82.814087815897111</v>
      </c>
      <c r="S294" s="346">
        <f t="shared" si="123"/>
        <v>97.185912184102889</v>
      </c>
      <c r="U294" s="319">
        <f t="shared" si="129"/>
        <v>1000000000</v>
      </c>
      <c r="V294" s="319">
        <f t="shared" si="130"/>
        <v>384620738.0625</v>
      </c>
      <c r="X294" s="345">
        <f t="shared" si="124"/>
        <v>17.355384747418174</v>
      </c>
      <c r="Y294" s="346">
        <f t="shared" si="125"/>
        <v>-17.325637123160838</v>
      </c>
      <c r="AA294" s="345">
        <f t="shared" si="126"/>
        <v>27.882645342786088</v>
      </c>
      <c r="AB294" s="346">
        <f t="shared" si="127"/>
        <v>-65.488450692736279</v>
      </c>
      <c r="AD294">
        <f t="shared" si="131"/>
        <v>0</v>
      </c>
      <c r="AE294">
        <f t="shared" si="134"/>
        <v>0</v>
      </c>
    </row>
    <row r="295" spans="1:31" x14ac:dyDescent="0.2">
      <c r="A295" s="347">
        <v>19725.5</v>
      </c>
      <c r="B295" s="364">
        <f t="shared" si="128"/>
        <v>19.7255</v>
      </c>
      <c r="C295" s="337">
        <f t="shared" si="109"/>
        <v>2.4046006412126939</v>
      </c>
      <c r="D295" s="338">
        <f t="shared" si="110"/>
        <v>1.1418976635715614</v>
      </c>
      <c r="E295" s="338">
        <f t="shared" si="111"/>
        <v>1.0000006786429485</v>
      </c>
      <c r="F295" s="339">
        <f t="shared" si="112"/>
        <v>1.1650258062793899E-3</v>
      </c>
      <c r="G295" s="338">
        <f t="shared" si="113"/>
        <v>1</v>
      </c>
      <c r="H295" s="339">
        <f t="shared" si="114"/>
        <v>0</v>
      </c>
      <c r="I295" s="337">
        <f t="shared" si="115"/>
        <v>37284.279508947046</v>
      </c>
      <c r="J295" s="340">
        <f t="shared" si="116"/>
        <v>1.5707695058394353</v>
      </c>
      <c r="K295" s="348">
        <f t="shared" si="132"/>
        <v>3.5793553226353745</v>
      </c>
      <c r="L295" s="349">
        <f t="shared" si="133"/>
        <v>1.2876480745402099</v>
      </c>
      <c r="M295" s="337">
        <f t="shared" si="117"/>
        <v>1.0001587197126161</v>
      </c>
      <c r="N295" s="340">
        <f t="shared" si="118"/>
        <v>1.7815651667550138E-2</v>
      </c>
      <c r="O295" s="341">
        <f t="shared" si="119"/>
        <v>0.99965705225398249</v>
      </c>
      <c r="P295" s="342">
        <f t="shared" si="120"/>
        <v>4.4669104851639179E-3</v>
      </c>
      <c r="Q295" s="343">
        <f t="shared" si="121"/>
        <v>9.1824287229001413</v>
      </c>
      <c r="R295" s="344">
        <f t="shared" si="122"/>
        <v>-82.857525662692112</v>
      </c>
      <c r="S295" s="346">
        <f t="shared" si="123"/>
        <v>97.142474337307888</v>
      </c>
      <c r="U295" s="319">
        <f t="shared" si="129"/>
        <v>1000000000</v>
      </c>
      <c r="V295" s="319">
        <f t="shared" si="130"/>
        <v>389095350.25</v>
      </c>
      <c r="X295" s="345">
        <f t="shared" si="124"/>
        <v>17.351427045283561</v>
      </c>
      <c r="Y295" s="346">
        <f t="shared" si="125"/>
        <v>-17.24242477267687</v>
      </c>
      <c r="AA295" s="345">
        <f t="shared" si="126"/>
        <v>27.841175641218044</v>
      </c>
      <c r="AB295" s="346">
        <f t="shared" si="127"/>
        <v>-65.615100890015214</v>
      </c>
      <c r="AD295">
        <f t="shared" si="131"/>
        <v>0</v>
      </c>
      <c r="AE295">
        <f t="shared" si="134"/>
        <v>0</v>
      </c>
    </row>
    <row r="296" spans="1:31" x14ac:dyDescent="0.2">
      <c r="A296" s="347">
        <v>19839.25</v>
      </c>
      <c r="B296" s="364">
        <f t="shared" si="128"/>
        <v>19.83925</v>
      </c>
      <c r="C296" s="337">
        <f t="shared" si="109"/>
        <v>2.4160746439796026</v>
      </c>
      <c r="D296" s="338">
        <f t="shared" si="110"/>
        <v>1.1440682642739493</v>
      </c>
      <c r="E296" s="338">
        <f t="shared" si="111"/>
        <v>1.0000006864925024</v>
      </c>
      <c r="F296" s="339">
        <f t="shared" si="112"/>
        <v>1.1717440929900908E-3</v>
      </c>
      <c r="G296" s="338">
        <f t="shared" si="113"/>
        <v>1</v>
      </c>
      <c r="H296" s="339">
        <f t="shared" si="114"/>
        <v>0</v>
      </c>
      <c r="I296" s="337">
        <f t="shared" si="115"/>
        <v>37499.284796067805</v>
      </c>
      <c r="J296" s="340">
        <f t="shared" si="116"/>
        <v>1.5707696596196277</v>
      </c>
      <c r="K296" s="348">
        <f t="shared" si="132"/>
        <v>3.5983893767174804</v>
      </c>
      <c r="L296" s="349">
        <f t="shared" si="133"/>
        <v>1.2891868255298378</v>
      </c>
      <c r="M296" s="337">
        <f t="shared" si="117"/>
        <v>1.0001605554045461</v>
      </c>
      <c r="N296" s="340">
        <f t="shared" si="118"/>
        <v>1.7918366320100895E-2</v>
      </c>
      <c r="O296" s="341">
        <f t="shared" si="119"/>
        <v>0.99965308557279564</v>
      </c>
      <c r="P296" s="342">
        <f t="shared" si="120"/>
        <v>4.4926875822599768E-3</v>
      </c>
      <c r="Q296" s="343">
        <f t="shared" si="121"/>
        <v>9.1372218024733449</v>
      </c>
      <c r="R296" s="344">
        <f t="shared" si="122"/>
        <v>-82.900713901008046</v>
      </c>
      <c r="S296" s="346">
        <f t="shared" si="123"/>
        <v>97.099286098991954</v>
      </c>
      <c r="U296" s="319">
        <f t="shared" si="129"/>
        <v>1000000000</v>
      </c>
      <c r="V296" s="319">
        <f t="shared" si="130"/>
        <v>393595840.5625</v>
      </c>
      <c r="X296" s="345">
        <f t="shared" si="124"/>
        <v>17.347533370371721</v>
      </c>
      <c r="Y296" s="346">
        <f t="shared" si="125"/>
        <v>-17.160154762196914</v>
      </c>
      <c r="AA296" s="345">
        <f t="shared" si="126"/>
        <v>27.799862395703091</v>
      </c>
      <c r="AB296" s="346">
        <f t="shared" si="127"/>
        <v>-65.740559138811136</v>
      </c>
      <c r="AD296">
        <f t="shared" si="131"/>
        <v>0</v>
      </c>
      <c r="AE296">
        <f t="shared" si="134"/>
        <v>0</v>
      </c>
    </row>
    <row r="297" spans="1:31" x14ac:dyDescent="0.2">
      <c r="A297" s="347">
        <v>19953</v>
      </c>
      <c r="B297" s="364">
        <f t="shared" si="128"/>
        <v>19.952999999999999</v>
      </c>
      <c r="C297" s="337">
        <f t="shared" si="109"/>
        <v>2.4275599224608215</v>
      </c>
      <c r="D297" s="338">
        <f t="shared" si="110"/>
        <v>1.1462183359221609</v>
      </c>
      <c r="E297" s="338">
        <f t="shared" si="111"/>
        <v>1.000000694387192</v>
      </c>
      <c r="F297" s="339">
        <f t="shared" si="112"/>
        <v>1.1784623795950177E-3</v>
      </c>
      <c r="G297" s="338">
        <f t="shared" si="113"/>
        <v>1</v>
      </c>
      <c r="H297" s="339">
        <f t="shared" si="114"/>
        <v>0</v>
      </c>
      <c r="I297" s="337">
        <f t="shared" si="115"/>
        <v>37714.290083189444</v>
      </c>
      <c r="J297" s="340">
        <f t="shared" si="116"/>
        <v>1.5707698116464499</v>
      </c>
      <c r="K297" s="348">
        <f t="shared" si="132"/>
        <v>3.6174318612294645</v>
      </c>
      <c r="L297" s="349">
        <f t="shared" si="133"/>
        <v>1.2907093798475708</v>
      </c>
      <c r="M297" s="337">
        <f t="shared" si="117"/>
        <v>1.0001624016484314</v>
      </c>
      <c r="N297" s="340">
        <f t="shared" si="118"/>
        <v>1.8021080594524303E-2</v>
      </c>
      <c r="O297" s="341">
        <f t="shared" si="119"/>
        <v>0.99964909608385966</v>
      </c>
      <c r="P297" s="342">
        <f t="shared" si="120"/>
        <v>4.5184649900050196E-3</v>
      </c>
      <c r="Q297" s="343">
        <f t="shared" si="121"/>
        <v>9.0922332946279258</v>
      </c>
      <c r="R297" s="344">
        <f t="shared" si="122"/>
        <v>-82.943653807782951</v>
      </c>
      <c r="S297" s="346">
        <f t="shared" si="123"/>
        <v>97.056346192217049</v>
      </c>
      <c r="U297" s="319">
        <f t="shared" si="129"/>
        <v>1000000000</v>
      </c>
      <c r="V297" s="319">
        <f t="shared" si="130"/>
        <v>398122209</v>
      </c>
      <c r="X297" s="345">
        <f t="shared" si="124"/>
        <v>17.343702357027762</v>
      </c>
      <c r="Y297" s="346">
        <f t="shared" si="125"/>
        <v>-17.078812630533939</v>
      </c>
      <c r="AA297" s="345">
        <f t="shared" si="126"/>
        <v>27.758704901201629</v>
      </c>
      <c r="AB297" s="346">
        <f t="shared" si="127"/>
        <v>-65.864841177248977</v>
      </c>
      <c r="AD297">
        <f t="shared" si="131"/>
        <v>0</v>
      </c>
      <c r="AE297">
        <f t="shared" si="134"/>
        <v>0</v>
      </c>
    </row>
    <row r="298" spans="1:31" x14ac:dyDescent="0.2">
      <c r="A298" s="347">
        <v>20069</v>
      </c>
      <c r="B298" s="364">
        <f t="shared" si="128"/>
        <v>20.068999999999999</v>
      </c>
      <c r="C298" s="337">
        <f t="shared" si="109"/>
        <v>2.4392838296359121</v>
      </c>
      <c r="D298" s="338">
        <f t="shared" si="110"/>
        <v>1.1483900744391993</v>
      </c>
      <c r="E298" s="338">
        <f t="shared" si="111"/>
        <v>1.0000007024845234</v>
      </c>
      <c r="F298" s="339">
        <f t="shared" si="112"/>
        <v>1.1853135552759744E-3</v>
      </c>
      <c r="G298" s="338">
        <f t="shared" si="113"/>
        <v>1</v>
      </c>
      <c r="H298" s="339">
        <f t="shared" si="114"/>
        <v>0</v>
      </c>
      <c r="I298" s="337">
        <f t="shared" si="115"/>
        <v>37933.548222145146</v>
      </c>
      <c r="J298" s="340">
        <f t="shared" si="116"/>
        <v>1.5707699649055669</v>
      </c>
      <c r="K298" s="348">
        <f t="shared" si="132"/>
        <v>3.6368595552041025</v>
      </c>
      <c r="L298" s="349">
        <f t="shared" si="133"/>
        <v>1.2922456267063909</v>
      </c>
      <c r="M298" s="337">
        <f t="shared" si="117"/>
        <v>1.0001642952784648</v>
      </c>
      <c r="N298" s="340">
        <f t="shared" si="118"/>
        <v>1.81258261882053E-2</v>
      </c>
      <c r="O298" s="341">
        <f t="shared" si="119"/>
        <v>0.99964500419304803</v>
      </c>
      <c r="P298" s="342">
        <f t="shared" si="120"/>
        <v>4.5447526023181268E-3</v>
      </c>
      <c r="Q298" s="343">
        <f t="shared" si="121"/>
        <v>9.0465777250241146</v>
      </c>
      <c r="R298" s="344">
        <f t="shared" si="122"/>
        <v>-82.987188685093244</v>
      </c>
      <c r="S298" s="346">
        <f t="shared" si="123"/>
        <v>97.012811314906756</v>
      </c>
      <c r="U298" s="319">
        <f t="shared" si="129"/>
        <v>1000000000</v>
      </c>
      <c r="V298" s="319">
        <f t="shared" si="130"/>
        <v>402764761</v>
      </c>
      <c r="X298" s="345">
        <f t="shared" si="124"/>
        <v>17.339858719898157</v>
      </c>
      <c r="Y298" s="346">
        <f t="shared" si="125"/>
        <v>-16.996802430680706</v>
      </c>
      <c r="AA298" s="345">
        <f t="shared" si="126"/>
        <v>27.716892968727429</v>
      </c>
      <c r="AB298" s="346">
        <f t="shared" si="127"/>
        <v>-65.990386254412527</v>
      </c>
      <c r="AD298">
        <f t="shared" si="131"/>
        <v>0</v>
      </c>
      <c r="AE298">
        <f t="shared" si="134"/>
        <v>0</v>
      </c>
    </row>
    <row r="299" spans="1:31" x14ac:dyDescent="0.2">
      <c r="A299" s="347">
        <v>20185</v>
      </c>
      <c r="B299" s="364">
        <f t="shared" si="128"/>
        <v>20.184999999999999</v>
      </c>
      <c r="C299" s="337">
        <f t="shared" si="109"/>
        <v>2.4510191314744172</v>
      </c>
      <c r="D299" s="338">
        <f t="shared" si="110"/>
        <v>1.1505410267673049</v>
      </c>
      <c r="E299" s="338">
        <f t="shared" si="111"/>
        <v>1.0000007106287936</v>
      </c>
      <c r="F299" s="339">
        <f t="shared" si="112"/>
        <v>1.1921647308456571E-3</v>
      </c>
      <c r="G299" s="338">
        <f t="shared" si="113"/>
        <v>1</v>
      </c>
      <c r="H299" s="339">
        <f t="shared" si="114"/>
        <v>0</v>
      </c>
      <c r="I299" s="337">
        <f t="shared" si="115"/>
        <v>38152.806361101735</v>
      </c>
      <c r="J299" s="340">
        <f t="shared" si="116"/>
        <v>1.570770116403172</v>
      </c>
      <c r="K299" s="348">
        <f t="shared" si="132"/>
        <v>3.6562957411400689</v>
      </c>
      <c r="L299" s="349">
        <f t="shared" si="133"/>
        <v>1.2937655443172826</v>
      </c>
      <c r="M299" s="337">
        <f t="shared" si="117"/>
        <v>1.0001661998818987</v>
      </c>
      <c r="N299" s="340">
        <f t="shared" si="118"/>
        <v>1.8230571384104187E-2</v>
      </c>
      <c r="O299" s="341">
        <f t="shared" si="119"/>
        <v>0.99964088858331301</v>
      </c>
      <c r="P299" s="342">
        <f t="shared" si="120"/>
        <v>4.5710405414411126E-3</v>
      </c>
      <c r="Q299" s="343">
        <f t="shared" si="121"/>
        <v>9.0011450404896944</v>
      </c>
      <c r="R299" s="344">
        <f t="shared" si="122"/>
        <v>-83.030468093506911</v>
      </c>
      <c r="S299" s="346">
        <f t="shared" si="123"/>
        <v>96.969531906493089</v>
      </c>
      <c r="U299" s="319">
        <f t="shared" si="129"/>
        <v>1000000000</v>
      </c>
      <c r="V299" s="319">
        <f t="shared" si="130"/>
        <v>407434225</v>
      </c>
      <c r="X299" s="345">
        <f t="shared" si="124"/>
        <v>17.336077491438893</v>
      </c>
      <c r="Y299" s="346">
        <f t="shared" si="125"/>
        <v>-16.915727704099012</v>
      </c>
      <c r="AA299" s="345">
        <f t="shared" si="126"/>
        <v>27.675241512652271</v>
      </c>
      <c r="AB299" s="346">
        <f t="shared" si="127"/>
        <v>-66.114740389407913</v>
      </c>
      <c r="AD299">
        <f t="shared" si="131"/>
        <v>0</v>
      </c>
      <c r="AE299">
        <f t="shared" si="134"/>
        <v>0</v>
      </c>
    </row>
    <row r="300" spans="1:31" x14ac:dyDescent="0.2">
      <c r="A300" s="347">
        <v>20301</v>
      </c>
      <c r="B300" s="364">
        <f t="shared" si="128"/>
        <v>20.300999999999998</v>
      </c>
      <c r="C300" s="337">
        <f t="shared" si="109"/>
        <v>2.4627656650865286</v>
      </c>
      <c r="D300" s="338">
        <f t="shared" si="110"/>
        <v>1.1526714702885312</v>
      </c>
      <c r="E300" s="338">
        <f t="shared" si="111"/>
        <v>1.0000007188200024</v>
      </c>
      <c r="F300" s="339">
        <f t="shared" si="112"/>
        <v>1.1990159063034228E-3</v>
      </c>
      <c r="G300" s="338">
        <f t="shared" si="113"/>
        <v>1</v>
      </c>
      <c r="H300" s="339">
        <f t="shared" si="114"/>
        <v>0</v>
      </c>
      <c r="I300" s="337">
        <f t="shared" si="115"/>
        <v>38372.064500059183</v>
      </c>
      <c r="J300" s="340">
        <f t="shared" si="116"/>
        <v>1.5707702661694614</v>
      </c>
      <c r="K300" s="348">
        <f t="shared" si="132"/>
        <v>3.6757402843287132</v>
      </c>
      <c r="L300" s="349">
        <f t="shared" si="133"/>
        <v>1.2952693847450392</v>
      </c>
      <c r="M300" s="337">
        <f t="shared" si="117"/>
        <v>1.0001681154586701</v>
      </c>
      <c r="N300" s="340">
        <f t="shared" si="118"/>
        <v>1.8335316179924805E-2</v>
      </c>
      <c r="O300" s="341">
        <f t="shared" si="119"/>
        <v>0.99963674925467194</v>
      </c>
      <c r="P300" s="342">
        <f t="shared" si="120"/>
        <v>4.597328809267426E-3</v>
      </c>
      <c r="Q300" s="343">
        <f t="shared" si="121"/>
        <v>8.9559331406865876</v>
      </c>
      <c r="R300" s="344">
        <f t="shared" si="122"/>
        <v>-83.07349348530326</v>
      </c>
      <c r="S300" s="346">
        <f t="shared" si="123"/>
        <v>96.92650651469674</v>
      </c>
      <c r="U300" s="319">
        <f t="shared" si="129"/>
        <v>1000000000</v>
      </c>
      <c r="V300" s="319">
        <f t="shared" si="130"/>
        <v>412130601</v>
      </c>
      <c r="X300" s="345">
        <f t="shared" si="124"/>
        <v>17.332357334534546</v>
      </c>
      <c r="Y300" s="346">
        <f t="shared" si="125"/>
        <v>-16.835574010138608</v>
      </c>
      <c r="AA300" s="345">
        <f t="shared" si="126"/>
        <v>27.633749769753511</v>
      </c>
      <c r="AB300" s="346">
        <f t="shared" si="127"/>
        <v>-66.237919475164645</v>
      </c>
      <c r="AD300">
        <f t="shared" si="131"/>
        <v>0</v>
      </c>
      <c r="AE300">
        <f t="shared" si="134"/>
        <v>0</v>
      </c>
    </row>
    <row r="301" spans="1:31" x14ac:dyDescent="0.2">
      <c r="A301" s="347">
        <v>20417</v>
      </c>
      <c r="B301" s="364">
        <f t="shared" si="128"/>
        <v>20.417000000000002</v>
      </c>
      <c r="C301" s="337">
        <f t="shared" si="109"/>
        <v>2.4745232705209474</v>
      </c>
      <c r="D301" s="338">
        <f t="shared" si="110"/>
        <v>1.1547816778653097</v>
      </c>
      <c r="E301" s="338">
        <f t="shared" si="111"/>
        <v>1.0000007270581499</v>
      </c>
      <c r="F301" s="339">
        <f t="shared" si="112"/>
        <v>1.205867081648628E-3</v>
      </c>
      <c r="G301" s="338">
        <f t="shared" si="113"/>
        <v>1</v>
      </c>
      <c r="H301" s="339">
        <f t="shared" si="114"/>
        <v>0</v>
      </c>
      <c r="I301" s="337">
        <f t="shared" si="115"/>
        <v>38591.322639017482</v>
      </c>
      <c r="J301" s="340">
        <f t="shared" si="116"/>
        <v>1.5707704142339443</v>
      </c>
      <c r="K301" s="348">
        <f t="shared" si="132"/>
        <v>3.6951930528394796</v>
      </c>
      <c r="L301" s="349">
        <f t="shared" si="133"/>
        <v>1.2967573950409379</v>
      </c>
      <c r="M301" s="337">
        <f t="shared" si="117"/>
        <v>1.0001700420087163</v>
      </c>
      <c r="N301" s="340">
        <f t="shared" si="118"/>
        <v>1.8440060573371057E-2</v>
      </c>
      <c r="O301" s="341">
        <f t="shared" si="119"/>
        <v>0.99963258620714213</v>
      </c>
      <c r="P301" s="342">
        <f t="shared" si="120"/>
        <v>4.6236174076905905E-3</v>
      </c>
      <c r="Q301" s="343">
        <f t="shared" si="121"/>
        <v>8.9109399560618154</v>
      </c>
      <c r="R301" s="344">
        <f t="shared" si="122"/>
        <v>-83.116266341020136</v>
      </c>
      <c r="S301" s="346">
        <f t="shared" si="123"/>
        <v>96.883733658979864</v>
      </c>
      <c r="U301" s="319">
        <f t="shared" si="129"/>
        <v>1000000000</v>
      </c>
      <c r="V301" s="319">
        <f t="shared" si="130"/>
        <v>416853889</v>
      </c>
      <c r="X301" s="345">
        <f t="shared" si="124"/>
        <v>17.328696947202165</v>
      </c>
      <c r="Y301" s="346">
        <f t="shared" si="125"/>
        <v>-16.756327195363127</v>
      </c>
      <c r="AA301" s="345">
        <f t="shared" si="126"/>
        <v>27.592416972461116</v>
      </c>
      <c r="AB301" s="346">
        <f t="shared" si="127"/>
        <v>-66.359939145656995</v>
      </c>
      <c r="AD301">
        <f t="shared" si="131"/>
        <v>0</v>
      </c>
      <c r="AE301">
        <f t="shared" si="134"/>
        <v>0</v>
      </c>
    </row>
    <row r="302" spans="1:31" x14ac:dyDescent="0.2">
      <c r="A302" s="347">
        <v>20536</v>
      </c>
      <c r="B302" s="364">
        <f t="shared" si="128"/>
        <v>20.536000000000001</v>
      </c>
      <c r="C302" s="337">
        <f t="shared" si="109"/>
        <v>2.4865962923844132</v>
      </c>
      <c r="D302" s="338">
        <f t="shared" si="110"/>
        <v>1.1569257133511579</v>
      </c>
      <c r="E302" s="338">
        <f t="shared" si="111"/>
        <v>1.000000735558128</v>
      </c>
      <c r="F302" s="339">
        <f t="shared" si="112"/>
        <v>1.2128954424454673E-3</v>
      </c>
      <c r="G302" s="338">
        <f t="shared" si="113"/>
        <v>1</v>
      </c>
      <c r="H302" s="339">
        <f t="shared" si="114"/>
        <v>0</v>
      </c>
      <c r="I302" s="337">
        <f t="shared" si="115"/>
        <v>38816.251247087639</v>
      </c>
      <c r="J302" s="340">
        <f t="shared" si="116"/>
        <v>1.5707705643895127</v>
      </c>
      <c r="K302" s="348">
        <f t="shared" si="132"/>
        <v>3.7151573219317124</v>
      </c>
      <c r="L302" s="349">
        <f t="shared" si="133"/>
        <v>1.2982676926055563</v>
      </c>
      <c r="M302" s="337">
        <f t="shared" si="117"/>
        <v>1.0001720297858978</v>
      </c>
      <c r="N302" s="340">
        <f t="shared" si="118"/>
        <v>1.8547513453019623E-2</v>
      </c>
      <c r="O302" s="341">
        <f t="shared" si="119"/>
        <v>0.99962829084765814</v>
      </c>
      <c r="P302" s="342">
        <f t="shared" si="120"/>
        <v>4.6505862291761268E-3</v>
      </c>
      <c r="Q302" s="343">
        <f t="shared" si="121"/>
        <v>8.8650082902425567</v>
      </c>
      <c r="R302" s="344">
        <f t="shared" si="122"/>
        <v>-83.159884553293537</v>
      </c>
      <c r="S302" s="346">
        <f t="shared" si="123"/>
        <v>96.840115446706463</v>
      </c>
      <c r="U302" s="319">
        <f t="shared" si="129"/>
        <v>1000000000</v>
      </c>
      <c r="V302" s="319">
        <f t="shared" si="130"/>
        <v>421727296</v>
      </c>
      <c r="X302" s="345">
        <f t="shared" si="124"/>
        <v>17.325002674204111</v>
      </c>
      <c r="Y302" s="346">
        <f t="shared" si="125"/>
        <v>-16.675958718790501</v>
      </c>
      <c r="AA302" s="345">
        <f t="shared" si="126"/>
        <v>27.550179579639916</v>
      </c>
      <c r="AB302" s="346">
        <f t="shared" si="127"/>
        <v>-66.483925834503054</v>
      </c>
      <c r="AD302">
        <f t="shared" si="131"/>
        <v>0</v>
      </c>
      <c r="AE302">
        <f t="shared" si="134"/>
        <v>0</v>
      </c>
    </row>
    <row r="303" spans="1:31" x14ac:dyDescent="0.2">
      <c r="A303" s="347">
        <v>20655</v>
      </c>
      <c r="B303" s="364">
        <f t="shared" si="128"/>
        <v>20.655000000000001</v>
      </c>
      <c r="C303" s="337">
        <f t="shared" si="109"/>
        <v>2.4986806343626147</v>
      </c>
      <c r="D303" s="338">
        <f t="shared" si="110"/>
        <v>1.1590490201681134</v>
      </c>
      <c r="E303" s="338">
        <f t="shared" si="111"/>
        <v>1.0000007441075041</v>
      </c>
      <c r="F303" s="339">
        <f t="shared" si="112"/>
        <v>1.2199238031224775E-3</v>
      </c>
      <c r="G303" s="338">
        <f t="shared" si="113"/>
        <v>1</v>
      </c>
      <c r="H303" s="339">
        <f t="shared" si="114"/>
        <v>0</v>
      </c>
      <c r="I303" s="337">
        <f t="shared" si="115"/>
        <v>39041.179855158654</v>
      </c>
      <c r="J303" s="340">
        <f t="shared" si="116"/>
        <v>1.5707707128148936</v>
      </c>
      <c r="K303" s="348">
        <f t="shared" si="132"/>
        <v>3.7351299746919513</v>
      </c>
      <c r="L303" s="349">
        <f t="shared" si="133"/>
        <v>1.299761841687699</v>
      </c>
      <c r="M303" s="337">
        <f t="shared" si="117"/>
        <v>1.0001740291111412</v>
      </c>
      <c r="N303" s="340">
        <f t="shared" si="118"/>
        <v>1.8654965904317096E-2</v>
      </c>
      <c r="O303" s="341">
        <f t="shared" si="119"/>
        <v>0.99962397052661955</v>
      </c>
      <c r="P303" s="342">
        <f t="shared" si="120"/>
        <v>4.677555402616722E-3</v>
      </c>
      <c r="Q303" s="343">
        <f t="shared" si="121"/>
        <v>8.8193024829714322</v>
      </c>
      <c r="R303" s="344">
        <f t="shared" si="122"/>
        <v>-83.203240236712873</v>
      </c>
      <c r="S303" s="346">
        <f t="shared" si="123"/>
        <v>96.796759763287127</v>
      </c>
      <c r="U303" s="319">
        <f t="shared" si="129"/>
        <v>1000000000</v>
      </c>
      <c r="V303" s="319">
        <f t="shared" si="130"/>
        <v>426629025</v>
      </c>
      <c r="X303" s="345">
        <f t="shared" si="124"/>
        <v>17.32136863525314</v>
      </c>
      <c r="Y303" s="346">
        <f t="shared" si="125"/>
        <v>-16.596515358435184</v>
      </c>
      <c r="AA303" s="345">
        <f t="shared" si="126"/>
        <v>27.508107811319761</v>
      </c>
      <c r="AB303" s="346">
        <f t="shared" si="127"/>
        <v>-66.606724878277703</v>
      </c>
      <c r="AD303">
        <f t="shared" si="131"/>
        <v>0</v>
      </c>
      <c r="AE303">
        <f t="shared" si="134"/>
        <v>0</v>
      </c>
    </row>
    <row r="304" spans="1:31" x14ac:dyDescent="0.2">
      <c r="A304" s="347">
        <v>20774</v>
      </c>
      <c r="B304" s="364">
        <f t="shared" si="128"/>
        <v>20.774000000000001</v>
      </c>
      <c r="C304" s="337">
        <f t="shared" si="109"/>
        <v>2.5107761330047396</v>
      </c>
      <c r="D304" s="338">
        <f t="shared" si="110"/>
        <v>1.1611518786082533</v>
      </c>
      <c r="E304" s="338">
        <f t="shared" si="111"/>
        <v>1.0000007527062782</v>
      </c>
      <c r="F304" s="339">
        <f t="shared" si="112"/>
        <v>1.2269521636789646E-3</v>
      </c>
      <c r="G304" s="338">
        <f t="shared" si="113"/>
        <v>1</v>
      </c>
      <c r="H304" s="339">
        <f t="shared" si="114"/>
        <v>0</v>
      </c>
      <c r="I304" s="337">
        <f t="shared" si="115"/>
        <v>39266.108463230528</v>
      </c>
      <c r="J304" s="340">
        <f t="shared" si="116"/>
        <v>1.5707708595398198</v>
      </c>
      <c r="K304" s="348">
        <f t="shared" si="132"/>
        <v>3.7551108773472461</v>
      </c>
      <c r="L304" s="349">
        <f t="shared" si="133"/>
        <v>1.3012400933399606</v>
      </c>
      <c r="M304" s="337">
        <f t="shared" si="117"/>
        <v>1.0001760399843767</v>
      </c>
      <c r="N304" s="340">
        <f t="shared" si="118"/>
        <v>1.8762417924784756E-2</v>
      </c>
      <c r="O304" s="341">
        <f t="shared" si="119"/>
        <v>0.99961962524404546</v>
      </c>
      <c r="P304" s="342">
        <f t="shared" si="120"/>
        <v>4.7045249300568977E-3</v>
      </c>
      <c r="Q304" s="343">
        <f t="shared" si="121"/>
        <v>8.7738203965368626</v>
      </c>
      <c r="R304" s="344">
        <f t="shared" si="122"/>
        <v>-83.24633506825576</v>
      </c>
      <c r="S304" s="346">
        <f t="shared" si="123"/>
        <v>96.75366493174424</v>
      </c>
      <c r="U304" s="319">
        <f t="shared" si="129"/>
        <v>1000000000</v>
      </c>
      <c r="V304" s="319">
        <f t="shared" si="130"/>
        <v>431559076</v>
      </c>
      <c r="X304" s="345">
        <f t="shared" si="124"/>
        <v>17.317793532928853</v>
      </c>
      <c r="Y304" s="346">
        <f t="shared" si="125"/>
        <v>-16.517982731604587</v>
      </c>
      <c r="AA304" s="345">
        <f t="shared" si="126"/>
        <v>27.46620082720948</v>
      </c>
      <c r="AB304" s="346">
        <f t="shared" si="127"/>
        <v>-66.728352336651156</v>
      </c>
      <c r="AD304">
        <f t="shared" si="131"/>
        <v>0</v>
      </c>
      <c r="AE304">
        <f t="shared" si="134"/>
        <v>0</v>
      </c>
    </row>
    <row r="305" spans="1:31" x14ac:dyDescent="0.2">
      <c r="A305" s="347">
        <v>20893</v>
      </c>
      <c r="B305" s="364">
        <f t="shared" si="128"/>
        <v>20.893000000000001</v>
      </c>
      <c r="C305" s="337">
        <f t="shared" si="109"/>
        <v>2.5228826278450485</v>
      </c>
      <c r="D305" s="338">
        <f t="shared" si="110"/>
        <v>1.1632345643143776</v>
      </c>
      <c r="E305" s="338">
        <f t="shared" si="111"/>
        <v>1.0000007613544499</v>
      </c>
      <c r="F305" s="339">
        <f t="shared" si="112"/>
        <v>1.2339805241142338E-3</v>
      </c>
      <c r="G305" s="338">
        <f t="shared" si="113"/>
        <v>1</v>
      </c>
      <c r="H305" s="339">
        <f t="shared" si="114"/>
        <v>0</v>
      </c>
      <c r="I305" s="337">
        <f t="shared" si="115"/>
        <v>39491.037071303239</v>
      </c>
      <c r="J305" s="340">
        <f t="shared" si="116"/>
        <v>1.5707710045933474</v>
      </c>
      <c r="K305" s="348">
        <f t="shared" si="132"/>
        <v>3.7750998989021127</v>
      </c>
      <c r="L305" s="349">
        <f t="shared" si="133"/>
        <v>1.3027026935788966</v>
      </c>
      <c r="M305" s="337">
        <f t="shared" si="117"/>
        <v>1.000178062405535</v>
      </c>
      <c r="N305" s="340">
        <f t="shared" si="118"/>
        <v>1.8869869511943936E-2</v>
      </c>
      <c r="O305" s="341">
        <f t="shared" si="119"/>
        <v>0.99961525499995507</v>
      </c>
      <c r="P305" s="342">
        <f t="shared" si="120"/>
        <v>4.7314948135412684E-3</v>
      </c>
      <c r="Q305" s="343">
        <f t="shared" si="121"/>
        <v>8.7285599244252801</v>
      </c>
      <c r="R305" s="344">
        <f t="shared" si="122"/>
        <v>-83.289170747020904</v>
      </c>
      <c r="S305" s="346">
        <f t="shared" si="123"/>
        <v>96.710829252979096</v>
      </c>
      <c r="U305" s="319">
        <f t="shared" si="129"/>
        <v>1000000000</v>
      </c>
      <c r="V305" s="319">
        <f t="shared" si="130"/>
        <v>436517449</v>
      </c>
      <c r="X305" s="345">
        <f t="shared" si="124"/>
        <v>17.314276104094478</v>
      </c>
      <c r="Y305" s="346">
        <f t="shared" si="125"/>
        <v>-16.440346744111167</v>
      </c>
      <c r="AA305" s="345">
        <f t="shared" si="126"/>
        <v>27.424457783932269</v>
      </c>
      <c r="AB305" s="346">
        <f t="shared" si="127"/>
        <v>-66.848824002909737</v>
      </c>
      <c r="AD305">
        <f t="shared" si="131"/>
        <v>0</v>
      </c>
      <c r="AE305">
        <f t="shared" si="134"/>
        <v>0</v>
      </c>
    </row>
    <row r="306" spans="1:31" x14ac:dyDescent="0.2">
      <c r="A306" s="347">
        <v>21014.75</v>
      </c>
      <c r="B306" s="364">
        <f t="shared" si="128"/>
        <v>21.014749999999999</v>
      </c>
      <c r="C306" s="337">
        <f t="shared" si="109"/>
        <v>2.5352801106433231</v>
      </c>
      <c r="D306" s="338">
        <f t="shared" si="110"/>
        <v>1.1653447846093412</v>
      </c>
      <c r="E306" s="338">
        <f t="shared" si="111"/>
        <v>1.000000770253598</v>
      </c>
      <c r="F306" s="339">
        <f t="shared" si="112"/>
        <v>1.2411713045174194E-3</v>
      </c>
      <c r="G306" s="338">
        <f t="shared" si="113"/>
        <v>1</v>
      </c>
      <c r="H306" s="339">
        <f t="shared" si="114"/>
        <v>0</v>
      </c>
      <c r="I306" s="337">
        <f t="shared" si="115"/>
        <v>39721.163609395291</v>
      </c>
      <c r="J306" s="340">
        <f t="shared" si="116"/>
        <v>1.5707711512987823</v>
      </c>
      <c r="K306" s="348">
        <f t="shared" si="132"/>
        <v>3.7955591203509877</v>
      </c>
      <c r="L306" s="349">
        <f t="shared" si="133"/>
        <v>1.3041831466895144</v>
      </c>
      <c r="M306" s="337">
        <f t="shared" si="117"/>
        <v>1.0001801435145456</v>
      </c>
      <c r="N306" s="340">
        <f t="shared" si="118"/>
        <v>1.8979803772987199E-2</v>
      </c>
      <c r="O306" s="341">
        <f t="shared" si="119"/>
        <v>0.99961075792940512</v>
      </c>
      <c r="P306" s="342">
        <f t="shared" si="120"/>
        <v>4.7590883212491287E-3</v>
      </c>
      <c r="Q306" s="343">
        <f t="shared" si="121"/>
        <v>8.6824807076633821</v>
      </c>
      <c r="R306" s="344">
        <f t="shared" si="122"/>
        <v>-83.332729913758527</v>
      </c>
      <c r="S306" s="346">
        <f t="shared" si="123"/>
        <v>96.667270086241473</v>
      </c>
      <c r="U306" s="319">
        <f t="shared" si="129"/>
        <v>1000000000</v>
      </c>
      <c r="V306" s="319">
        <f t="shared" si="130"/>
        <v>441619717.5625</v>
      </c>
      <c r="X306" s="345">
        <f t="shared" si="124"/>
        <v>17.310735795721683</v>
      </c>
      <c r="Y306" s="346">
        <f t="shared" si="125"/>
        <v>-16.361830203799943</v>
      </c>
      <c r="AA306" s="345">
        <f t="shared" si="126"/>
        <v>27.381918875543164</v>
      </c>
      <c r="AB306" s="346">
        <f t="shared" si="127"/>
        <v>-66.970899709958601</v>
      </c>
      <c r="AD306">
        <f t="shared" si="131"/>
        <v>0</v>
      </c>
      <c r="AE306">
        <f t="shared" si="134"/>
        <v>0</v>
      </c>
    </row>
    <row r="307" spans="1:31" x14ac:dyDescent="0.2">
      <c r="A307" s="347">
        <v>21136.5</v>
      </c>
      <c r="B307" s="364">
        <f t="shared" si="128"/>
        <v>21.136500000000002</v>
      </c>
      <c r="C307" s="337">
        <f t="shared" si="109"/>
        <v>2.5476887732151043</v>
      </c>
      <c r="D307" s="338">
        <f t="shared" si="110"/>
        <v>1.1674344582392178</v>
      </c>
      <c r="E307" s="338">
        <f t="shared" si="111"/>
        <v>1.0000007792044534</v>
      </c>
      <c r="F307" s="339">
        <f t="shared" si="112"/>
        <v>1.2483620847922499E-3</v>
      </c>
      <c r="G307" s="338">
        <f t="shared" si="113"/>
        <v>1</v>
      </c>
      <c r="H307" s="339">
        <f t="shared" si="114"/>
        <v>0</v>
      </c>
      <c r="I307" s="337">
        <f t="shared" si="115"/>
        <v>39951.290147488173</v>
      </c>
      <c r="J307" s="340">
        <f t="shared" si="116"/>
        <v>1.5707712963141183</v>
      </c>
      <c r="K307" s="348">
        <f t="shared" si="132"/>
        <v>3.8160265714717729</v>
      </c>
      <c r="L307" s="349">
        <f t="shared" si="133"/>
        <v>1.3056477220115126</v>
      </c>
      <c r="M307" s="337">
        <f t="shared" si="117"/>
        <v>1.0001822367112247</v>
      </c>
      <c r="N307" s="340">
        <f t="shared" si="118"/>
        <v>1.9089737575214854E-2</v>
      </c>
      <c r="O307" s="341">
        <f t="shared" si="119"/>
        <v>0.99960623473036603</v>
      </c>
      <c r="P307" s="342">
        <f t="shared" si="120"/>
        <v>4.7866822059772956E-3</v>
      </c>
      <c r="Q307" s="343">
        <f t="shared" si="121"/>
        <v>8.6366291024048163</v>
      </c>
      <c r="R307" s="344">
        <f t="shared" si="122"/>
        <v>-83.376021472064537</v>
      </c>
      <c r="S307" s="346">
        <f t="shared" si="123"/>
        <v>96.623978527935463</v>
      </c>
      <c r="U307" s="319">
        <f t="shared" si="129"/>
        <v>1000000000</v>
      </c>
      <c r="V307" s="319">
        <f t="shared" si="130"/>
        <v>446751632.25</v>
      </c>
      <c r="X307" s="345">
        <f t="shared" si="124"/>
        <v>17.30725328760542</v>
      </c>
      <c r="Y307" s="346">
        <f t="shared" si="125"/>
        <v>-16.284223270641942</v>
      </c>
      <c r="AA307" s="345">
        <f t="shared" si="126"/>
        <v>27.339549778400858</v>
      </c>
      <c r="AB307" s="346">
        <f t="shared" si="127"/>
        <v>-67.091798201422606</v>
      </c>
      <c r="AD307">
        <f t="shared" si="131"/>
        <v>0</v>
      </c>
      <c r="AE307">
        <f t="shared" si="134"/>
        <v>0</v>
      </c>
    </row>
    <row r="308" spans="1:31" x14ac:dyDescent="0.2">
      <c r="A308" s="347">
        <v>21258.25</v>
      </c>
      <c r="B308" s="364">
        <f t="shared" si="128"/>
        <v>21.25825</v>
      </c>
      <c r="C308" s="337">
        <f t="shared" si="109"/>
        <v>2.5601084529977096</v>
      </c>
      <c r="D308" s="338">
        <f t="shared" si="110"/>
        <v>1.1695038658500299</v>
      </c>
      <c r="E308" s="338">
        <f t="shared" si="111"/>
        <v>1.0000007882070161</v>
      </c>
      <c r="F308" s="339">
        <f t="shared" si="112"/>
        <v>1.2555528649379809E-3</v>
      </c>
      <c r="G308" s="338">
        <f t="shared" si="113"/>
        <v>1</v>
      </c>
      <c r="H308" s="339">
        <f t="shared" si="114"/>
        <v>0</v>
      </c>
      <c r="I308" s="337">
        <f t="shared" si="115"/>
        <v>40181.416685581898</v>
      </c>
      <c r="J308" s="340">
        <f t="shared" si="116"/>
        <v>1.5707714396683941</v>
      </c>
      <c r="K308" s="348">
        <f t="shared" si="132"/>
        <v>3.8365021205504233</v>
      </c>
      <c r="L308" s="349">
        <f t="shared" si="133"/>
        <v>1.3070966674321038</v>
      </c>
      <c r="M308" s="337">
        <f t="shared" si="117"/>
        <v>1.0001843419954963</v>
      </c>
      <c r="N308" s="340">
        <f t="shared" si="118"/>
        <v>1.9199670915972602E-2</v>
      </c>
      <c r="O308" s="341">
        <f t="shared" si="119"/>
        <v>0.99960168540285876</v>
      </c>
      <c r="P308" s="342">
        <f t="shared" si="120"/>
        <v>4.8142764699157193E-3</v>
      </c>
      <c r="Q308" s="343">
        <f t="shared" si="121"/>
        <v>8.5910029497418829</v>
      </c>
      <c r="R308" s="344">
        <f t="shared" si="122"/>
        <v>-83.419047300517647</v>
      </c>
      <c r="S308" s="346">
        <f t="shared" si="123"/>
        <v>96.580952699482353</v>
      </c>
      <c r="U308" s="319">
        <f t="shared" si="129"/>
        <v>1000000000</v>
      </c>
      <c r="V308" s="319">
        <f t="shared" si="130"/>
        <v>451913193.0625</v>
      </c>
      <c r="X308" s="345">
        <f t="shared" si="124"/>
        <v>17.303827331574293</v>
      </c>
      <c r="Y308" s="346">
        <f t="shared" si="125"/>
        <v>-16.207511743257765</v>
      </c>
      <c r="AA308" s="345">
        <f t="shared" si="126"/>
        <v>27.297349581769055</v>
      </c>
      <c r="AB308" s="346">
        <f t="shared" si="127"/>
        <v>-67.211535557259893</v>
      </c>
      <c r="AD308">
        <f t="shared" si="131"/>
        <v>0</v>
      </c>
      <c r="AE308">
        <f t="shared" si="134"/>
        <v>0</v>
      </c>
    </row>
    <row r="309" spans="1:31" x14ac:dyDescent="0.2">
      <c r="A309" s="347">
        <v>21380</v>
      </c>
      <c r="B309" s="364">
        <f t="shared" si="128"/>
        <v>21.38</v>
      </c>
      <c r="C309" s="337">
        <f t="shared" si="109"/>
        <v>2.5725389904247788</v>
      </c>
      <c r="D309" s="338">
        <f t="shared" si="110"/>
        <v>1.1715532833650009</v>
      </c>
      <c r="E309" s="338">
        <f t="shared" si="111"/>
        <v>1.0000007972612861</v>
      </c>
      <c r="F309" s="339">
        <f t="shared" si="112"/>
        <v>1.2627436449538696E-3</v>
      </c>
      <c r="G309" s="338">
        <f t="shared" si="113"/>
        <v>1</v>
      </c>
      <c r="H309" s="339">
        <f t="shared" si="114"/>
        <v>0</v>
      </c>
      <c r="I309" s="337">
        <f t="shared" si="115"/>
        <v>40411.543223676439</v>
      </c>
      <c r="J309" s="340">
        <f t="shared" si="116"/>
        <v>1.5707715813899867</v>
      </c>
      <c r="K309" s="348">
        <f t="shared" si="132"/>
        <v>3.8569856386182475</v>
      </c>
      <c r="L309" s="349">
        <f t="shared" si="133"/>
        <v>1.3085302258382734</v>
      </c>
      <c r="M309" s="337">
        <f t="shared" si="117"/>
        <v>1.0001864593672842</v>
      </c>
      <c r="N309" s="340">
        <f t="shared" si="118"/>
        <v>1.9309603792606201E-2</v>
      </c>
      <c r="O309" s="341">
        <f t="shared" si="119"/>
        <v>0.99959710994690443</v>
      </c>
      <c r="P309" s="342">
        <f t="shared" si="120"/>
        <v>4.8418711152544451E-3</v>
      </c>
      <c r="Q309" s="343">
        <f t="shared" si="121"/>
        <v>8.5456001220907254</v>
      </c>
      <c r="R309" s="344">
        <f t="shared" si="122"/>
        <v>-83.461809293554268</v>
      </c>
      <c r="S309" s="346">
        <f t="shared" si="123"/>
        <v>96.538190706445732</v>
      </c>
      <c r="U309" s="319">
        <f t="shared" si="129"/>
        <v>1000000000</v>
      </c>
      <c r="V309" s="319">
        <f t="shared" si="130"/>
        <v>457104400</v>
      </c>
      <c r="X309" s="345">
        <f t="shared" si="124"/>
        <v>17.300456712534192</v>
      </c>
      <c r="Y309" s="346">
        <f t="shared" si="125"/>
        <v>-16.13168170672207</v>
      </c>
      <c r="AA309" s="345">
        <f t="shared" si="126"/>
        <v>27.255317373158</v>
      </c>
      <c r="AB309" s="346">
        <f t="shared" si="127"/>
        <v>-67.330127586832191</v>
      </c>
      <c r="AD309">
        <f t="shared" si="131"/>
        <v>0</v>
      </c>
      <c r="AE309">
        <f t="shared" si="134"/>
        <v>0</v>
      </c>
    </row>
    <row r="310" spans="1:31" x14ac:dyDescent="0.2">
      <c r="A310" s="347">
        <v>21504.5</v>
      </c>
      <c r="B310" s="364">
        <f t="shared" si="128"/>
        <v>21.5045</v>
      </c>
      <c r="C310" s="337">
        <f t="shared" si="109"/>
        <v>2.5852613648406257</v>
      </c>
      <c r="D310" s="338">
        <f t="shared" si="110"/>
        <v>1.1736286017831221</v>
      </c>
      <c r="E310" s="338">
        <f t="shared" si="111"/>
        <v>1.00000080657354</v>
      </c>
      <c r="F310" s="339">
        <f t="shared" si="112"/>
        <v>1.2700968449172031E-3</v>
      </c>
      <c r="G310" s="338">
        <f t="shared" si="113"/>
        <v>1</v>
      </c>
      <c r="H310" s="339">
        <f t="shared" si="114"/>
        <v>0</v>
      </c>
      <c r="I310" s="337">
        <f t="shared" si="115"/>
        <v>40646.867691790365</v>
      </c>
      <c r="J310" s="340">
        <f t="shared" si="116"/>
        <v>1.5707717246531601</v>
      </c>
      <c r="K310" s="348">
        <f t="shared" si="132"/>
        <v>3.8779399328649573</v>
      </c>
      <c r="L310" s="349">
        <f t="shared" si="133"/>
        <v>1.3099805001065918</v>
      </c>
      <c r="M310" s="337">
        <f t="shared" si="117"/>
        <v>1.0001886370647741</v>
      </c>
      <c r="N310" s="340">
        <f t="shared" si="118"/>
        <v>1.9422019269962659E-2</v>
      </c>
      <c r="O310" s="341">
        <f t="shared" si="119"/>
        <v>0.99959240412355022</v>
      </c>
      <c r="P310" s="342">
        <f t="shared" si="120"/>
        <v>4.8700894449719718E-3</v>
      </c>
      <c r="Q310" s="343">
        <f t="shared" si="121"/>
        <v>8.4994005323336523</v>
      </c>
      <c r="R310" s="344">
        <f t="shared" si="122"/>
        <v>-83.505266310050516</v>
      </c>
      <c r="S310" s="346">
        <f t="shared" si="123"/>
        <v>96.494733689949484</v>
      </c>
      <c r="U310" s="319">
        <f t="shared" si="129"/>
        <v>1000000000</v>
      </c>
      <c r="V310" s="319">
        <f t="shared" si="130"/>
        <v>462443520.25</v>
      </c>
      <c r="X310" s="345">
        <f t="shared" si="124"/>
        <v>17.29706595392576</v>
      </c>
      <c r="Y310" s="346">
        <f t="shared" si="125"/>
        <v>-16.055036252703079</v>
      </c>
      <c r="AA310" s="345">
        <f t="shared" si="126"/>
        <v>27.21250854200936</v>
      </c>
      <c r="AB310" s="346">
        <f t="shared" si="127"/>
        <v>-67.45023005734744</v>
      </c>
      <c r="AD310">
        <f t="shared" si="131"/>
        <v>0</v>
      </c>
      <c r="AE310">
        <f t="shared" si="134"/>
        <v>0</v>
      </c>
    </row>
    <row r="311" spans="1:31" x14ac:dyDescent="0.2">
      <c r="A311" s="347">
        <v>21629</v>
      </c>
      <c r="B311" s="364">
        <f t="shared" si="128"/>
        <v>21.629000000000001</v>
      </c>
      <c r="C311" s="337">
        <f t="shared" si="109"/>
        <v>2.5979947647590889</v>
      </c>
      <c r="D311" s="338">
        <f t="shared" si="110"/>
        <v>1.1756835857060501</v>
      </c>
      <c r="E311" s="338">
        <f t="shared" si="111"/>
        <v>1.0000008159398632</v>
      </c>
      <c r="F311" s="339">
        <f t="shared" si="112"/>
        <v>1.2774500447431893E-3</v>
      </c>
      <c r="G311" s="338">
        <f t="shared" si="113"/>
        <v>1</v>
      </c>
      <c r="H311" s="339">
        <f t="shared" si="114"/>
        <v>0</v>
      </c>
      <c r="I311" s="337">
        <f t="shared" si="115"/>
        <v>40882.192159905127</v>
      </c>
      <c r="J311" s="340">
        <f t="shared" si="116"/>
        <v>1.5707718662670416</v>
      </c>
      <c r="K311" s="348">
        <f t="shared" si="132"/>
        <v>3.8989022958829236</v>
      </c>
      <c r="L311" s="349">
        <f t="shared" si="133"/>
        <v>1.311415182629653</v>
      </c>
      <c r="M311" s="337">
        <f t="shared" si="117"/>
        <v>1.0001908274018321</v>
      </c>
      <c r="N311" s="340">
        <f t="shared" si="118"/>
        <v>1.9534434256378113E-2</v>
      </c>
      <c r="O311" s="341">
        <f t="shared" si="119"/>
        <v>0.99958767097812307</v>
      </c>
      <c r="P311" s="342">
        <f t="shared" si="120"/>
        <v>4.898308178146211E-3</v>
      </c>
      <c r="Q311" s="343">
        <f t="shared" si="121"/>
        <v>8.4534300677138887</v>
      </c>
      <c r="R311" s="344">
        <f t="shared" si="122"/>
        <v>-83.548451487489828</v>
      </c>
      <c r="S311" s="346">
        <f t="shared" si="123"/>
        <v>96.451548512510172</v>
      </c>
      <c r="U311" s="319">
        <f t="shared" si="129"/>
        <v>1000000000</v>
      </c>
      <c r="V311" s="319">
        <f t="shared" si="130"/>
        <v>467813641</v>
      </c>
      <c r="X311" s="345">
        <f t="shared" si="124"/>
        <v>17.293730591906343</v>
      </c>
      <c r="Y311" s="346">
        <f t="shared" si="125"/>
        <v>-15.979284017257301</v>
      </c>
      <c r="AA311" s="345">
        <f t="shared" si="126"/>
        <v>27.16987343940901</v>
      </c>
      <c r="AB311" s="346">
        <f t="shared" si="127"/>
        <v>-67.5691674702325</v>
      </c>
      <c r="AD311">
        <f t="shared" si="131"/>
        <v>0</v>
      </c>
      <c r="AE311">
        <f t="shared" si="134"/>
        <v>0</v>
      </c>
    </row>
    <row r="312" spans="1:31" x14ac:dyDescent="0.2">
      <c r="A312" s="347">
        <v>21753.5</v>
      </c>
      <c r="B312" s="364">
        <f t="shared" si="128"/>
        <v>21.753499999999999</v>
      </c>
      <c r="C312" s="337">
        <f t="shared" si="109"/>
        <v>2.6107390288555834</v>
      </c>
      <c r="D312" s="338">
        <f t="shared" si="110"/>
        <v>1.1777185154366634</v>
      </c>
      <c r="E312" s="338">
        <f t="shared" si="111"/>
        <v>1.0000008253602561</v>
      </c>
      <c r="F312" s="339">
        <f t="shared" si="112"/>
        <v>1.2848032444310329E-3</v>
      </c>
      <c r="G312" s="338">
        <f t="shared" si="113"/>
        <v>1</v>
      </c>
      <c r="H312" s="339">
        <f t="shared" si="114"/>
        <v>0</v>
      </c>
      <c r="I312" s="337">
        <f t="shared" si="115"/>
        <v>41117.51662802069</v>
      </c>
      <c r="J312" s="340">
        <f t="shared" si="116"/>
        <v>1.5707720062599493</v>
      </c>
      <c r="K312" s="348">
        <f t="shared" si="132"/>
        <v>3.9198725982236717</v>
      </c>
      <c r="L312" s="349">
        <f t="shared" si="133"/>
        <v>1.3128345176889269</v>
      </c>
      <c r="M312" s="337">
        <f t="shared" si="117"/>
        <v>1.0001930303783753</v>
      </c>
      <c r="N312" s="340">
        <f t="shared" si="118"/>
        <v>1.9646848749014588E-2</v>
      </c>
      <c r="O312" s="341">
        <f t="shared" si="119"/>
        <v>0.99958291051064585</v>
      </c>
      <c r="P312" s="342">
        <f t="shared" si="120"/>
        <v>4.9265273171193126E-3</v>
      </c>
      <c r="Q312" s="343">
        <f t="shared" si="121"/>
        <v>8.4076865505336738</v>
      </c>
      <c r="R312" s="344">
        <f t="shared" si="122"/>
        <v>-83.591366891340897</v>
      </c>
      <c r="S312" s="346">
        <f t="shared" si="123"/>
        <v>96.408633108659103</v>
      </c>
      <c r="U312" s="319">
        <f t="shared" si="129"/>
        <v>1000000000</v>
      </c>
      <c r="V312" s="319">
        <f t="shared" si="130"/>
        <v>473214762.25</v>
      </c>
      <c r="X312" s="345">
        <f t="shared" si="124"/>
        <v>17.290449427865838</v>
      </c>
      <c r="Y312" s="346">
        <f t="shared" si="125"/>
        <v>-15.904411005547351</v>
      </c>
      <c r="AA312" s="345">
        <f t="shared" si="126"/>
        <v>27.127411086269298</v>
      </c>
      <c r="AB312" s="346">
        <f t="shared" si="127"/>
        <v>-67.686955885793552</v>
      </c>
      <c r="AD312">
        <f t="shared" si="131"/>
        <v>0</v>
      </c>
      <c r="AE312">
        <f t="shared" si="134"/>
        <v>0</v>
      </c>
    </row>
    <row r="313" spans="1:31" x14ac:dyDescent="0.2">
      <c r="A313" s="347">
        <v>21878</v>
      </c>
      <c r="B313" s="364">
        <f t="shared" si="128"/>
        <v>21.878</v>
      </c>
      <c r="C313" s="337">
        <f t="shared" si="109"/>
        <v>2.6234939988039043</v>
      </c>
      <c r="D313" s="338">
        <f t="shared" si="110"/>
        <v>1.1797336664980391</v>
      </c>
      <c r="E313" s="338">
        <f t="shared" si="111"/>
        <v>1.0000008348347187</v>
      </c>
      <c r="F313" s="339">
        <f t="shared" si="112"/>
        <v>1.2921564439799392E-3</v>
      </c>
      <c r="G313" s="338">
        <f t="shared" si="113"/>
        <v>1</v>
      </c>
      <c r="H313" s="339">
        <f t="shared" si="114"/>
        <v>0</v>
      </c>
      <c r="I313" s="337">
        <f t="shared" si="115"/>
        <v>41352.841096137054</v>
      </c>
      <c r="J313" s="340">
        <f t="shared" si="116"/>
        <v>1.5707721446595562</v>
      </c>
      <c r="K313" s="348">
        <f t="shared" si="132"/>
        <v>3.9408507131455348</v>
      </c>
      <c r="L313" s="349">
        <f t="shared" si="133"/>
        <v>1.3142387446147088</v>
      </c>
      <c r="M313" s="337">
        <f t="shared" si="117"/>
        <v>1.0001952459943204</v>
      </c>
      <c r="N313" s="340">
        <f t="shared" si="118"/>
        <v>1.975926274503419E-2</v>
      </c>
      <c r="O313" s="341">
        <f t="shared" si="119"/>
        <v>0.99957812272114155</v>
      </c>
      <c r="P313" s="342">
        <f t="shared" si="120"/>
        <v>4.9547468642335358E-3</v>
      </c>
      <c r="Q313" s="343">
        <f t="shared" si="121"/>
        <v>8.3621678345273089</v>
      </c>
      <c r="R313" s="344">
        <f t="shared" si="122"/>
        <v>-83.634014596854684</v>
      </c>
      <c r="S313" s="346">
        <f t="shared" si="123"/>
        <v>96.365985403145316</v>
      </c>
      <c r="U313" s="319">
        <f t="shared" si="129"/>
        <v>1000000000</v>
      </c>
      <c r="V313" s="319">
        <f t="shared" si="130"/>
        <v>478646884</v>
      </c>
      <c r="X313" s="345">
        <f t="shared" si="124"/>
        <v>17.287221295029816</v>
      </c>
      <c r="Y313" s="346">
        <f t="shared" si="125"/>
        <v>-15.830403506380334</v>
      </c>
      <c r="AA313" s="345">
        <f t="shared" si="126"/>
        <v>27.08512050309896</v>
      </c>
      <c r="AB313" s="346">
        <f t="shared" si="127"/>
        <v>-67.803611090474334</v>
      </c>
      <c r="AD313">
        <f t="shared" si="131"/>
        <v>0</v>
      </c>
      <c r="AE313">
        <f t="shared" si="134"/>
        <v>0</v>
      </c>
    </row>
    <row r="314" spans="1:31" x14ac:dyDescent="0.2">
      <c r="A314" s="347">
        <v>22005.25</v>
      </c>
      <c r="B314" s="364">
        <f t="shared" si="128"/>
        <v>22.00525</v>
      </c>
      <c r="C314" s="337">
        <f t="shared" si="109"/>
        <v>2.6365416064655953</v>
      </c>
      <c r="D314" s="338">
        <f t="shared" si="110"/>
        <v>1.1817731720260791</v>
      </c>
      <c r="E314" s="338">
        <f t="shared" si="111"/>
        <v>1.0000008445743307</v>
      </c>
      <c r="F314" s="339">
        <f t="shared" si="112"/>
        <v>1.2996720634548002E-3</v>
      </c>
      <c r="G314" s="338">
        <f t="shared" si="113"/>
        <v>1</v>
      </c>
      <c r="H314" s="339">
        <f t="shared" si="114"/>
        <v>0</v>
      </c>
      <c r="I314" s="337">
        <f t="shared" si="115"/>
        <v>41593.36349427286</v>
      </c>
      <c r="J314" s="340">
        <f t="shared" si="116"/>
        <v>1.5707722844978549</v>
      </c>
      <c r="K314" s="348">
        <f t="shared" si="132"/>
        <v>3.9623001442457713</v>
      </c>
      <c r="L314" s="349">
        <f t="shared" si="133"/>
        <v>1.3156586202956642</v>
      </c>
      <c r="M314" s="337">
        <f t="shared" si="117"/>
        <v>1.0001975236107463</v>
      </c>
      <c r="N314" s="340">
        <f t="shared" si="118"/>
        <v>1.9874159264980193E-2</v>
      </c>
      <c r="O314" s="341">
        <f t="shared" si="119"/>
        <v>0.99957320094333502</v>
      </c>
      <c r="P314" s="342">
        <f t="shared" si="120"/>
        <v>4.9835901588793953E-3</v>
      </c>
      <c r="Q314" s="343">
        <f t="shared" si="121"/>
        <v>8.3158737872576598</v>
      </c>
      <c r="R314" s="344">
        <f t="shared" si="122"/>
        <v>-83.677329855594522</v>
      </c>
      <c r="S314" s="346">
        <f t="shared" si="123"/>
        <v>96.322670144405478</v>
      </c>
      <c r="U314" s="319">
        <f t="shared" si="129"/>
        <v>1000000000</v>
      </c>
      <c r="V314" s="319">
        <f t="shared" si="130"/>
        <v>484231027.5625</v>
      </c>
      <c r="X314" s="345">
        <f t="shared" si="124"/>
        <v>17.283975476933268</v>
      </c>
      <c r="Y314" s="346">
        <f t="shared" si="125"/>
        <v>-15.755641720160877</v>
      </c>
      <c r="AA314" s="345">
        <f t="shared" si="126"/>
        <v>27.042072273925861</v>
      </c>
      <c r="AB314" s="346">
        <f t="shared" si="127"/>
        <v>-67.921688135433683</v>
      </c>
      <c r="AD314">
        <f t="shared" si="131"/>
        <v>0</v>
      </c>
      <c r="AE314">
        <f t="shared" si="134"/>
        <v>0</v>
      </c>
    </row>
    <row r="315" spans="1:31" x14ac:dyDescent="0.2">
      <c r="A315" s="347">
        <v>22132.5</v>
      </c>
      <c r="B315" s="364">
        <f t="shared" si="128"/>
        <v>22.1325</v>
      </c>
      <c r="C315" s="337">
        <f t="shared" si="109"/>
        <v>2.6496000730036955</v>
      </c>
      <c r="D315" s="338">
        <f t="shared" si="110"/>
        <v>1.183792582613783</v>
      </c>
      <c r="E315" s="338">
        <f t="shared" si="111"/>
        <v>1.0000008543704273</v>
      </c>
      <c r="F315" s="339">
        <f t="shared" si="112"/>
        <v>1.3071876827828388E-3</v>
      </c>
      <c r="G315" s="338">
        <f t="shared" si="113"/>
        <v>1</v>
      </c>
      <c r="H315" s="339">
        <f t="shared" si="114"/>
        <v>0</v>
      </c>
      <c r="I315" s="337">
        <f t="shared" si="115"/>
        <v>41833.885892409467</v>
      </c>
      <c r="J315" s="340">
        <f t="shared" si="116"/>
        <v>1.570772422728163</v>
      </c>
      <c r="K315" s="348">
        <f t="shared" si="132"/>
        <v>3.9837574774995024</v>
      </c>
      <c r="L315" s="349">
        <f t="shared" si="133"/>
        <v>1.3170632033008278</v>
      </c>
      <c r="M315" s="337">
        <f t="shared" si="117"/>
        <v>1.0001998144309299</v>
      </c>
      <c r="N315" s="340">
        <f t="shared" si="118"/>
        <v>1.9989055260133587E-2</v>
      </c>
      <c r="O315" s="341">
        <f t="shared" si="119"/>
        <v>0.99956825062322308</v>
      </c>
      <c r="P315" s="342">
        <f t="shared" si="120"/>
        <v>5.012433884843989E-3</v>
      </c>
      <c r="Q315" s="343">
        <f t="shared" si="121"/>
        <v>8.2698101456806299</v>
      </c>
      <c r="R315" s="344">
        <f t="shared" si="122"/>
        <v>-83.720369867365292</v>
      </c>
      <c r="S315" s="346">
        <f t="shared" si="123"/>
        <v>96.279630132634708</v>
      </c>
      <c r="U315" s="319">
        <f t="shared" si="129"/>
        <v>1000000000</v>
      </c>
      <c r="V315" s="319">
        <f t="shared" si="130"/>
        <v>489847556.25</v>
      </c>
      <c r="X315" s="345">
        <f t="shared" si="124"/>
        <v>17.280782691455848</v>
      </c>
      <c r="Y315" s="346">
        <f t="shared" si="125"/>
        <v>-15.681756017523268</v>
      </c>
      <c r="AA315" s="345">
        <f t="shared" si="126"/>
        <v>26.999201417826249</v>
      </c>
      <c r="AB315" s="346">
        <f t="shared" si="127"/>
        <v>-68.038613849842037</v>
      </c>
      <c r="AD315">
        <f t="shared" si="131"/>
        <v>0</v>
      </c>
      <c r="AE315">
        <f t="shared" si="134"/>
        <v>0</v>
      </c>
    </row>
    <row r="316" spans="1:31" x14ac:dyDescent="0.2">
      <c r="A316" s="347">
        <v>22259.75</v>
      </c>
      <c r="B316" s="364">
        <f t="shared" si="128"/>
        <v>22.25975</v>
      </c>
      <c r="C316" s="337">
        <f t="shared" si="109"/>
        <v>2.6626692386534079</v>
      </c>
      <c r="D316" s="338">
        <f t="shared" si="110"/>
        <v>1.1857921775642397</v>
      </c>
      <c r="E316" s="338">
        <f t="shared" si="111"/>
        <v>1.0000008642230085</v>
      </c>
      <c r="F316" s="339">
        <f t="shared" si="112"/>
        <v>1.3147033019632051E-3</v>
      </c>
      <c r="G316" s="338">
        <f t="shared" si="113"/>
        <v>1</v>
      </c>
      <c r="H316" s="339">
        <f t="shared" si="114"/>
        <v>0</v>
      </c>
      <c r="I316" s="337">
        <f t="shared" si="115"/>
        <v>42074.408290546868</v>
      </c>
      <c r="J316" s="340">
        <f t="shared" si="116"/>
        <v>1.5707725593780577</v>
      </c>
      <c r="K316" s="348">
        <f t="shared" si="132"/>
        <v>4.005222585903196</v>
      </c>
      <c r="L316" s="349">
        <f t="shared" si="133"/>
        <v>1.318452733916315</v>
      </c>
      <c r="M316" s="337">
        <f t="shared" si="117"/>
        <v>1.0002021184547805</v>
      </c>
      <c r="N316" s="340">
        <f t="shared" si="118"/>
        <v>2.0103950727464487E-2</v>
      </c>
      <c r="O316" s="341">
        <f t="shared" si="119"/>
        <v>0.99956327176083104</v>
      </c>
      <c r="P316" s="342">
        <f t="shared" si="120"/>
        <v>5.0412780446285983E-3</v>
      </c>
      <c r="Q316" s="343">
        <f t="shared" si="121"/>
        <v>8.2239747157169418</v>
      </c>
      <c r="R316" s="344">
        <f t="shared" si="122"/>
        <v>-83.763136869224653</v>
      </c>
      <c r="S316" s="346">
        <f t="shared" si="123"/>
        <v>96.236863130775347</v>
      </c>
      <c r="U316" s="319">
        <f t="shared" si="129"/>
        <v>1000000000</v>
      </c>
      <c r="V316" s="319">
        <f t="shared" si="130"/>
        <v>495496470.0625</v>
      </c>
      <c r="X316" s="345">
        <f t="shared" si="124"/>
        <v>17.277641789520214</v>
      </c>
      <c r="Y316" s="346">
        <f t="shared" si="125"/>
        <v>-15.608732632493679</v>
      </c>
      <c r="AA316" s="345">
        <f t="shared" si="126"/>
        <v>26.956506889798195</v>
      </c>
      <c r="AB316" s="346">
        <f t="shared" si="127"/>
        <v>-68.154404236730969</v>
      </c>
      <c r="AD316">
        <f t="shared" si="131"/>
        <v>0</v>
      </c>
      <c r="AE316">
        <f t="shared" si="134"/>
        <v>0</v>
      </c>
    </row>
    <row r="317" spans="1:31" x14ac:dyDescent="0.2">
      <c r="A317" s="347">
        <v>22387</v>
      </c>
      <c r="B317" s="364">
        <f t="shared" si="128"/>
        <v>22.387</v>
      </c>
      <c r="C317" s="337">
        <f t="shared" si="109"/>
        <v>2.6757489466416642</v>
      </c>
      <c r="D317" s="338">
        <f t="shared" si="110"/>
        <v>1.1877722313599024</v>
      </c>
      <c r="E317" s="338">
        <f t="shared" si="111"/>
        <v>1.0000008741320743</v>
      </c>
      <c r="F317" s="339">
        <f t="shared" si="112"/>
        <v>1.3222189209950504E-3</v>
      </c>
      <c r="G317" s="338">
        <f t="shared" si="113"/>
        <v>1</v>
      </c>
      <c r="H317" s="339">
        <f t="shared" si="114"/>
        <v>0</v>
      </c>
      <c r="I317" s="337">
        <f t="shared" si="115"/>
        <v>42314.930688685046</v>
      </c>
      <c r="J317" s="340">
        <f t="shared" si="116"/>
        <v>1.5707726944744882</v>
      </c>
      <c r="K317" s="348">
        <f t="shared" si="132"/>
        <v>4.0266953451158569</v>
      </c>
      <c r="L317" s="349">
        <f t="shared" si="133"/>
        <v>1.3198274475381411</v>
      </c>
      <c r="M317" s="337">
        <f t="shared" si="117"/>
        <v>1.0002044356822064</v>
      </c>
      <c r="N317" s="340">
        <f t="shared" si="118"/>
        <v>2.021884566394308E-2</v>
      </c>
      <c r="O317" s="341">
        <f t="shared" si="119"/>
        <v>0.99955826435618378</v>
      </c>
      <c r="P317" s="342">
        <f t="shared" si="120"/>
        <v>5.0701226407346284E-3</v>
      </c>
      <c r="Q317" s="343">
        <f t="shared" si="121"/>
        <v>8.1783653348099001</v>
      </c>
      <c r="R317" s="344">
        <f t="shared" si="122"/>
        <v>-83.805633102174397</v>
      </c>
      <c r="S317" s="346">
        <f t="shared" si="123"/>
        <v>96.194366897825603</v>
      </c>
      <c r="U317" s="319">
        <f t="shared" si="129"/>
        <v>1000000000</v>
      </c>
      <c r="V317" s="319">
        <f t="shared" si="130"/>
        <v>501177769</v>
      </c>
      <c r="X317" s="345">
        <f t="shared" si="124"/>
        <v>17.274551652620289</v>
      </c>
      <c r="Y317" s="346">
        <f t="shared" si="125"/>
        <v>-15.536558079244374</v>
      </c>
      <c r="AA317" s="345">
        <f t="shared" si="126"/>
        <v>26.913987645791074</v>
      </c>
      <c r="AB317" s="346">
        <f t="shared" si="127"/>
        <v>-68.269075022930011</v>
      </c>
      <c r="AD317">
        <f t="shared" si="131"/>
        <v>0</v>
      </c>
      <c r="AE317">
        <f t="shared" si="134"/>
        <v>0</v>
      </c>
    </row>
    <row r="318" spans="1:31" x14ac:dyDescent="0.2">
      <c r="A318" s="347">
        <v>22517.5</v>
      </c>
      <c r="B318" s="364">
        <f t="shared" si="128"/>
        <v>22.517499999999998</v>
      </c>
      <c r="C318" s="337">
        <f t="shared" si="109"/>
        <v>2.6891735024946288</v>
      </c>
      <c r="D318" s="338">
        <f t="shared" si="110"/>
        <v>1.1897828426496537</v>
      </c>
      <c r="E318" s="338">
        <f t="shared" si="111"/>
        <v>1.0000008843528871</v>
      </c>
      <c r="F318" s="339">
        <f t="shared" si="112"/>
        <v>1.3299264908489853E-3</v>
      </c>
      <c r="G318" s="338">
        <f t="shared" si="113"/>
        <v>1</v>
      </c>
      <c r="H318" s="339">
        <f t="shared" si="114"/>
        <v>0</v>
      </c>
      <c r="I318" s="337">
        <f t="shared" si="115"/>
        <v>42561.59609502794</v>
      </c>
      <c r="J318" s="340">
        <f t="shared" si="116"/>
        <v>1.5707728314354215</v>
      </c>
      <c r="K318" s="348">
        <f t="shared" si="132"/>
        <v>4.0487243434047393</v>
      </c>
      <c r="L318" s="349">
        <f t="shared" si="133"/>
        <v>1.3212221237977166</v>
      </c>
      <c r="M318" s="337">
        <f t="shared" si="117"/>
        <v>1.0002068258058789</v>
      </c>
      <c r="N318" s="340">
        <f t="shared" si="118"/>
        <v>2.0336674494164906E-2</v>
      </c>
      <c r="O318" s="341">
        <f t="shared" si="119"/>
        <v>0.99955309941604165</v>
      </c>
      <c r="P318" s="342">
        <f t="shared" si="120"/>
        <v>5.0997043915585695E-3</v>
      </c>
      <c r="Q318" s="343">
        <f t="shared" si="121"/>
        <v>8.1318236278932261</v>
      </c>
      <c r="R318" s="344">
        <f t="shared" si="122"/>
        <v>-83.848935820117163</v>
      </c>
      <c r="S318" s="346">
        <f t="shared" si="123"/>
        <v>96.151064179882837</v>
      </c>
      <c r="U318" s="319">
        <f t="shared" si="129"/>
        <v>1000000000</v>
      </c>
      <c r="V318" s="319">
        <f t="shared" si="130"/>
        <v>507037806.25</v>
      </c>
      <c r="X318" s="345">
        <f t="shared" si="124"/>
        <v>17.271434178794042</v>
      </c>
      <c r="Y318" s="346">
        <f t="shared" si="125"/>
        <v>-15.463407957660118</v>
      </c>
      <c r="AA318" s="345">
        <f t="shared" si="126"/>
        <v>26.870563412700651</v>
      </c>
      <c r="AB318" s="346">
        <f t="shared" si="127"/>
        <v>-68.385527862457081</v>
      </c>
      <c r="AD318">
        <f t="shared" si="131"/>
        <v>0</v>
      </c>
      <c r="AE318">
        <f t="shared" si="134"/>
        <v>0</v>
      </c>
    </row>
    <row r="319" spans="1:31" x14ac:dyDescent="0.2">
      <c r="A319" s="347">
        <v>22648</v>
      </c>
      <c r="B319" s="364">
        <f t="shared" si="128"/>
        <v>22.648</v>
      </c>
      <c r="C319" s="337">
        <f t="shared" si="109"/>
        <v>2.7026088214618005</v>
      </c>
      <c r="D319" s="338">
        <f t="shared" si="110"/>
        <v>1.1917734714547714</v>
      </c>
      <c r="E319" s="338">
        <f t="shared" si="111"/>
        <v>1.0000008946331069</v>
      </c>
      <c r="F319" s="339">
        <f t="shared" si="112"/>
        <v>1.3376340605449069E-3</v>
      </c>
      <c r="G319" s="338">
        <f t="shared" si="113"/>
        <v>1</v>
      </c>
      <c r="H319" s="339">
        <f t="shared" si="114"/>
        <v>0</v>
      </c>
      <c r="I319" s="337">
        <f t="shared" si="115"/>
        <v>42808.261501371613</v>
      </c>
      <c r="J319" s="340">
        <f t="shared" si="116"/>
        <v>1.5707729668179899</v>
      </c>
      <c r="K319" s="348">
        <f t="shared" si="132"/>
        <v>4.0707611317127519</v>
      </c>
      <c r="L319" s="349">
        <f t="shared" si="133"/>
        <v>1.3226017027465828</v>
      </c>
      <c r="M319" s="337">
        <f t="shared" si="117"/>
        <v>1.0002092298159893</v>
      </c>
      <c r="N319" s="340">
        <f t="shared" si="118"/>
        <v>2.0454502759617722E-2</v>
      </c>
      <c r="O319" s="341">
        <f t="shared" si="119"/>
        <v>0.99954790445712616</v>
      </c>
      <c r="P319" s="342">
        <f t="shared" si="120"/>
        <v>5.1292866066052958E-3</v>
      </c>
      <c r="Q319" s="343">
        <f t="shared" si="121"/>
        <v>8.0855151561706471</v>
      </c>
      <c r="R319" s="344">
        <f t="shared" si="122"/>
        <v>-83.891958542026202</v>
      </c>
      <c r="S319" s="346">
        <f t="shared" si="123"/>
        <v>96.108041457973798</v>
      </c>
      <c r="U319" s="319">
        <f t="shared" si="129"/>
        <v>1000000000</v>
      </c>
      <c r="V319" s="319">
        <f t="shared" si="130"/>
        <v>512931904</v>
      </c>
      <c r="X319" s="345">
        <f t="shared" si="124"/>
        <v>17.268367807970698</v>
      </c>
      <c r="Y319" s="346">
        <f t="shared" si="125"/>
        <v>-15.39112272546998</v>
      </c>
      <c r="AA319" s="345">
        <f t="shared" si="126"/>
        <v>26.827321311801416</v>
      </c>
      <c r="AB319" s="346">
        <f t="shared" si="127"/>
        <v>-68.500835816556204</v>
      </c>
      <c r="AD319">
        <f t="shared" si="131"/>
        <v>0</v>
      </c>
      <c r="AE319">
        <f t="shared" si="134"/>
        <v>0</v>
      </c>
    </row>
    <row r="320" spans="1:31" x14ac:dyDescent="0.2">
      <c r="A320" s="347">
        <v>22778.5</v>
      </c>
      <c r="B320" s="364">
        <f t="shared" si="128"/>
        <v>22.778500000000001</v>
      </c>
      <c r="C320" s="337">
        <f t="shared" si="109"/>
        <v>2.7160547438197402</v>
      </c>
      <c r="D320" s="338">
        <f t="shared" si="110"/>
        <v>1.1937443986529699</v>
      </c>
      <c r="E320" s="338">
        <f t="shared" si="111"/>
        <v>1.0000009049727332</v>
      </c>
      <c r="F320" s="339">
        <f t="shared" si="112"/>
        <v>1.3453416300818997E-3</v>
      </c>
      <c r="G320" s="338">
        <f t="shared" si="113"/>
        <v>1</v>
      </c>
      <c r="H320" s="339">
        <f t="shared" si="114"/>
        <v>0</v>
      </c>
      <c r="I320" s="337">
        <f t="shared" si="115"/>
        <v>43054.926907716079</v>
      </c>
      <c r="J320" s="340">
        <f t="shared" si="116"/>
        <v>1.5707731006493213</v>
      </c>
      <c r="K320" s="348">
        <f t="shared" si="132"/>
        <v>4.0928055842090965</v>
      </c>
      <c r="L320" s="349">
        <f t="shared" si="133"/>
        <v>1.323966423039556</v>
      </c>
      <c r="M320" s="337">
        <f t="shared" si="117"/>
        <v>1.0002116477124379</v>
      </c>
      <c r="N320" s="340">
        <f t="shared" si="118"/>
        <v>2.0572330457033872E-2</v>
      </c>
      <c r="O320" s="341">
        <f t="shared" si="119"/>
        <v>0.99954267947946518</v>
      </c>
      <c r="P320" s="342">
        <f t="shared" si="120"/>
        <v>5.1588692885732174E-3</v>
      </c>
      <c r="Q320" s="343">
        <f t="shared" si="121"/>
        <v>8.0394376861963526</v>
      </c>
      <c r="R320" s="344">
        <f t="shared" si="122"/>
        <v>-83.934703688616921</v>
      </c>
      <c r="S320" s="346">
        <f t="shared" si="123"/>
        <v>96.065296311383079</v>
      </c>
      <c r="U320" s="319">
        <f t="shared" si="129"/>
        <v>1000000000</v>
      </c>
      <c r="V320" s="319">
        <f t="shared" si="130"/>
        <v>518860062.25</v>
      </c>
      <c r="X320" s="345">
        <f t="shared" si="124"/>
        <v>17.265351427711117</v>
      </c>
      <c r="Y320" s="346">
        <f t="shared" si="125"/>
        <v>-15.319688710127274</v>
      </c>
      <c r="AA320" s="345">
        <f t="shared" si="126"/>
        <v>26.784260222086704</v>
      </c>
      <c r="AB320" s="346">
        <f t="shared" si="127"/>
        <v>-68.61501497848964</v>
      </c>
      <c r="AD320">
        <f t="shared" si="131"/>
        <v>0</v>
      </c>
      <c r="AE320">
        <f t="shared" si="134"/>
        <v>0</v>
      </c>
    </row>
    <row r="321" spans="1:31" x14ac:dyDescent="0.2">
      <c r="A321" s="347">
        <v>22909</v>
      </c>
      <c r="B321" s="364">
        <f t="shared" si="128"/>
        <v>22.908999999999999</v>
      </c>
      <c r="C321" s="337">
        <f t="shared" si="109"/>
        <v>2.7295111128674581</v>
      </c>
      <c r="D321" s="338">
        <f t="shared" si="110"/>
        <v>1.1956959002019305</v>
      </c>
      <c r="E321" s="338">
        <f t="shared" si="111"/>
        <v>1.0000009153717664</v>
      </c>
      <c r="F321" s="339">
        <f t="shared" si="112"/>
        <v>1.3530491994590481E-3</v>
      </c>
      <c r="G321" s="338">
        <f t="shared" si="113"/>
        <v>1</v>
      </c>
      <c r="H321" s="339">
        <f t="shared" si="114"/>
        <v>0</v>
      </c>
      <c r="I321" s="337">
        <f t="shared" si="115"/>
        <v>43301.592314061287</v>
      </c>
      <c r="J321" s="340">
        <f t="shared" si="116"/>
        <v>1.5707732329559256</v>
      </c>
      <c r="K321" s="348">
        <f t="shared" si="132"/>
        <v>4.1148575777161192</v>
      </c>
      <c r="L321" s="349">
        <f t="shared" si="133"/>
        <v>1.3253165184396054</v>
      </c>
      <c r="M321" s="337">
        <f t="shared" si="117"/>
        <v>1.000214079495124</v>
      </c>
      <c r="N321" s="340">
        <f t="shared" si="118"/>
        <v>2.06901575831458E-2</v>
      </c>
      <c r="O321" s="341">
        <f t="shared" si="119"/>
        <v>0.99953742448308647</v>
      </c>
      <c r="P321" s="342">
        <f t="shared" si="120"/>
        <v>5.1884524401608805E-3</v>
      </c>
      <c r="Q321" s="343">
        <f t="shared" si="121"/>
        <v>7.9935890166031047</v>
      </c>
      <c r="R321" s="344">
        <f t="shared" si="122"/>
        <v>-83.977173678954728</v>
      </c>
      <c r="S321" s="346">
        <f t="shared" si="123"/>
        <v>96.022826321045272</v>
      </c>
      <c r="U321" s="319">
        <f t="shared" si="129"/>
        <v>1000000000</v>
      </c>
      <c r="V321" s="319">
        <f t="shared" si="130"/>
        <v>524822281</v>
      </c>
      <c r="X321" s="345">
        <f t="shared" si="124"/>
        <v>17.262383955317365</v>
      </c>
      <c r="Y321" s="346">
        <f t="shared" si="125"/>
        <v>-15.249092519332152</v>
      </c>
      <c r="AA321" s="345">
        <f t="shared" si="126"/>
        <v>26.741379024887205</v>
      </c>
      <c r="AB321" s="346">
        <f t="shared" si="127"/>
        <v>-68.728081159622576</v>
      </c>
      <c r="AD321">
        <f t="shared" si="131"/>
        <v>0</v>
      </c>
      <c r="AE321">
        <f t="shared" si="134"/>
        <v>0</v>
      </c>
    </row>
    <row r="322" spans="1:31" x14ac:dyDescent="0.2">
      <c r="A322" s="347">
        <v>23042.25</v>
      </c>
      <c r="B322" s="364">
        <f t="shared" si="128"/>
        <v>23.042249999999999</v>
      </c>
      <c r="C322" s="337">
        <f t="shared" si="109"/>
        <v>2.743261664729324</v>
      </c>
      <c r="D322" s="338">
        <f t="shared" si="110"/>
        <v>1.1976687630616576</v>
      </c>
      <c r="E322" s="338">
        <f t="shared" si="111"/>
        <v>1.0000009260512337</v>
      </c>
      <c r="F322" s="339">
        <f t="shared" si="112"/>
        <v>1.3609191887146584E-3</v>
      </c>
      <c r="G322" s="338">
        <f t="shared" si="113"/>
        <v>1</v>
      </c>
      <c r="H322" s="339">
        <f t="shared" si="114"/>
        <v>0</v>
      </c>
      <c r="I322" s="337">
        <f t="shared" si="115"/>
        <v>43553.455650426054</v>
      </c>
      <c r="J322" s="340">
        <f t="shared" si="116"/>
        <v>1.5707733665042571</v>
      </c>
      <c r="K322" s="348">
        <f t="shared" si="132"/>
        <v>4.1373819241628862</v>
      </c>
      <c r="L322" s="349">
        <f t="shared" si="133"/>
        <v>1.3266802116206846</v>
      </c>
      <c r="M322" s="337">
        <f t="shared" si="117"/>
        <v>1.0002165768504208</v>
      </c>
      <c r="N322" s="340">
        <f t="shared" si="118"/>
        <v>2.0810467063475013E-2</v>
      </c>
      <c r="O322" s="341">
        <f t="shared" si="119"/>
        <v>0.99953202777501504</v>
      </c>
      <c r="P322" s="342">
        <f t="shared" si="120"/>
        <v>5.2186594788671123E-3</v>
      </c>
      <c r="Q322" s="343">
        <f t="shared" si="121"/>
        <v>7.9470080161092413</v>
      </c>
      <c r="R322" s="344">
        <f t="shared" si="122"/>
        <v>-84.020257226472168</v>
      </c>
      <c r="S322" s="346">
        <f t="shared" si="123"/>
        <v>95.979742773527832</v>
      </c>
      <c r="U322" s="319">
        <f t="shared" si="129"/>
        <v>1000000000</v>
      </c>
      <c r="V322" s="319">
        <f t="shared" si="130"/>
        <v>530945285.0625</v>
      </c>
      <c r="X322" s="345">
        <f t="shared" si="124"/>
        <v>17.259403319715481</v>
      </c>
      <c r="Y322" s="346">
        <f t="shared" si="125"/>
        <v>-15.177859532638182</v>
      </c>
      <c r="AA322" s="345">
        <f t="shared" si="126"/>
        <v>26.697778659995226</v>
      </c>
      <c r="AB322" s="346">
        <f t="shared" si="127"/>
        <v>-68.842397693833973</v>
      </c>
      <c r="AD322">
        <f t="shared" si="131"/>
        <v>0</v>
      </c>
      <c r="AE322">
        <f t="shared" si="134"/>
        <v>0</v>
      </c>
    </row>
    <row r="323" spans="1:31" x14ac:dyDescent="0.2">
      <c r="A323" s="347">
        <v>23175.5</v>
      </c>
      <c r="B323" s="364">
        <f t="shared" si="128"/>
        <v>23.1755</v>
      </c>
      <c r="C323" s="337">
        <f t="shared" si="109"/>
        <v>2.7570227873516484</v>
      </c>
      <c r="D323" s="338">
        <f t="shared" si="110"/>
        <v>1.1996219391671017</v>
      </c>
      <c r="E323" s="338">
        <f t="shared" si="111"/>
        <v>1.0000009367926379</v>
      </c>
      <c r="F323" s="339">
        <f t="shared" si="112"/>
        <v>1.368789177801687E-3</v>
      </c>
      <c r="G323" s="338">
        <f t="shared" si="113"/>
        <v>1</v>
      </c>
      <c r="H323" s="339">
        <f t="shared" si="114"/>
        <v>0</v>
      </c>
      <c r="I323" s="337">
        <f t="shared" si="115"/>
        <v>43805.318986791579</v>
      </c>
      <c r="J323" s="340">
        <f t="shared" si="116"/>
        <v>1.570773498516888</v>
      </c>
      <c r="K323" s="348">
        <f t="shared" si="132"/>
        <v>4.1599138813998238</v>
      </c>
      <c r="L323" s="349">
        <f t="shared" si="133"/>
        <v>1.3280291345412918</v>
      </c>
      <c r="M323" s="337">
        <f t="shared" si="117"/>
        <v>1.0002190886831512</v>
      </c>
      <c r="N323" s="340">
        <f t="shared" si="118"/>
        <v>2.0930775941283421E-2</v>
      </c>
      <c r="O323" s="341">
        <f t="shared" si="119"/>
        <v>0.99952659976979796</v>
      </c>
      <c r="P323" s="342">
        <f t="shared" si="120"/>
        <v>5.2488670128807207E-3</v>
      </c>
      <c r="Q323" s="343">
        <f t="shared" si="121"/>
        <v>7.9006610213554671</v>
      </c>
      <c r="R323" s="344">
        <f t="shared" si="122"/>
        <v>-84.063058985521508</v>
      </c>
      <c r="S323" s="346">
        <f t="shared" si="123"/>
        <v>95.936941014478492</v>
      </c>
      <c r="U323" s="319">
        <f t="shared" si="129"/>
        <v>1000000000</v>
      </c>
      <c r="V323" s="319">
        <f t="shared" si="130"/>
        <v>537103800.25</v>
      </c>
      <c r="X323" s="345">
        <f t="shared" si="124"/>
        <v>17.256471484333932</v>
      </c>
      <c r="Y323" s="346">
        <f t="shared" si="125"/>
        <v>-15.107472697021464</v>
      </c>
      <c r="AA323" s="345">
        <f t="shared" si="126"/>
        <v>26.654363500623003</v>
      </c>
      <c r="AB323" s="346">
        <f t="shared" si="127"/>
        <v>-68.955586288500044</v>
      </c>
      <c r="AD323">
        <f t="shared" si="131"/>
        <v>0</v>
      </c>
      <c r="AE323">
        <f t="shared" si="134"/>
        <v>0</v>
      </c>
    </row>
    <row r="324" spans="1:31" x14ac:dyDescent="0.2">
      <c r="A324" s="347">
        <v>23308.75</v>
      </c>
      <c r="B324" s="364">
        <f t="shared" si="128"/>
        <v>23.30875</v>
      </c>
      <c r="C324" s="337">
        <f t="shared" si="109"/>
        <v>2.7707943232357053</v>
      </c>
      <c r="D324" s="338">
        <f t="shared" si="110"/>
        <v>1.2015557070481135</v>
      </c>
      <c r="E324" s="338">
        <f t="shared" si="111"/>
        <v>1.000000947595979</v>
      </c>
      <c r="F324" s="339">
        <f t="shared" si="112"/>
        <v>1.3766591667191586E-3</v>
      </c>
      <c r="G324" s="338">
        <f t="shared" si="113"/>
        <v>1</v>
      </c>
      <c r="H324" s="339">
        <f t="shared" si="114"/>
        <v>0</v>
      </c>
      <c r="I324" s="337">
        <f t="shared" si="115"/>
        <v>44057.182323157867</v>
      </c>
      <c r="J324" s="340">
        <f t="shared" si="116"/>
        <v>1.5707736290201557</v>
      </c>
      <c r="K324" s="348">
        <f t="shared" si="132"/>
        <v>4.1824533264230537</v>
      </c>
      <c r="L324" s="349">
        <f t="shared" si="133"/>
        <v>1.329363521045325</v>
      </c>
      <c r="M324" s="337">
        <f t="shared" si="117"/>
        <v>1.0002216149932059</v>
      </c>
      <c r="N324" s="340">
        <f t="shared" si="118"/>
        <v>2.1051084213092819E-2</v>
      </c>
      <c r="O324" s="341">
        <f t="shared" si="119"/>
        <v>0.99952114046746565</v>
      </c>
      <c r="P324" s="342">
        <f t="shared" si="120"/>
        <v>5.2790750450749276E-3</v>
      </c>
      <c r="Q324" s="343">
        <f t="shared" si="121"/>
        <v>7.8545457881973748</v>
      </c>
      <c r="R324" s="344">
        <f t="shared" si="122"/>
        <v>-84.105581517893697</v>
      </c>
      <c r="S324" s="346">
        <f t="shared" si="123"/>
        <v>95.894418482106303</v>
      </c>
      <c r="U324" s="319">
        <f t="shared" si="129"/>
        <v>1000000000</v>
      </c>
      <c r="V324" s="319">
        <f t="shared" si="130"/>
        <v>543297826.5625</v>
      </c>
      <c r="X324" s="345">
        <f t="shared" si="124"/>
        <v>17.253587386590659</v>
      </c>
      <c r="Y324" s="346">
        <f t="shared" si="125"/>
        <v>-15.037918615523322</v>
      </c>
      <c r="AA324" s="345">
        <f t="shared" si="126"/>
        <v>26.611132365208185</v>
      </c>
      <c r="AB324" s="346">
        <f t="shared" si="127"/>
        <v>-69.067662902370373</v>
      </c>
      <c r="AD324">
        <f t="shared" si="131"/>
        <v>0</v>
      </c>
      <c r="AE324">
        <f t="shared" si="134"/>
        <v>0</v>
      </c>
    </row>
    <row r="325" spans="1:31" x14ac:dyDescent="0.2">
      <c r="A325" s="347">
        <v>23442</v>
      </c>
      <c r="B325" s="364">
        <f t="shared" si="128"/>
        <v>23.442</v>
      </c>
      <c r="C325" s="337">
        <f t="shared" si="109"/>
        <v>2.7845761178804875</v>
      </c>
      <c r="D325" s="338">
        <f t="shared" si="110"/>
        <v>1.2034703403072768</v>
      </c>
      <c r="E325" s="338">
        <f t="shared" si="111"/>
        <v>1.0000009584612566</v>
      </c>
      <c r="F325" s="339">
        <f t="shared" si="112"/>
        <v>1.384529155466099E-3</v>
      </c>
      <c r="G325" s="338">
        <f t="shared" si="113"/>
        <v>1</v>
      </c>
      <c r="H325" s="339">
        <f t="shared" si="114"/>
        <v>0</v>
      </c>
      <c r="I325" s="337">
        <f t="shared" si="115"/>
        <v>44309.045659524891</v>
      </c>
      <c r="J325" s="340">
        <f t="shared" si="116"/>
        <v>1.5707737580397994</v>
      </c>
      <c r="K325" s="348">
        <f t="shared" si="132"/>
        <v>4.2050001388255307</v>
      </c>
      <c r="L325" s="349">
        <f t="shared" si="133"/>
        <v>1.330683600170862</v>
      </c>
      <c r="M325" s="337">
        <f t="shared" si="117"/>
        <v>1.0002241557804754</v>
      </c>
      <c r="N325" s="340">
        <f t="shared" si="118"/>
        <v>2.1171391875425109E-2</v>
      </c>
      <c r="O325" s="341">
        <f t="shared" si="119"/>
        <v>0.99951564986804842</v>
      </c>
      <c r="P325" s="342">
        <f t="shared" si="120"/>
        <v>5.3092835783231061E-3</v>
      </c>
      <c r="Q325" s="343">
        <f t="shared" si="121"/>
        <v>7.8086601046030992</v>
      </c>
      <c r="R325" s="344">
        <f t="shared" si="122"/>
        <v>-84.147827378386978</v>
      </c>
      <c r="S325" s="346">
        <f t="shared" si="123"/>
        <v>95.852172621613022</v>
      </c>
      <c r="U325" s="319">
        <f t="shared" si="129"/>
        <v>1000000000</v>
      </c>
      <c r="V325" s="319">
        <f t="shared" si="130"/>
        <v>549527364</v>
      </c>
      <c r="X325" s="345">
        <f t="shared" si="124"/>
        <v>17.250749992324934</v>
      </c>
      <c r="Y325" s="346">
        <f t="shared" si="125"/>
        <v>-14.969184166503965</v>
      </c>
      <c r="AA325" s="345">
        <f t="shared" si="126"/>
        <v>26.568084075879632</v>
      </c>
      <c r="AB325" s="346">
        <f t="shared" si="127"/>
        <v>-69.178643211882999</v>
      </c>
      <c r="AD325">
        <f t="shared" si="131"/>
        <v>0</v>
      </c>
      <c r="AE325">
        <f t="shared" si="134"/>
        <v>0</v>
      </c>
    </row>
    <row r="326" spans="1:31" x14ac:dyDescent="0.2">
      <c r="A326" s="347">
        <v>23578.5</v>
      </c>
      <c r="B326" s="364">
        <f t="shared" si="128"/>
        <v>23.578499999999998</v>
      </c>
      <c r="C326" s="337">
        <f t="shared" si="109"/>
        <v>2.7987045325695736</v>
      </c>
      <c r="D326" s="338">
        <f t="shared" si="110"/>
        <v>1.205412112502821</v>
      </c>
      <c r="E326" s="338">
        <f t="shared" si="111"/>
        <v>1.0000009696557624</v>
      </c>
      <c r="F326" s="339">
        <f t="shared" si="112"/>
        <v>1.3925910949802458E-3</v>
      </c>
      <c r="G326" s="338">
        <f t="shared" si="113"/>
        <v>1</v>
      </c>
      <c r="H326" s="339">
        <f t="shared" si="114"/>
        <v>0</v>
      </c>
      <c r="I326" s="337">
        <f t="shared" si="115"/>
        <v>44567.052004096746</v>
      </c>
      <c r="J326" s="340">
        <f t="shared" si="116"/>
        <v>1.570773888694212</v>
      </c>
      <c r="K326" s="348">
        <f t="shared" si="132"/>
        <v>4.2281043893877346</v>
      </c>
      <c r="L326" s="349">
        <f t="shared" si="133"/>
        <v>1.332021275762459</v>
      </c>
      <c r="M326" s="337">
        <f t="shared" si="117"/>
        <v>1.0002267735492256</v>
      </c>
      <c r="N326" s="340">
        <f t="shared" si="118"/>
        <v>2.1294633235393091E-2</v>
      </c>
      <c r="O326" s="341">
        <f t="shared" si="119"/>
        <v>0.9995099929001946</v>
      </c>
      <c r="P326" s="342">
        <f t="shared" si="120"/>
        <v>5.3402294276031319E-3</v>
      </c>
      <c r="Q326" s="343">
        <f t="shared" si="121"/>
        <v>7.7618909948138395</v>
      </c>
      <c r="R326" s="344">
        <f t="shared" si="122"/>
        <v>-84.190819411442817</v>
      </c>
      <c r="S326" s="346">
        <f t="shared" si="123"/>
        <v>95.809180588557183</v>
      </c>
      <c r="U326" s="319">
        <f t="shared" si="129"/>
        <v>1000000000</v>
      </c>
      <c r="V326" s="319">
        <f t="shared" si="130"/>
        <v>555945662.25</v>
      </c>
      <c r="X326" s="345">
        <f t="shared" si="124"/>
        <v>17.247890767273102</v>
      </c>
      <c r="Y326" s="346">
        <f t="shared" si="125"/>
        <v>-14.899609696402333</v>
      </c>
      <c r="AA326" s="345">
        <f t="shared" si="126"/>
        <v>26.524174191142205</v>
      </c>
      <c r="AB326" s="346">
        <f t="shared" si="127"/>
        <v>-69.291209715040495</v>
      </c>
      <c r="AD326">
        <f t="shared" si="131"/>
        <v>0</v>
      </c>
      <c r="AE326">
        <f t="shared" si="134"/>
        <v>0</v>
      </c>
    </row>
    <row r="327" spans="1:31" x14ac:dyDescent="0.2">
      <c r="A327" s="347">
        <v>23715</v>
      </c>
      <c r="B327" s="364">
        <f t="shared" si="128"/>
        <v>23.715</v>
      </c>
      <c r="C327" s="337">
        <f t="shared" si="109"/>
        <v>2.8128433936867263</v>
      </c>
      <c r="D327" s="338">
        <f t="shared" si="110"/>
        <v>1.2073343711064333</v>
      </c>
      <c r="E327" s="338">
        <f t="shared" si="111"/>
        <v>1.000000980915263</v>
      </c>
      <c r="F327" s="339">
        <f t="shared" si="112"/>
        <v>1.4006530343133703E-3</v>
      </c>
      <c r="G327" s="338">
        <f t="shared" si="113"/>
        <v>1</v>
      </c>
      <c r="H327" s="339">
        <f t="shared" si="114"/>
        <v>0</v>
      </c>
      <c r="I327" s="337">
        <f t="shared" si="115"/>
        <v>44825.05834866935</v>
      </c>
      <c r="J327" s="340">
        <f t="shared" si="116"/>
        <v>1.5707740178445702</v>
      </c>
      <c r="K327" s="348">
        <f t="shared" si="132"/>
        <v>4.2512161233756922</v>
      </c>
      <c r="L327" s="349">
        <f t="shared" si="133"/>
        <v>1.3333444091550815</v>
      </c>
      <c r="M327" s="337">
        <f t="shared" si="117"/>
        <v>1.0002294065097734</v>
      </c>
      <c r="N327" s="340">
        <f t="shared" si="118"/>
        <v>2.1417873948402468E-2</v>
      </c>
      <c r="O327" s="341">
        <f t="shared" si="119"/>
        <v>0.99950430309001548</v>
      </c>
      <c r="P327" s="342">
        <f t="shared" si="120"/>
        <v>5.3711758087813966E-3</v>
      </c>
      <c r="Q327" s="343">
        <f t="shared" si="121"/>
        <v>7.7153581700844089</v>
      </c>
      <c r="R327" s="344">
        <f t="shared" si="122"/>
        <v>-84.233526511905566</v>
      </c>
      <c r="S327" s="346">
        <f t="shared" si="123"/>
        <v>95.766473488094434</v>
      </c>
      <c r="U327" s="319">
        <f t="shared" si="129"/>
        <v>1000000000</v>
      </c>
      <c r="V327" s="319">
        <f t="shared" si="130"/>
        <v>562401225</v>
      </c>
      <c r="X327" s="345">
        <f t="shared" si="124"/>
        <v>17.245078442361251</v>
      </c>
      <c r="Y327" s="346">
        <f t="shared" si="125"/>
        <v>-14.830868309683758</v>
      </c>
      <c r="AA327" s="345">
        <f t="shared" si="126"/>
        <v>26.48045369132462</v>
      </c>
      <c r="AB327" s="346">
        <f t="shared" si="127"/>
        <v>-69.402658202221787</v>
      </c>
      <c r="AD327">
        <f t="shared" si="131"/>
        <v>0</v>
      </c>
      <c r="AE327">
        <f t="shared" si="134"/>
        <v>0</v>
      </c>
    </row>
    <row r="328" spans="1:31" x14ac:dyDescent="0.2">
      <c r="A328" s="347">
        <v>23851.5</v>
      </c>
      <c r="B328" s="364">
        <f t="shared" si="128"/>
        <v>23.851500000000001</v>
      </c>
      <c r="C328" s="337">
        <f t="shared" si="109"/>
        <v>2.8269925444923114</v>
      </c>
      <c r="D328" s="338">
        <f t="shared" si="110"/>
        <v>1.2092373948024835</v>
      </c>
      <c r="E328" s="338">
        <f t="shared" si="111"/>
        <v>1.0000009922397588</v>
      </c>
      <c r="F328" s="339">
        <f t="shared" si="112"/>
        <v>1.408714973464424E-3</v>
      </c>
      <c r="G328" s="338">
        <f t="shared" si="113"/>
        <v>1</v>
      </c>
      <c r="H328" s="339">
        <f t="shared" si="114"/>
        <v>0</v>
      </c>
      <c r="I328" s="337">
        <f t="shared" si="115"/>
        <v>45083.064693242704</v>
      </c>
      <c r="J328" s="340">
        <f t="shared" si="116"/>
        <v>1.5707741455166964</v>
      </c>
      <c r="K328" s="348">
        <f t="shared" si="132"/>
        <v>4.2743352193986377</v>
      </c>
      <c r="L328" s="349">
        <f t="shared" si="133"/>
        <v>1.3346532316462572</v>
      </c>
      <c r="M328" s="337">
        <f t="shared" si="117"/>
        <v>1.0002320546619989</v>
      </c>
      <c r="N328" s="340">
        <f t="shared" si="118"/>
        <v>2.1541114010714738E-2</v>
      </c>
      <c r="O328" s="341">
        <f t="shared" si="119"/>
        <v>0.99949858043754414</v>
      </c>
      <c r="P328" s="342">
        <f t="shared" si="120"/>
        <v>5.4021227249472044E-3</v>
      </c>
      <c r="Q328" s="343">
        <f t="shared" si="121"/>
        <v>7.6690593531828029</v>
      </c>
      <c r="R328" s="344">
        <f t="shared" si="122"/>
        <v>-84.275951396283517</v>
      </c>
      <c r="S328" s="346">
        <f t="shared" si="123"/>
        <v>95.724048603716483</v>
      </c>
      <c r="U328" s="319">
        <f t="shared" si="129"/>
        <v>1000000000</v>
      </c>
      <c r="V328" s="319">
        <f t="shared" si="130"/>
        <v>568894052.25</v>
      </c>
      <c r="X328" s="345">
        <f t="shared" si="124"/>
        <v>17.242311992889114</v>
      </c>
      <c r="Y328" s="346">
        <f t="shared" si="125"/>
        <v>-14.762946755241389</v>
      </c>
      <c r="AA328" s="345">
        <f t="shared" si="126"/>
        <v>26.436921323895156</v>
      </c>
      <c r="AB328" s="346">
        <f t="shared" si="127"/>
        <v>-69.513004641042144</v>
      </c>
      <c r="AD328">
        <f t="shared" si="131"/>
        <v>0</v>
      </c>
      <c r="AE328">
        <f t="shared" si="134"/>
        <v>0</v>
      </c>
    </row>
    <row r="329" spans="1:31" x14ac:dyDescent="0.2">
      <c r="A329" s="347">
        <v>23988</v>
      </c>
      <c r="B329" s="364">
        <f t="shared" si="128"/>
        <v>23.988</v>
      </c>
      <c r="C329" s="337">
        <f t="shared" si="109"/>
        <v>2.8411518312560564</v>
      </c>
      <c r="D329" s="338">
        <f t="shared" si="110"/>
        <v>1.2111214572832396</v>
      </c>
      <c r="E329" s="338">
        <f t="shared" si="111"/>
        <v>1.0000010036292493</v>
      </c>
      <c r="F329" s="339">
        <f t="shared" si="112"/>
        <v>1.4167769124323593E-3</v>
      </c>
      <c r="G329" s="338">
        <f t="shared" si="113"/>
        <v>1</v>
      </c>
      <c r="H329" s="339">
        <f t="shared" si="114"/>
        <v>0</v>
      </c>
      <c r="I329" s="337">
        <f t="shared" si="115"/>
        <v>45341.071037816771</v>
      </c>
      <c r="J329" s="340">
        <f t="shared" si="116"/>
        <v>1.5707742717358257</v>
      </c>
      <c r="K329" s="348">
        <f t="shared" si="132"/>
        <v>4.2974615586397382</v>
      </c>
      <c r="L329" s="349">
        <f t="shared" si="133"/>
        <v>1.3359479697532057</v>
      </c>
      <c r="M329" s="337">
        <f t="shared" si="117"/>
        <v>1.0002347180057811</v>
      </c>
      <c r="N329" s="340">
        <f t="shared" si="118"/>
        <v>2.1664353418591513E-2</v>
      </c>
      <c r="O329" s="341">
        <f t="shared" si="119"/>
        <v>0.99949282494281411</v>
      </c>
      <c r="P329" s="342">
        <f t="shared" si="120"/>
        <v>5.4330701791900299E-3</v>
      </c>
      <c r="Q329" s="343">
        <f t="shared" si="121"/>
        <v>7.6229922994743955</v>
      </c>
      <c r="R329" s="344">
        <f t="shared" si="122"/>
        <v>-84.318096768916732</v>
      </c>
      <c r="S329" s="346">
        <f t="shared" si="123"/>
        <v>95.681903231083268</v>
      </c>
      <c r="U329" s="319">
        <f t="shared" si="129"/>
        <v>1000000000</v>
      </c>
      <c r="V329" s="319">
        <f t="shared" si="130"/>
        <v>575424144</v>
      </c>
      <c r="X329" s="345">
        <f t="shared" si="124"/>
        <v>17.239590421662371</v>
      </c>
      <c r="Y329" s="346">
        <f t="shared" si="125"/>
        <v>-14.695832055826221</v>
      </c>
      <c r="AA329" s="345">
        <f t="shared" si="126"/>
        <v>26.39357584141349</v>
      </c>
      <c r="AB329" s="346">
        <f t="shared" si="127"/>
        <v>-69.622264713090516</v>
      </c>
      <c r="AD329">
        <f t="shared" si="131"/>
        <v>0</v>
      </c>
      <c r="AE329">
        <f t="shared" si="134"/>
        <v>0</v>
      </c>
    </row>
    <row r="330" spans="1:31" x14ac:dyDescent="0.2">
      <c r="A330" s="347">
        <v>24127.75</v>
      </c>
      <c r="B330" s="364">
        <f t="shared" si="128"/>
        <v>24.127749999999999</v>
      </c>
      <c r="C330" s="337">
        <f t="shared" si="109"/>
        <v>2.8556585872848346</v>
      </c>
      <c r="D330" s="338">
        <f t="shared" si="110"/>
        <v>1.2130310152789336</v>
      </c>
      <c r="E330" s="338">
        <f t="shared" si="111"/>
        <v>1.0000010153572527</v>
      </c>
      <c r="F330" s="339">
        <f t="shared" si="112"/>
        <v>1.4250308021372976E-3</v>
      </c>
      <c r="G330" s="338">
        <f t="shared" si="113"/>
        <v>1</v>
      </c>
      <c r="H330" s="339">
        <f t="shared" si="114"/>
        <v>0</v>
      </c>
      <c r="I330" s="337">
        <f t="shared" si="115"/>
        <v>45605.220390595736</v>
      </c>
      <c r="J330" s="340">
        <f t="shared" si="116"/>
        <v>1.5707743994806218</v>
      </c>
      <c r="K330" s="348">
        <f t="shared" si="132"/>
        <v>4.3211459075255014</v>
      </c>
      <c r="L330" s="349">
        <f t="shared" si="133"/>
        <v>1.3372591752070313</v>
      </c>
      <c r="M330" s="337">
        <f t="shared" si="117"/>
        <v>1.0002374605008022</v>
      </c>
      <c r="N330" s="340">
        <f t="shared" si="118"/>
        <v>2.1790526416187141E-2</v>
      </c>
      <c r="O330" s="341">
        <f t="shared" si="119"/>
        <v>0.99948689838802485</v>
      </c>
      <c r="P330" s="342">
        <f t="shared" si="120"/>
        <v>5.4647550382543441E-3</v>
      </c>
      <c r="Q330" s="343">
        <f t="shared" si="121"/>
        <v>7.5760662069585543</v>
      </c>
      <c r="R330" s="344">
        <f t="shared" si="122"/>
        <v>-84.360958839418331</v>
      </c>
      <c r="S330" s="346">
        <f t="shared" si="123"/>
        <v>95.639041160581669</v>
      </c>
      <c r="U330" s="319">
        <f t="shared" si="129"/>
        <v>1000000000</v>
      </c>
      <c r="V330" s="319">
        <f t="shared" si="130"/>
        <v>582148320.0625</v>
      </c>
      <c r="X330" s="345">
        <f t="shared" si="124"/>
        <v>17.236849531562527</v>
      </c>
      <c r="Y330" s="346">
        <f t="shared" si="125"/>
        <v>-14.62794201665832</v>
      </c>
      <c r="AA330" s="345">
        <f t="shared" si="126"/>
        <v>26.349390638997491</v>
      </c>
      <c r="AB330" s="346">
        <f t="shared" si="127"/>
        <v>-69.733016822759978</v>
      </c>
      <c r="AD330">
        <f t="shared" si="131"/>
        <v>0</v>
      </c>
      <c r="AE330">
        <f t="shared" si="134"/>
        <v>0</v>
      </c>
    </row>
    <row r="331" spans="1:31" x14ac:dyDescent="0.2">
      <c r="A331" s="347">
        <v>24267.5</v>
      </c>
      <c r="B331" s="364">
        <f t="shared" si="128"/>
        <v>24.267499999999998</v>
      </c>
      <c r="C331" s="337">
        <f t="shared" si="109"/>
        <v>2.8701756509384801</v>
      </c>
      <c r="D331" s="338">
        <f t="shared" si="110"/>
        <v>1.2149212633995443</v>
      </c>
      <c r="E331" s="338">
        <f t="shared" si="111"/>
        <v>1.0000010271533828</v>
      </c>
      <c r="F331" s="339">
        <f t="shared" si="112"/>
        <v>1.4332846916480706E-3</v>
      </c>
      <c r="G331" s="338">
        <f t="shared" si="113"/>
        <v>1</v>
      </c>
      <c r="H331" s="339">
        <f t="shared" si="114"/>
        <v>0</v>
      </c>
      <c r="I331" s="337">
        <f t="shared" si="115"/>
        <v>45869.369743375421</v>
      </c>
      <c r="J331" s="340">
        <f t="shared" si="116"/>
        <v>1.5707745257541221</v>
      </c>
      <c r="K331" s="348">
        <f t="shared" si="132"/>
        <v>4.3448376045810386</v>
      </c>
      <c r="L331" s="349">
        <f t="shared" si="133"/>
        <v>1.3385560832876309</v>
      </c>
      <c r="M331" s="337">
        <f t="shared" si="117"/>
        <v>1.0002402189191415</v>
      </c>
      <c r="N331" s="340">
        <f t="shared" si="118"/>
        <v>2.1916698719882721E-2</v>
      </c>
      <c r="O331" s="341">
        <f t="shared" si="119"/>
        <v>0.99948093740851274</v>
      </c>
      <c r="P331" s="342">
        <f t="shared" si="120"/>
        <v>5.4964404678777825E-3</v>
      </c>
      <c r="Q331" s="343">
        <f t="shared" si="121"/>
        <v>7.5293783856514818</v>
      </c>
      <c r="R331" s="344">
        <f t="shared" si="122"/>
        <v>-84.403533623363501</v>
      </c>
      <c r="S331" s="346">
        <f t="shared" si="123"/>
        <v>95.596466376636499</v>
      </c>
      <c r="U331" s="319">
        <f t="shared" si="129"/>
        <v>1000000000</v>
      </c>
      <c r="V331" s="319">
        <f t="shared" si="130"/>
        <v>588911556.25</v>
      </c>
      <c r="X331" s="345">
        <f t="shared" si="124"/>
        <v>17.234153651433108</v>
      </c>
      <c r="Y331" s="346">
        <f t="shared" si="125"/>
        <v>-14.560871032578747</v>
      </c>
      <c r="AA331" s="345">
        <f t="shared" si="126"/>
        <v>26.30539869781984</v>
      </c>
      <c r="AB331" s="346">
        <f t="shared" si="127"/>
        <v>-69.842662590784741</v>
      </c>
      <c r="AD331">
        <f t="shared" si="131"/>
        <v>0</v>
      </c>
      <c r="AE331">
        <f t="shared" si="134"/>
        <v>0</v>
      </c>
    </row>
    <row r="332" spans="1:31" x14ac:dyDescent="0.2">
      <c r="A332" s="347">
        <v>24407.25</v>
      </c>
      <c r="B332" s="364">
        <f t="shared" si="128"/>
        <v>24.407250000000001</v>
      </c>
      <c r="C332" s="337">
        <f t="shared" si="109"/>
        <v>2.8847028665998113</v>
      </c>
      <c r="D332" s="338">
        <f t="shared" si="110"/>
        <v>1.2167924797649512</v>
      </c>
      <c r="E332" s="338">
        <f t="shared" si="111"/>
        <v>1.0000010390176399</v>
      </c>
      <c r="F332" s="339">
        <f t="shared" si="112"/>
        <v>1.4415385809635535E-3</v>
      </c>
      <c r="G332" s="338">
        <f t="shared" si="113"/>
        <v>1</v>
      </c>
      <c r="H332" s="339">
        <f t="shared" si="114"/>
        <v>0</v>
      </c>
      <c r="I332" s="337">
        <f t="shared" si="115"/>
        <v>46133.51909615584</v>
      </c>
      <c r="J332" s="340">
        <f t="shared" si="116"/>
        <v>1.5707746505815994</v>
      </c>
      <c r="K332" s="348">
        <f t="shared" si="132"/>
        <v>4.3685365302533095</v>
      </c>
      <c r="L332" s="349">
        <f t="shared" si="133"/>
        <v>1.3398389222823859</v>
      </c>
      <c r="M332" s="337">
        <f t="shared" si="117"/>
        <v>1.0002429932606671</v>
      </c>
      <c r="N332" s="340">
        <f t="shared" si="118"/>
        <v>2.2042870325666833E-2</v>
      </c>
      <c r="O332" s="341">
        <f t="shared" si="119"/>
        <v>0.99947494200431475</v>
      </c>
      <c r="P332" s="342">
        <f t="shared" si="120"/>
        <v>5.5281264713763689E-3</v>
      </c>
      <c r="Q332" s="343">
        <f t="shared" si="121"/>
        <v>7.4829265287297044</v>
      </c>
      <c r="R332" s="344">
        <f t="shared" si="122"/>
        <v>-84.445823977352376</v>
      </c>
      <c r="S332" s="346">
        <f t="shared" si="123"/>
        <v>95.554176022647624</v>
      </c>
      <c r="U332" s="319">
        <f t="shared" si="129"/>
        <v>1000000000</v>
      </c>
      <c r="V332" s="319">
        <f t="shared" si="130"/>
        <v>595713852.5625</v>
      </c>
      <c r="X332" s="345">
        <f t="shared" si="124"/>
        <v>17.231501795144379</v>
      </c>
      <c r="Y332" s="346">
        <f t="shared" si="125"/>
        <v>-14.494606024902192</v>
      </c>
      <c r="AA332" s="345">
        <f t="shared" si="126"/>
        <v>26.261598697186791</v>
      </c>
      <c r="AB332" s="346">
        <f t="shared" si="127"/>
        <v>-69.951217952450165</v>
      </c>
      <c r="AD332">
        <f t="shared" si="131"/>
        <v>0</v>
      </c>
      <c r="AE332">
        <f t="shared" si="134"/>
        <v>0</v>
      </c>
    </row>
    <row r="333" spans="1:31" x14ac:dyDescent="0.2">
      <c r="A333" s="347">
        <v>24547</v>
      </c>
      <c r="B333" s="364">
        <f t="shared" si="128"/>
        <v>24.547000000000001</v>
      </c>
      <c r="C333" s="337">
        <f t="shared" ref="C333:C396" si="135">SQRT(1+(A333/pole1)^2)</f>
        <v>2.8992400816629078</v>
      </c>
      <c r="D333" s="338">
        <f t="shared" ref="D333:D396" si="136">ATAN(A333/pole1)</f>
        <v>1.2186449374558723</v>
      </c>
      <c r="E333" s="338">
        <f t="shared" ref="E333:E396" si="137">SQRT(1+(A333/Zero1)^2)</f>
        <v>1.0000010509500235</v>
      </c>
      <c r="F333" s="339">
        <f t="shared" ref="F333:F396" si="138">ATAN(A333/Zero1)</f>
        <v>1.4497924700826218E-3</v>
      </c>
      <c r="G333" s="338">
        <f t="shared" ref="G333:G396" si="139">IF(VIN_nom&gt;Vout, 1, SQRT(1+(A333/z_RHP)^2))</f>
        <v>1</v>
      </c>
      <c r="H333" s="339">
        <f t="shared" ref="H333:H396" si="140">IF(VIN_nom&gt;Vout, 0, -ATAN(A333/z_RHP))</f>
        <v>0</v>
      </c>
      <c r="I333" s="337">
        <f t="shared" ref="I333:I396" si="141">SQRT(1+(A333/Pole2)^2)</f>
        <v>46397.668448936973</v>
      </c>
      <c r="J333" s="340">
        <f t="shared" ref="J333:J396" si="142">ATAN(A333/Pole2)</f>
        <v>1.5707747739877511</v>
      </c>
      <c r="K333" s="348">
        <f t="shared" si="132"/>
        <v>4.3922425675334411</v>
      </c>
      <c r="L333" s="349">
        <f t="shared" si="133"/>
        <v>1.341107915737668</v>
      </c>
      <c r="M333" s="337">
        <f t="shared" ref="M333:M396" si="143">SQRT(1+(A333/pole4)^2)</f>
        <v>1.0002457835252465</v>
      </c>
      <c r="N333" s="340">
        <f t="shared" ref="N333:N396" si="144">ATAN(A333/pole4)</f>
        <v>2.2169041229528175E-2</v>
      </c>
      <c r="O333" s="341">
        <f t="shared" ref="O333:O396" si="145">SQRT((1-(V333/pterm2))^2+(A333/pterm1)^2)</f>
        <v>0.99946891217546707</v>
      </c>
      <c r="P333" s="342">
        <f t="shared" ref="P333:P396" si="146">IF((ATAN((A333/pterm1)/(1-A333^2/pterm2))&gt;0),ATAN((A333/pterm1)/(1-A333^2/pterm2)),PI()+ATAN((A333/pterm1)/(1-A333^2/pterm2)))</f>
        <v>5.5598130520663255E-3</v>
      </c>
      <c r="Q333" s="343">
        <f t="shared" ref="Q333:Q396" si="147">20*LOG10(((E333*K333*G333)/(C333*I333*O333*M333))*Adc)</f>
        <v>7.4367083624081296</v>
      </c>
      <c r="R333" s="344">
        <f t="shared" ref="R333:R396" si="148">((F333+L333+H333)-(D333+J333+P333+N333))*radconv</f>
        <v>-84.487832740869223</v>
      </c>
      <c r="S333" s="346">
        <f t="shared" ref="S333:S396" si="149">IF(R333&gt;0,R333,R333+180)</f>
        <v>95.512167259130777</v>
      </c>
      <c r="U333" s="319">
        <f t="shared" si="129"/>
        <v>1000000000</v>
      </c>
      <c r="V333" s="319">
        <f t="shared" si="130"/>
        <v>602555209</v>
      </c>
      <c r="X333" s="345">
        <f t="shared" ref="X333:X396" si="150">20*LOG10((K333/(I333*M333))*AEA)</f>
        <v>17.228893003113662</v>
      </c>
      <c r="Y333" s="346">
        <f t="shared" ref="Y333:Y396" si="151">(L333-(J333+N333))*radconv</f>
        <v>-14.429134186550259</v>
      </c>
      <c r="AA333" s="345">
        <f t="shared" ref="AA333:AA396" si="152">20*LOG10((E333*G333/(C333*O333))*Acs*Am)</f>
        <v>26.217989322895932</v>
      </c>
      <c r="AB333" s="346">
        <f t="shared" ref="AB333:AB396" si="153">(F333+H333-(D333+P333))*radconv</f>
        <v>-70.058698554318951</v>
      </c>
      <c r="AD333">
        <f t="shared" si="131"/>
        <v>0</v>
      </c>
      <c r="AE333">
        <f t="shared" si="134"/>
        <v>0</v>
      </c>
    </row>
    <row r="334" spans="1:31" x14ac:dyDescent="0.2">
      <c r="A334" s="347">
        <v>24690</v>
      </c>
      <c r="B334" s="364">
        <f t="shared" ref="B334:B397" si="154">A334/1000</f>
        <v>24.69</v>
      </c>
      <c r="C334" s="337">
        <f t="shared" si="135"/>
        <v>2.9141255663077787</v>
      </c>
      <c r="D334" s="338">
        <f t="shared" si="136"/>
        <v>1.2205213371354688</v>
      </c>
      <c r="E334" s="338">
        <f t="shared" si="137"/>
        <v>1.0000010632304261</v>
      </c>
      <c r="F334" s="339">
        <f t="shared" si="138"/>
        <v>1.4582383099069436E-3</v>
      </c>
      <c r="G334" s="338">
        <f t="shared" si="139"/>
        <v>1</v>
      </c>
      <c r="H334" s="339">
        <f t="shared" si="140"/>
        <v>0</v>
      </c>
      <c r="I334" s="337">
        <f t="shared" si="141"/>
        <v>46667.960809923024</v>
      </c>
      <c r="J334" s="340">
        <f t="shared" si="142"/>
        <v>1.5707748988176995</v>
      </c>
      <c r="K334" s="348">
        <f t="shared" si="132"/>
        <v>4.4165071501547883</v>
      </c>
      <c r="L334" s="349">
        <f t="shared" si="133"/>
        <v>1.3423923167518779</v>
      </c>
      <c r="M334" s="337">
        <f t="shared" si="143"/>
        <v>1.0002486551623762</v>
      </c>
      <c r="N334" s="340">
        <f t="shared" si="144"/>
        <v>2.2298145609673439E-2</v>
      </c>
      <c r="O334" s="341">
        <f t="shared" si="145"/>
        <v>0.99946270648326152</v>
      </c>
      <c r="P334" s="342">
        <f t="shared" si="146"/>
        <v>5.5922371309232799E-3</v>
      </c>
      <c r="Q334" s="343">
        <f t="shared" si="147"/>
        <v>7.3896549228125004</v>
      </c>
      <c r="R334" s="344">
        <f t="shared" si="148"/>
        <v>-84.530529906146924</v>
      </c>
      <c r="S334" s="346">
        <f t="shared" si="149"/>
        <v>95.469470093853076</v>
      </c>
      <c r="U334" s="319">
        <f t="shared" ref="U334:U397" si="155">IF(Q334&lt;0,A334,1000000000)</f>
        <v>1000000000</v>
      </c>
      <c r="V334" s="319">
        <f t="shared" ref="V334:V397" si="156">A334^2</f>
        <v>609596100</v>
      </c>
      <c r="X334" s="345">
        <f t="shared" si="150"/>
        <v>17.226267145592658</v>
      </c>
      <c r="Y334" s="346">
        <f t="shared" si="151"/>
        <v>-14.362947717486254</v>
      </c>
      <c r="AA334" s="345">
        <f t="shared" si="152"/>
        <v>26.173561740821309</v>
      </c>
      <c r="AB334" s="346">
        <f t="shared" si="153"/>
        <v>-70.167582188660688</v>
      </c>
      <c r="AD334">
        <f t="shared" ref="AD334:AD397" si="157">SUM((Q335&lt;0)*(Q334&gt;0))*A334</f>
        <v>0</v>
      </c>
      <c r="AE334">
        <f t="shared" si="134"/>
        <v>0</v>
      </c>
    </row>
    <row r="335" spans="1:31" x14ac:dyDescent="0.2">
      <c r="A335" s="347">
        <v>24833</v>
      </c>
      <c r="B335" s="364">
        <f t="shared" si="154"/>
        <v>24.832999999999998</v>
      </c>
      <c r="C335" s="337">
        <f t="shared" si="135"/>
        <v>2.9290212069189434</v>
      </c>
      <c r="D335" s="338">
        <f t="shared" si="136"/>
        <v>1.2223786583057181</v>
      </c>
      <c r="E335" s="338">
        <f t="shared" si="137"/>
        <v>1.0000010755821613</v>
      </c>
      <c r="F335" s="339">
        <f t="shared" si="138"/>
        <v>1.4666841495232263E-3</v>
      </c>
      <c r="G335" s="338">
        <f t="shared" si="139"/>
        <v>1</v>
      </c>
      <c r="H335" s="339">
        <f t="shared" si="140"/>
        <v>0</v>
      </c>
      <c r="I335" s="337">
        <f t="shared" si="141"/>
        <v>46938.253170909811</v>
      </c>
      <c r="J335" s="340">
        <f t="shared" si="142"/>
        <v>1.5707750222099894</v>
      </c>
      <c r="K335" s="348">
        <f t="shared" si="132"/>
        <v>4.440778938998716</v>
      </c>
      <c r="L335" s="349">
        <f t="shared" si="133"/>
        <v>1.3436626796436515</v>
      </c>
      <c r="M335" s="337">
        <f t="shared" si="143"/>
        <v>1.0002515434714954</v>
      </c>
      <c r="N335" s="340">
        <f t="shared" si="144"/>
        <v>2.2427249246371416E-2</v>
      </c>
      <c r="O335" s="341">
        <f t="shared" si="145"/>
        <v>0.99945646474672023</v>
      </c>
      <c r="P335" s="342">
        <f t="shared" si="146"/>
        <v>5.6246618211557714E-3</v>
      </c>
      <c r="Q335" s="343">
        <f t="shared" si="147"/>
        <v>7.3428414557593227</v>
      </c>
      <c r="R335" s="344">
        <f t="shared" si="148"/>
        <v>-84.572938188600233</v>
      </c>
      <c r="S335" s="346">
        <f t="shared" si="149"/>
        <v>95.427061811399767</v>
      </c>
      <c r="U335" s="319">
        <f t="shared" si="155"/>
        <v>1000000000</v>
      </c>
      <c r="V335" s="319">
        <f t="shared" si="156"/>
        <v>616677889</v>
      </c>
      <c r="X335" s="345">
        <f t="shared" si="150"/>
        <v>17.223684427289573</v>
      </c>
      <c r="Y335" s="346">
        <f t="shared" si="151"/>
        <v>-14.297565448622914</v>
      </c>
      <c r="AA335" s="345">
        <f t="shared" si="152"/>
        <v>26.12933099207121</v>
      </c>
      <c r="AB335" s="346">
        <f t="shared" si="153"/>
        <v>-70.275372739977314</v>
      </c>
      <c r="AD335">
        <f t="shared" si="157"/>
        <v>0</v>
      </c>
      <c r="AE335">
        <f t="shared" si="134"/>
        <v>0</v>
      </c>
    </row>
    <row r="336" spans="1:31" x14ac:dyDescent="0.2">
      <c r="A336" s="347">
        <v>24976</v>
      </c>
      <c r="B336" s="364">
        <f t="shared" si="154"/>
        <v>24.975999999999999</v>
      </c>
      <c r="C336" s="337">
        <f t="shared" si="135"/>
        <v>2.943926849335349</v>
      </c>
      <c r="D336" s="338">
        <f t="shared" si="136"/>
        <v>1.2242171778482829</v>
      </c>
      <c r="E336" s="338">
        <f t="shared" si="137"/>
        <v>1.0000010880052286</v>
      </c>
      <c r="F336" s="339">
        <f t="shared" si="138"/>
        <v>1.4751299889302651E-3</v>
      </c>
      <c r="G336" s="338">
        <f t="shared" si="139"/>
        <v>1</v>
      </c>
      <c r="H336" s="339">
        <f t="shared" si="140"/>
        <v>0</v>
      </c>
      <c r="I336" s="337">
        <f t="shared" si="141"/>
        <v>47208.545531897289</v>
      </c>
      <c r="J336" s="340">
        <f t="shared" si="142"/>
        <v>1.5707751441893152</v>
      </c>
      <c r="K336" s="348">
        <f t="shared" si="132"/>
        <v>4.4650578165474339</v>
      </c>
      <c r="L336" s="349">
        <f t="shared" si="133"/>
        <v>1.3449192292769796</v>
      </c>
      <c r="M336" s="337">
        <f t="shared" si="143"/>
        <v>1.00025444845246</v>
      </c>
      <c r="N336" s="340">
        <f t="shared" si="144"/>
        <v>2.2556352135324836E-2</v>
      </c>
      <c r="O336" s="341">
        <f t="shared" si="145"/>
        <v>0.99945018696588328</v>
      </c>
      <c r="P336" s="342">
        <f t="shared" si="146"/>
        <v>5.6570871263174512E-3</v>
      </c>
      <c r="Q336" s="343">
        <f t="shared" si="147"/>
        <v>7.2962656283178138</v>
      </c>
      <c r="R336" s="344">
        <f t="shared" si="148"/>
        <v>-84.615060569994483</v>
      </c>
      <c r="S336" s="346">
        <f t="shared" si="149"/>
        <v>95.384939430005517</v>
      </c>
      <c r="U336" s="319">
        <f t="shared" si="155"/>
        <v>1000000000</v>
      </c>
      <c r="V336" s="319">
        <f t="shared" si="156"/>
        <v>623800576</v>
      </c>
      <c r="X336" s="345">
        <f t="shared" si="150"/>
        <v>17.221143901009363</v>
      </c>
      <c r="Y336" s="346">
        <f t="shared" si="151"/>
        <v>-14.232974497371226</v>
      </c>
      <c r="AA336" s="345">
        <f t="shared" si="152"/>
        <v>26.085295690909916</v>
      </c>
      <c r="AB336" s="346">
        <f t="shared" si="153"/>
        <v>-70.382086072623267</v>
      </c>
      <c r="AD336">
        <f t="shared" si="157"/>
        <v>0</v>
      </c>
      <c r="AE336">
        <f t="shared" si="134"/>
        <v>0</v>
      </c>
    </row>
    <row r="337" spans="1:31" x14ac:dyDescent="0.2">
      <c r="A337" s="347">
        <v>25119</v>
      </c>
      <c r="B337" s="364">
        <f t="shared" si="154"/>
        <v>25.119</v>
      </c>
      <c r="C337" s="337">
        <f t="shared" si="135"/>
        <v>2.9588423423999108</v>
      </c>
      <c r="D337" s="338">
        <f t="shared" si="136"/>
        <v>1.2260371675758517</v>
      </c>
      <c r="E337" s="338">
        <f t="shared" si="137"/>
        <v>1.0000011004996281</v>
      </c>
      <c r="F337" s="339">
        <f t="shared" si="138"/>
        <v>1.4835758281268553E-3</v>
      </c>
      <c r="G337" s="338">
        <f t="shared" si="139"/>
        <v>1</v>
      </c>
      <c r="H337" s="339">
        <f t="shared" si="140"/>
        <v>0</v>
      </c>
      <c r="I337" s="337">
        <f t="shared" si="141"/>
        <v>47478.83789288548</v>
      </c>
      <c r="J337" s="340">
        <f t="shared" si="142"/>
        <v>1.5707752647798083</v>
      </c>
      <c r="K337" s="348">
        <f t="shared" si="132"/>
        <v>4.4893436677913945</v>
      </c>
      <c r="L337" s="349">
        <f t="shared" si="133"/>
        <v>1.3461621858267143</v>
      </c>
      <c r="M337" s="337">
        <f t="shared" si="143"/>
        <v>1.0002573701051245</v>
      </c>
      <c r="N337" s="340">
        <f t="shared" si="144"/>
        <v>2.2685454272236571E-2</v>
      </c>
      <c r="O337" s="341">
        <f t="shared" si="145"/>
        <v>0.99944387314079042</v>
      </c>
      <c r="P337" s="342">
        <f t="shared" si="146"/>
        <v>5.6895130499621934E-3</v>
      </c>
      <c r="Q337" s="343">
        <f t="shared" si="147"/>
        <v>7.2499251409918886</v>
      </c>
      <c r="R337" s="344">
        <f t="shared" si="148"/>
        <v>-84.656900010299921</v>
      </c>
      <c r="S337" s="346">
        <f t="shared" si="149"/>
        <v>95.343099989700079</v>
      </c>
      <c r="U337" s="319">
        <f t="shared" si="155"/>
        <v>1000000000</v>
      </c>
      <c r="V337" s="319">
        <f t="shared" si="156"/>
        <v>630964161</v>
      </c>
      <c r="X337" s="345">
        <f t="shared" si="150"/>
        <v>17.21864464511329</v>
      </c>
      <c r="Y337" s="346">
        <f t="shared" si="151"/>
        <v>-14.16916224977783</v>
      </c>
      <c r="AA337" s="345">
        <f t="shared" si="152"/>
        <v>26.041454459480061</v>
      </c>
      <c r="AB337" s="346">
        <f t="shared" si="153"/>
        <v>-70.48773776052208</v>
      </c>
      <c r="AD337">
        <f t="shared" si="157"/>
        <v>0</v>
      </c>
      <c r="AE337">
        <f t="shared" si="134"/>
        <v>0</v>
      </c>
    </row>
    <row r="338" spans="1:31" x14ac:dyDescent="0.2">
      <c r="A338" s="347">
        <v>25265.25</v>
      </c>
      <c r="B338" s="364">
        <f t="shared" si="154"/>
        <v>25.265250000000002</v>
      </c>
      <c r="C338" s="337">
        <f t="shared" si="135"/>
        <v>2.9741068584938528</v>
      </c>
      <c r="D338" s="338">
        <f t="shared" si="136"/>
        <v>1.2278796324881014</v>
      </c>
      <c r="E338" s="338">
        <f t="shared" si="137"/>
        <v>1.0000011133517739</v>
      </c>
      <c r="F338" s="339">
        <f t="shared" si="138"/>
        <v>1.492213617995344E-3</v>
      </c>
      <c r="G338" s="338">
        <f t="shared" si="139"/>
        <v>1</v>
      </c>
      <c r="H338" s="339">
        <f t="shared" si="140"/>
        <v>0</v>
      </c>
      <c r="I338" s="337">
        <f t="shared" si="141"/>
        <v>47755.273262078641</v>
      </c>
      <c r="J338" s="340">
        <f t="shared" si="142"/>
        <v>1.5707753866990335</v>
      </c>
      <c r="K338" s="348">
        <f t="shared" si="132"/>
        <v>4.5141885661344379</v>
      </c>
      <c r="L338" s="349">
        <f t="shared" si="133"/>
        <v>1.3474195560679005</v>
      </c>
      <c r="M338" s="337">
        <f t="shared" si="143"/>
        <v>1.0002603754031927</v>
      </c>
      <c r="N338" s="340">
        <f t="shared" si="144"/>
        <v>2.2817489766271629E-2</v>
      </c>
      <c r="O338" s="341">
        <f t="shared" si="145"/>
        <v>0.99943737853736891</v>
      </c>
      <c r="P338" s="342">
        <f t="shared" si="146"/>
        <v>5.7226765698485081E-3</v>
      </c>
      <c r="Q338" s="343">
        <f t="shared" si="147"/>
        <v>7.2027725224765184</v>
      </c>
      <c r="R338" s="344">
        <f t="shared" si="148"/>
        <v>-84.699400748446692</v>
      </c>
      <c r="S338" s="346">
        <f t="shared" si="149"/>
        <v>95.300599251553308</v>
      </c>
      <c r="U338" s="319">
        <f t="shared" si="155"/>
        <v>1000000000</v>
      </c>
      <c r="V338" s="319">
        <f t="shared" si="156"/>
        <v>638332857.5625</v>
      </c>
      <c r="X338" s="345">
        <f t="shared" si="150"/>
        <v>17.216130341342875</v>
      </c>
      <c r="Y338" s="346">
        <f t="shared" si="151"/>
        <v>-14.104692303610024</v>
      </c>
      <c r="AA338" s="345">
        <f t="shared" si="152"/>
        <v>25.996816144735106</v>
      </c>
      <c r="AB338" s="346">
        <f t="shared" si="153"/>
        <v>-70.59470844483667</v>
      </c>
      <c r="AD338">
        <f t="shared" si="157"/>
        <v>0</v>
      </c>
      <c r="AE338">
        <f t="shared" si="134"/>
        <v>0</v>
      </c>
    </row>
    <row r="339" spans="1:31" x14ac:dyDescent="0.2">
      <c r="A339" s="347">
        <v>25411.5</v>
      </c>
      <c r="B339" s="364">
        <f t="shared" si="154"/>
        <v>25.4115</v>
      </c>
      <c r="C339" s="337">
        <f t="shared" si="135"/>
        <v>2.9893813675932654</v>
      </c>
      <c r="D339" s="338">
        <f t="shared" si="136"/>
        <v>1.2297032750628332</v>
      </c>
      <c r="E339" s="338">
        <f t="shared" si="137"/>
        <v>1.0000011262785311</v>
      </c>
      <c r="F339" s="339">
        <f t="shared" si="138"/>
        <v>1.5008514076411601E-3</v>
      </c>
      <c r="G339" s="338">
        <f t="shared" si="139"/>
        <v>1</v>
      </c>
      <c r="H339" s="339">
        <f t="shared" si="140"/>
        <v>0</v>
      </c>
      <c r="I339" s="337">
        <f t="shared" si="141"/>
        <v>48031.708631272508</v>
      </c>
      <c r="J339" s="340">
        <f t="shared" si="142"/>
        <v>1.5707755072149032</v>
      </c>
      <c r="K339" s="348">
        <f t="shared" si="132"/>
        <v>4.5390405231839823</v>
      </c>
      <c r="L339" s="349">
        <f t="shared" si="133"/>
        <v>1.3486631596596983</v>
      </c>
      <c r="M339" s="337">
        <f t="shared" si="143"/>
        <v>1.0002633981390667</v>
      </c>
      <c r="N339" s="340">
        <f t="shared" si="144"/>
        <v>2.2949524464601835E-2</v>
      </c>
      <c r="O339" s="341">
        <f t="shared" si="145"/>
        <v>0.99943084623278433</v>
      </c>
      <c r="P339" s="342">
        <f t="shared" si="146"/>
        <v>5.7558407441698984E-3</v>
      </c>
      <c r="Q339" s="343">
        <f t="shared" si="147"/>
        <v>7.1558613020757864</v>
      </c>
      <c r="R339" s="344">
        <f t="shared" si="148"/>
        <v>-84.741611728513021</v>
      </c>
      <c r="S339" s="346">
        <f t="shared" si="149"/>
        <v>95.258388271486979</v>
      </c>
      <c r="U339" s="319">
        <f t="shared" si="155"/>
        <v>1000000000</v>
      </c>
      <c r="V339" s="319">
        <f t="shared" si="156"/>
        <v>645744332.25</v>
      </c>
      <c r="X339" s="345">
        <f t="shared" si="150"/>
        <v>17.213657333621587</v>
      </c>
      <c r="Y339" s="346">
        <f t="shared" si="151"/>
        <v>-14.04101100235424</v>
      </c>
      <c r="AA339" s="345">
        <f t="shared" si="152"/>
        <v>25.952377932055665</v>
      </c>
      <c r="AB339" s="346">
        <f t="shared" si="153"/>
        <v>-70.700600726158783</v>
      </c>
      <c r="AD339">
        <f t="shared" si="157"/>
        <v>0</v>
      </c>
      <c r="AE339">
        <f t="shared" si="134"/>
        <v>0</v>
      </c>
    </row>
    <row r="340" spans="1:31" x14ac:dyDescent="0.2">
      <c r="A340" s="347">
        <v>25557.75</v>
      </c>
      <c r="B340" s="364">
        <f t="shared" si="154"/>
        <v>25.557749999999999</v>
      </c>
      <c r="C340" s="337">
        <f t="shared" si="135"/>
        <v>3.0046657172969193</v>
      </c>
      <c r="D340" s="338">
        <f t="shared" si="136"/>
        <v>1.2315083703174865</v>
      </c>
      <c r="E340" s="338">
        <f t="shared" si="137"/>
        <v>1.0000011392798998</v>
      </c>
      <c r="F340" s="339">
        <f t="shared" si="138"/>
        <v>1.5094891970630147E-3</v>
      </c>
      <c r="G340" s="338">
        <f t="shared" si="139"/>
        <v>1</v>
      </c>
      <c r="H340" s="339">
        <f t="shared" si="140"/>
        <v>0</v>
      </c>
      <c r="I340" s="337">
        <f t="shared" si="141"/>
        <v>48308.144000467059</v>
      </c>
      <c r="J340" s="340">
        <f t="shared" si="142"/>
        <v>1.5707756263515085</v>
      </c>
      <c r="K340" s="348">
        <f t="shared" si="132"/>
        <v>4.563899423628988</v>
      </c>
      <c r="L340" s="349">
        <f t="shared" si="133"/>
        <v>1.3498932176786111</v>
      </c>
      <c r="M340" s="337">
        <f t="shared" si="143"/>
        <v>1.0002664383125888</v>
      </c>
      <c r="N340" s="340">
        <f t="shared" si="144"/>
        <v>2.3081558362630854E-2</v>
      </c>
      <c r="O340" s="341">
        <f t="shared" si="145"/>
        <v>0.9994242762270803</v>
      </c>
      <c r="P340" s="342">
        <f t="shared" si="146"/>
        <v>5.7890055767288147E-3</v>
      </c>
      <c r="Q340" s="343">
        <f t="shared" si="147"/>
        <v>7.1091891242078624</v>
      </c>
      <c r="R340" s="344">
        <f t="shared" si="148"/>
        <v>-84.783536042421801</v>
      </c>
      <c r="S340" s="346">
        <f t="shared" si="149"/>
        <v>95.216463957578199</v>
      </c>
      <c r="U340" s="319">
        <f t="shared" si="155"/>
        <v>1000000000</v>
      </c>
      <c r="V340" s="319">
        <f t="shared" si="156"/>
        <v>653198585.0625</v>
      </c>
      <c r="X340" s="345">
        <f t="shared" si="150"/>
        <v>17.21122471376448</v>
      </c>
      <c r="Y340" s="346">
        <f t="shared" si="151"/>
        <v>-13.978105680376824</v>
      </c>
      <c r="AA340" s="345">
        <f t="shared" si="152"/>
        <v>25.908138374044853</v>
      </c>
      <c r="AB340" s="346">
        <f t="shared" si="153"/>
        <v>-70.805430362045001</v>
      </c>
      <c r="AD340">
        <f t="shared" si="157"/>
        <v>0</v>
      </c>
      <c r="AE340">
        <f t="shared" si="134"/>
        <v>0</v>
      </c>
    </row>
    <row r="341" spans="1:31" x14ac:dyDescent="0.2">
      <c r="A341" s="347">
        <v>25704</v>
      </c>
      <c r="B341" s="364">
        <f t="shared" si="154"/>
        <v>25.704000000000001</v>
      </c>
      <c r="C341" s="337">
        <f t="shared" si="135"/>
        <v>3.0199597581916646</v>
      </c>
      <c r="D341" s="338">
        <f t="shared" si="136"/>
        <v>1.2332951881872647</v>
      </c>
      <c r="E341" s="338">
        <f t="shared" si="137"/>
        <v>1.0000011523558798</v>
      </c>
      <c r="F341" s="339">
        <f t="shared" si="138"/>
        <v>1.518126986259619E-3</v>
      </c>
      <c r="G341" s="338">
        <f t="shared" si="139"/>
        <v>1</v>
      </c>
      <c r="H341" s="339">
        <f t="shared" si="140"/>
        <v>0</v>
      </c>
      <c r="I341" s="337">
        <f t="shared" si="141"/>
        <v>48584.5793696623</v>
      </c>
      <c r="J341" s="340">
        <f t="shared" si="142"/>
        <v>1.5707757441323924</v>
      </c>
      <c r="K341" s="348">
        <f t="shared" si="132"/>
        <v>4.5887651546252535</v>
      </c>
      <c r="L341" s="349">
        <f t="shared" si="133"/>
        <v>1.3511099465752157</v>
      </c>
      <c r="M341" s="337">
        <f t="shared" si="143"/>
        <v>1.0002694959235996</v>
      </c>
      <c r="N341" s="340">
        <f t="shared" si="144"/>
        <v>2.321359145576252E-2</v>
      </c>
      <c r="O341" s="341">
        <f t="shared" si="145"/>
        <v>0.99941766852030078</v>
      </c>
      <c r="P341" s="342">
        <f t="shared" si="146"/>
        <v>5.8221710713279567E-3</v>
      </c>
      <c r="Q341" s="343">
        <f t="shared" si="147"/>
        <v>7.0627536670763424</v>
      </c>
      <c r="R341" s="344">
        <f t="shared" si="148"/>
        <v>-84.825176755919983</v>
      </c>
      <c r="S341" s="346">
        <f t="shared" si="149"/>
        <v>95.174823244080017</v>
      </c>
      <c r="U341" s="319">
        <f t="shared" si="155"/>
        <v>1000000000</v>
      </c>
      <c r="V341" s="319">
        <f t="shared" si="156"/>
        <v>660695616</v>
      </c>
      <c r="X341" s="345">
        <f t="shared" si="150"/>
        <v>17.208831598130839</v>
      </c>
      <c r="Y341" s="346">
        <f t="shared" si="151"/>
        <v>-13.915963937058823</v>
      </c>
      <c r="AA341" s="345">
        <f t="shared" si="152"/>
        <v>25.864096032546971</v>
      </c>
      <c r="AB341" s="346">
        <f t="shared" si="153"/>
        <v>-70.909212818861135</v>
      </c>
      <c r="AD341">
        <f t="shared" si="157"/>
        <v>0</v>
      </c>
      <c r="AE341">
        <f t="shared" si="134"/>
        <v>0</v>
      </c>
    </row>
    <row r="342" spans="1:31" x14ac:dyDescent="0.2">
      <c r="A342" s="347">
        <v>25853.75</v>
      </c>
      <c r="B342" s="364">
        <f t="shared" si="154"/>
        <v>25.853750000000002</v>
      </c>
      <c r="C342" s="337">
        <f t="shared" si="135"/>
        <v>3.0356296991874006</v>
      </c>
      <c r="D342" s="338">
        <f t="shared" si="136"/>
        <v>1.235106105490525</v>
      </c>
      <c r="E342" s="338">
        <f t="shared" si="137"/>
        <v>1.0000011658221006</v>
      </c>
      <c r="F342" s="339">
        <f t="shared" si="138"/>
        <v>1.5269714915441301E-3</v>
      </c>
      <c r="G342" s="338">
        <f t="shared" si="139"/>
        <v>1</v>
      </c>
      <c r="H342" s="339">
        <f t="shared" si="140"/>
        <v>0</v>
      </c>
      <c r="I342" s="337">
        <f t="shared" si="141"/>
        <v>48867.630286155203</v>
      </c>
      <c r="J342" s="340">
        <f t="shared" si="142"/>
        <v>1.5707758633512179</v>
      </c>
      <c r="K342" s="348">
        <f t="shared" si="132"/>
        <v>4.6142329253145045</v>
      </c>
      <c r="L342" s="349">
        <f t="shared" si="133"/>
        <v>1.3523422036855934</v>
      </c>
      <c r="M342" s="337">
        <f t="shared" si="143"/>
        <v>1.0002726447764838</v>
      </c>
      <c r="N342" s="340">
        <f t="shared" si="144"/>
        <v>2.3348783476403671E-2</v>
      </c>
      <c r="O342" s="341">
        <f t="shared" si="145"/>
        <v>0.99941086361517018</v>
      </c>
      <c r="P342" s="342">
        <f t="shared" si="146"/>
        <v>5.8561309600386902E-3</v>
      </c>
      <c r="Q342" s="343">
        <f t="shared" si="147"/>
        <v>7.0154498300413524</v>
      </c>
      <c r="R342" s="344">
        <f t="shared" si="148"/>
        <v>-84.867523311206057</v>
      </c>
      <c r="S342" s="346">
        <f t="shared" si="149"/>
        <v>95.132476688793943</v>
      </c>
      <c r="U342" s="319">
        <f t="shared" si="155"/>
        <v>1000000000</v>
      </c>
      <c r="V342" s="319">
        <f t="shared" si="156"/>
        <v>668416389.0625</v>
      </c>
      <c r="X342" s="345">
        <f t="shared" si="150"/>
        <v>17.206421247031358</v>
      </c>
      <c r="Y342" s="346">
        <f t="shared" si="151"/>
        <v>-13.853113568229496</v>
      </c>
      <c r="AA342" s="345">
        <f t="shared" si="152"/>
        <v>25.819202546611461</v>
      </c>
      <c r="AB342" s="346">
        <f t="shared" si="153"/>
        <v>-71.01440974297654</v>
      </c>
      <c r="AD342">
        <f t="shared" si="157"/>
        <v>0</v>
      </c>
      <c r="AE342">
        <f t="shared" si="134"/>
        <v>0</v>
      </c>
    </row>
    <row r="343" spans="1:31" x14ac:dyDescent="0.2">
      <c r="A343" s="347">
        <v>26003.5</v>
      </c>
      <c r="B343" s="364">
        <f t="shared" si="154"/>
        <v>26.003499999999999</v>
      </c>
      <c r="C343" s="337">
        <f t="shared" si="135"/>
        <v>3.0513094930249012</v>
      </c>
      <c r="D343" s="338">
        <f t="shared" si="136"/>
        <v>1.2368984170645079</v>
      </c>
      <c r="E343" s="338">
        <f t="shared" si="137"/>
        <v>1.0000011793665466</v>
      </c>
      <c r="F343" s="339">
        <f t="shared" si="138"/>
        <v>1.5358159965897455E-3</v>
      </c>
      <c r="G343" s="338">
        <f t="shared" si="139"/>
        <v>1</v>
      </c>
      <c r="H343" s="339">
        <f t="shared" si="140"/>
        <v>0</v>
      </c>
      <c r="I343" s="337">
        <f t="shared" si="141"/>
        <v>49150.681202648797</v>
      </c>
      <c r="J343" s="340">
        <f t="shared" si="142"/>
        <v>1.5707759811969191</v>
      </c>
      <c r="K343" s="348">
        <f t="shared" ref="K343:K406" si="158">SQRT(1+(A343/Zero2)^2)</f>
        <v>4.6397076255957783</v>
      </c>
      <c r="L343" s="349">
        <f t="shared" ref="L343:L406" si="159">ATAN(A343/Zero2)</f>
        <v>1.3535609310095298</v>
      </c>
      <c r="M343" s="337">
        <f t="shared" si="143"/>
        <v>1.0002758119111179</v>
      </c>
      <c r="N343" s="340">
        <f t="shared" si="144"/>
        <v>2.3483974643409143E-2</v>
      </c>
      <c r="O343" s="341">
        <f t="shared" si="145"/>
        <v>0.99940401918297017</v>
      </c>
      <c r="P343" s="342">
        <f t="shared" si="146"/>
        <v>5.8900915509261876E-3</v>
      </c>
      <c r="Q343" s="343">
        <f t="shared" si="147"/>
        <v>6.9683893584846937</v>
      </c>
      <c r="R343" s="344">
        <f t="shared" si="148"/>
        <v>-84.909578949051749</v>
      </c>
      <c r="S343" s="346">
        <f t="shared" si="149"/>
        <v>95.090421050948251</v>
      </c>
      <c r="U343" s="319">
        <f t="shared" si="155"/>
        <v>1000000000</v>
      </c>
      <c r="V343" s="319">
        <f t="shared" si="156"/>
        <v>676182012.25</v>
      </c>
      <c r="X343" s="345">
        <f t="shared" si="150"/>
        <v>17.204050514020118</v>
      </c>
      <c r="Y343" s="346">
        <f t="shared" si="151"/>
        <v>-13.791038271477918</v>
      </c>
      <c r="AA343" s="345">
        <f t="shared" si="152"/>
        <v>25.774512808066042</v>
      </c>
      <c r="AB343" s="346">
        <f t="shared" si="153"/>
        <v>-71.118540677573819</v>
      </c>
      <c r="AD343">
        <f t="shared" si="157"/>
        <v>0</v>
      </c>
      <c r="AE343">
        <f t="shared" si="134"/>
        <v>0</v>
      </c>
    </row>
    <row r="344" spans="1:31" x14ac:dyDescent="0.2">
      <c r="A344" s="347">
        <v>26153.25</v>
      </c>
      <c r="B344" s="364">
        <f t="shared" si="154"/>
        <v>26.15325</v>
      </c>
      <c r="C344" s="337">
        <f t="shared" si="135"/>
        <v>3.0669989885885096</v>
      </c>
      <c r="D344" s="338">
        <f t="shared" si="136"/>
        <v>1.238672396842506</v>
      </c>
      <c r="E344" s="338">
        <f t="shared" si="137"/>
        <v>1.0000011929892183</v>
      </c>
      <c r="F344" s="339">
        <f t="shared" si="138"/>
        <v>1.5446605013950813E-3</v>
      </c>
      <c r="G344" s="338">
        <f t="shared" si="139"/>
        <v>1</v>
      </c>
      <c r="H344" s="339">
        <f t="shared" si="140"/>
        <v>0</v>
      </c>
      <c r="I344" s="337">
        <f t="shared" si="141"/>
        <v>49433.732119143053</v>
      </c>
      <c r="J344" s="340">
        <f t="shared" si="142"/>
        <v>1.5707760976930829</v>
      </c>
      <c r="K344" s="348">
        <f t="shared" si="158"/>
        <v>4.6651891419500293</v>
      </c>
      <c r="L344" s="349">
        <f t="shared" si="159"/>
        <v>1.3547663465979944</v>
      </c>
      <c r="M344" s="337">
        <f t="shared" si="143"/>
        <v>1.0002789973273289</v>
      </c>
      <c r="N344" s="340">
        <f t="shared" si="144"/>
        <v>2.3619164951845385E-2</v>
      </c>
      <c r="O344" s="341">
        <f t="shared" si="145"/>
        <v>0.99939713522374862</v>
      </c>
      <c r="P344" s="342">
        <f t="shared" si="146"/>
        <v>5.9240528480735584E-3</v>
      </c>
      <c r="Q344" s="343">
        <f t="shared" si="147"/>
        <v>6.9215698657389568</v>
      </c>
      <c r="R344" s="344">
        <f t="shared" si="148"/>
        <v>-84.951346872581126</v>
      </c>
      <c r="S344" s="346">
        <f t="shared" si="149"/>
        <v>95.048653127418874</v>
      </c>
      <c r="U344" s="319">
        <f t="shared" si="155"/>
        <v>1000000000</v>
      </c>
      <c r="V344" s="319">
        <f t="shared" si="156"/>
        <v>683992485.5625</v>
      </c>
      <c r="X344" s="345">
        <f t="shared" si="150"/>
        <v>17.201718525435123</v>
      </c>
      <c r="Y344" s="346">
        <f t="shared" si="151"/>
        <v>-13.729725554472532</v>
      </c>
      <c r="AA344" s="345">
        <f t="shared" si="152"/>
        <v>25.7300253039053</v>
      </c>
      <c r="AB344" s="346">
        <f t="shared" si="153"/>
        <v>-71.221621318108561</v>
      </c>
      <c r="AD344">
        <f t="shared" si="157"/>
        <v>0</v>
      </c>
      <c r="AE344">
        <f t="shared" si="134"/>
        <v>0</v>
      </c>
    </row>
    <row r="345" spans="1:31" x14ac:dyDescent="0.2">
      <c r="A345" s="347">
        <v>26303</v>
      </c>
      <c r="B345" s="364">
        <f t="shared" si="154"/>
        <v>26.303000000000001</v>
      </c>
      <c r="C345" s="337">
        <f t="shared" si="135"/>
        <v>3.0826980377464421</v>
      </c>
      <c r="D345" s="338">
        <f t="shared" si="136"/>
        <v>1.2404283136443586</v>
      </c>
      <c r="E345" s="338">
        <f t="shared" si="137"/>
        <v>1.0000012066901152</v>
      </c>
      <c r="F345" s="339">
        <f t="shared" si="138"/>
        <v>1.5535050059587538E-3</v>
      </c>
      <c r="G345" s="338">
        <f t="shared" si="139"/>
        <v>1</v>
      </c>
      <c r="H345" s="339">
        <f t="shared" si="140"/>
        <v>0</v>
      </c>
      <c r="I345" s="337">
        <f t="shared" si="141"/>
        <v>49716.783035637985</v>
      </c>
      <c r="J345" s="340">
        <f t="shared" si="142"/>
        <v>1.5707762128627591</v>
      </c>
      <c r="K345" s="348">
        <f t="shared" si="158"/>
        <v>4.6906773632948724</v>
      </c>
      <c r="L345" s="349">
        <f t="shared" si="159"/>
        <v>1.35595866391922</v>
      </c>
      <c r="M345" s="337">
        <f t="shared" si="143"/>
        <v>1.0002822010249419</v>
      </c>
      <c r="N345" s="340">
        <f t="shared" si="144"/>
        <v>2.3754354396779039E-2</v>
      </c>
      <c r="O345" s="341">
        <f t="shared" si="145"/>
        <v>0.99939021173755382</v>
      </c>
      <c r="P345" s="342">
        <f t="shared" si="146"/>
        <v>5.95801485556419E-3</v>
      </c>
      <c r="Q345" s="343">
        <f t="shared" si="147"/>
        <v>6.8749889994529632</v>
      </c>
      <c r="R345" s="344">
        <f t="shared" si="148"/>
        <v>-84.9928302544796</v>
      </c>
      <c r="S345" s="346">
        <f t="shared" si="149"/>
        <v>95.0071697455204</v>
      </c>
      <c r="U345" s="319">
        <f t="shared" si="155"/>
        <v>1000000000</v>
      </c>
      <c r="V345" s="319">
        <f t="shared" si="156"/>
        <v>691847809</v>
      </c>
      <c r="X345" s="345">
        <f t="shared" si="150"/>
        <v>17.199424431289863</v>
      </c>
      <c r="Y345" s="346">
        <f t="shared" si="151"/>
        <v>-13.669163187422555</v>
      </c>
      <c r="AA345" s="345">
        <f t="shared" si="152"/>
        <v>25.685738531764567</v>
      </c>
      <c r="AB345" s="346">
        <f t="shared" si="153"/>
        <v>-71.323667067057059</v>
      </c>
      <c r="AD345">
        <f t="shared" si="157"/>
        <v>0</v>
      </c>
      <c r="AE345">
        <f t="shared" si="134"/>
        <v>0</v>
      </c>
    </row>
    <row r="346" spans="1:31" x14ac:dyDescent="0.2">
      <c r="A346" s="347">
        <v>26456</v>
      </c>
      <c r="B346" s="364">
        <f t="shared" si="154"/>
        <v>26.456</v>
      </c>
      <c r="C346" s="337">
        <f t="shared" si="135"/>
        <v>3.0987475166310063</v>
      </c>
      <c r="D346" s="338">
        <f t="shared" si="136"/>
        <v>1.2422039579801685</v>
      </c>
      <c r="E346" s="338">
        <f t="shared" si="137"/>
        <v>1.0000012207691509</v>
      </c>
      <c r="F346" s="339">
        <f t="shared" si="138"/>
        <v>1.562541461121697E-3</v>
      </c>
      <c r="G346" s="338">
        <f t="shared" si="139"/>
        <v>1</v>
      </c>
      <c r="H346" s="339">
        <f t="shared" si="140"/>
        <v>0</v>
      </c>
      <c r="I346" s="337">
        <f t="shared" si="141"/>
        <v>50005.976960337983</v>
      </c>
      <c r="J346" s="340">
        <f t="shared" si="142"/>
        <v>1.5707763291853936</v>
      </c>
      <c r="K346" s="348">
        <f t="shared" si="158"/>
        <v>4.7167255631520932</v>
      </c>
      <c r="L346" s="349">
        <f t="shared" si="159"/>
        <v>1.3571635475470454</v>
      </c>
      <c r="M346" s="337">
        <f t="shared" si="143"/>
        <v>1.0002854931325473</v>
      </c>
      <c r="N346" s="340">
        <f t="shared" si="144"/>
        <v>2.3892476939395543E-2</v>
      </c>
      <c r="O346" s="341">
        <f t="shared" si="145"/>
        <v>0.99938309716905649</v>
      </c>
      <c r="P346" s="342">
        <f t="shared" si="146"/>
        <v>5.992714672887027E-3</v>
      </c>
      <c r="Q346" s="343">
        <f t="shared" si="147"/>
        <v>6.8276412352647453</v>
      </c>
      <c r="R346" s="344">
        <f t="shared" si="148"/>
        <v>-85.034923340090543</v>
      </c>
      <c r="S346" s="346">
        <f t="shared" si="149"/>
        <v>94.965076659909457</v>
      </c>
      <c r="U346" s="319">
        <f t="shared" si="155"/>
        <v>1000000000</v>
      </c>
      <c r="V346" s="319">
        <f t="shared" si="156"/>
        <v>699919936</v>
      </c>
      <c r="X346" s="345">
        <f t="shared" si="150"/>
        <v>17.19711882553641</v>
      </c>
      <c r="Y346" s="346">
        <f t="shared" si="151"/>
        <v>-13.608048944217471</v>
      </c>
      <c r="AA346" s="345">
        <f t="shared" si="152"/>
        <v>25.640696373329803</v>
      </c>
      <c r="AB346" s="346">
        <f t="shared" si="153"/>
        <v>-71.426874395873085</v>
      </c>
      <c r="AD346">
        <f t="shared" si="157"/>
        <v>0</v>
      </c>
      <c r="AE346">
        <f t="shared" ref="AE346:AE409" si="160">IF(AD346&gt;0,S346,0)</f>
        <v>0</v>
      </c>
    </row>
    <row r="347" spans="1:31" x14ac:dyDescent="0.2">
      <c r="A347" s="347">
        <v>26609</v>
      </c>
      <c r="B347" s="364">
        <f t="shared" si="154"/>
        <v>26.609000000000002</v>
      </c>
      <c r="C347" s="337">
        <f t="shared" si="135"/>
        <v>3.1148066648950148</v>
      </c>
      <c r="D347" s="338">
        <f t="shared" si="136"/>
        <v>1.2439612982711188</v>
      </c>
      <c r="E347" s="338">
        <f t="shared" si="137"/>
        <v>1.0000012349298439</v>
      </c>
      <c r="F347" s="339">
        <f t="shared" si="138"/>
        <v>1.571577916029453E-3</v>
      </c>
      <c r="G347" s="338">
        <f t="shared" si="139"/>
        <v>1</v>
      </c>
      <c r="H347" s="339">
        <f t="shared" si="140"/>
        <v>0</v>
      </c>
      <c r="I347" s="337">
        <f t="shared" si="141"/>
        <v>50295.170885038657</v>
      </c>
      <c r="J347" s="340">
        <f t="shared" si="142"/>
        <v>1.5707764441703331</v>
      </c>
      <c r="K347" s="348">
        <f t="shared" si="158"/>
        <v>4.7427805352690351</v>
      </c>
      <c r="L347" s="349">
        <f t="shared" si="159"/>
        <v>1.3583551945748882</v>
      </c>
      <c r="M347" s="337">
        <f t="shared" si="143"/>
        <v>1.0002888043233102</v>
      </c>
      <c r="N347" s="340">
        <f t="shared" si="144"/>
        <v>2.4030598570211014E-2</v>
      </c>
      <c r="O347" s="341">
        <f t="shared" si="145"/>
        <v>0.99937594133937624</v>
      </c>
      <c r="P347" s="342">
        <f t="shared" si="146"/>
        <v>6.0274152403391396E-3</v>
      </c>
      <c r="Q347" s="343">
        <f t="shared" si="147"/>
        <v>6.7805377099604947</v>
      </c>
      <c r="R347" s="344">
        <f t="shared" si="148"/>
        <v>-85.076725996604026</v>
      </c>
      <c r="S347" s="346">
        <f t="shared" si="149"/>
        <v>94.923274003395974</v>
      </c>
      <c r="U347" s="319">
        <f t="shared" si="155"/>
        <v>1000000000</v>
      </c>
      <c r="V347" s="319">
        <f t="shared" si="156"/>
        <v>708038881</v>
      </c>
      <c r="X347" s="345">
        <f t="shared" si="150"/>
        <v>17.194851055440278</v>
      </c>
      <c r="Y347" s="346">
        <f t="shared" si="151"/>
        <v>-13.547692973440734</v>
      </c>
      <c r="AA347" s="345">
        <f t="shared" si="152"/>
        <v>25.595860618121684</v>
      </c>
      <c r="AB347" s="346">
        <f t="shared" si="153"/>
        <v>-71.529033023163308</v>
      </c>
      <c r="AD347">
        <f t="shared" si="157"/>
        <v>0</v>
      </c>
      <c r="AE347">
        <f t="shared" si="160"/>
        <v>0</v>
      </c>
    </row>
    <row r="348" spans="1:31" x14ac:dyDescent="0.2">
      <c r="A348" s="347">
        <v>26762</v>
      </c>
      <c r="B348" s="364">
        <f t="shared" si="154"/>
        <v>26.762</v>
      </c>
      <c r="C348" s="337">
        <f t="shared" si="135"/>
        <v>3.1308753337474942</v>
      </c>
      <c r="D348" s="338">
        <f t="shared" si="136"/>
        <v>1.2457006054056228</v>
      </c>
      <c r="E348" s="338">
        <f t="shared" si="137"/>
        <v>1.0000012491721948</v>
      </c>
      <c r="F348" s="339">
        <f t="shared" si="138"/>
        <v>1.5806143706805465E-3</v>
      </c>
      <c r="G348" s="338">
        <f t="shared" si="139"/>
        <v>1</v>
      </c>
      <c r="H348" s="339">
        <f t="shared" si="140"/>
        <v>0</v>
      </c>
      <c r="I348" s="337">
        <f t="shared" si="141"/>
        <v>50584.364809739978</v>
      </c>
      <c r="J348" s="340">
        <f t="shared" si="142"/>
        <v>1.5707765578405206</v>
      </c>
      <c r="K348" s="348">
        <f t="shared" si="158"/>
        <v>4.7688421686432587</v>
      </c>
      <c r="L348" s="349">
        <f t="shared" si="159"/>
        <v>1.359533818603698</v>
      </c>
      <c r="M348" s="337">
        <f t="shared" si="143"/>
        <v>1.0002921345970412</v>
      </c>
      <c r="N348" s="340">
        <f t="shared" si="144"/>
        <v>2.4168719283964475E-2</v>
      </c>
      <c r="O348" s="341">
        <f t="shared" si="145"/>
        <v>0.99936874424856514</v>
      </c>
      <c r="P348" s="342">
        <f t="shared" si="146"/>
        <v>6.0621165622764938E-3</v>
      </c>
      <c r="Q348" s="343">
        <f t="shared" si="147"/>
        <v>6.7336760213918465</v>
      </c>
      <c r="R348" s="344">
        <f t="shared" si="148"/>
        <v>-85.118241507612709</v>
      </c>
      <c r="S348" s="346">
        <f t="shared" si="149"/>
        <v>94.881758492387291</v>
      </c>
      <c r="U348" s="319">
        <f t="shared" si="155"/>
        <v>1000000000</v>
      </c>
      <c r="V348" s="319">
        <f t="shared" si="156"/>
        <v>716204644</v>
      </c>
      <c r="X348" s="345">
        <f t="shared" si="150"/>
        <v>17.192620286200654</v>
      </c>
      <c r="Y348" s="346">
        <f t="shared" si="151"/>
        <v>-13.488083037672526</v>
      </c>
      <c r="AA348" s="345">
        <f t="shared" si="152"/>
        <v>25.55122969879266</v>
      </c>
      <c r="AB348" s="346">
        <f t="shared" si="153"/>
        <v>-71.630158469940199</v>
      </c>
      <c r="AD348">
        <f t="shared" si="157"/>
        <v>0</v>
      </c>
      <c r="AE348">
        <f t="shared" si="160"/>
        <v>0</v>
      </c>
    </row>
    <row r="349" spans="1:31" x14ac:dyDescent="0.2">
      <c r="A349" s="347">
        <v>26915</v>
      </c>
      <c r="B349" s="364">
        <f t="shared" si="154"/>
        <v>26.914999999999999</v>
      </c>
      <c r="C349" s="337">
        <f t="shared" si="135"/>
        <v>3.1469533773491256</v>
      </c>
      <c r="D349" s="338">
        <f t="shared" si="136"/>
        <v>1.2474221451774938</v>
      </c>
      <c r="E349" s="338">
        <f t="shared" si="137"/>
        <v>1.0000012634962032</v>
      </c>
      <c r="F349" s="339">
        <f t="shared" si="138"/>
        <v>1.5896508250735019E-3</v>
      </c>
      <c r="G349" s="338">
        <f t="shared" si="139"/>
        <v>1</v>
      </c>
      <c r="H349" s="339">
        <f t="shared" si="140"/>
        <v>0</v>
      </c>
      <c r="I349" s="337">
        <f t="shared" si="141"/>
        <v>50873.558734441955</v>
      </c>
      <c r="J349" s="340">
        <f t="shared" si="142"/>
        <v>1.5707766702183774</v>
      </c>
      <c r="K349" s="348">
        <f t="shared" si="158"/>
        <v>4.7949103546575653</v>
      </c>
      <c r="L349" s="349">
        <f t="shared" si="159"/>
        <v>1.3606996287358564</v>
      </c>
      <c r="M349" s="337">
        <f t="shared" si="143"/>
        <v>1.0002954839535498</v>
      </c>
      <c r="N349" s="340">
        <f t="shared" si="144"/>
        <v>2.4306839075395169E-2</v>
      </c>
      <c r="O349" s="341">
        <f t="shared" si="145"/>
        <v>0.99936150589667627</v>
      </c>
      <c r="P349" s="342">
        <f t="shared" si="146"/>
        <v>6.0968186430553671E-3</v>
      </c>
      <c r="Q349" s="343">
        <f t="shared" si="147"/>
        <v>6.687053801976754</v>
      </c>
      <c r="R349" s="344">
        <f t="shared" si="148"/>
        <v>-85.159473122529292</v>
      </c>
      <c r="S349" s="346">
        <f t="shared" si="149"/>
        <v>94.840526877470708</v>
      </c>
      <c r="U349" s="319">
        <f t="shared" si="155"/>
        <v>1000000000</v>
      </c>
      <c r="V349" s="319">
        <f t="shared" si="156"/>
        <v>724417225</v>
      </c>
      <c r="X349" s="345">
        <f t="shared" si="150"/>
        <v>17.190425705650199</v>
      </c>
      <c r="Y349" s="346">
        <f t="shared" si="151"/>
        <v>-13.429207157212092</v>
      </c>
      <c r="AA349" s="345">
        <f t="shared" si="152"/>
        <v>25.50680205992802</v>
      </c>
      <c r="AB349" s="346">
        <f t="shared" si="153"/>
        <v>-71.730265965317187</v>
      </c>
      <c r="AD349">
        <f t="shared" si="157"/>
        <v>0</v>
      </c>
      <c r="AE349">
        <f t="shared" si="160"/>
        <v>0</v>
      </c>
    </row>
    <row r="350" spans="1:31" x14ac:dyDescent="0.2">
      <c r="A350" s="347">
        <v>27071.75</v>
      </c>
      <c r="B350" s="364">
        <f t="shared" si="154"/>
        <v>27.071750000000002</v>
      </c>
      <c r="C350" s="337">
        <f t="shared" si="135"/>
        <v>3.1634350634215789</v>
      </c>
      <c r="D350" s="338">
        <f t="shared" si="136"/>
        <v>1.2491677262984051</v>
      </c>
      <c r="E350" s="338">
        <f t="shared" si="137"/>
        <v>1.0000012782559744</v>
      </c>
      <c r="F350" s="339">
        <f t="shared" si="138"/>
        <v>1.5989087609225255E-3</v>
      </c>
      <c r="G350" s="338">
        <f t="shared" si="139"/>
        <v>1</v>
      </c>
      <c r="H350" s="339">
        <f t="shared" si="140"/>
        <v>0</v>
      </c>
      <c r="I350" s="337">
        <f t="shared" si="141"/>
        <v>51169.84074553434</v>
      </c>
      <c r="J350" s="340">
        <f t="shared" si="142"/>
        <v>1.570776784033272</v>
      </c>
      <c r="K350" s="348">
        <f t="shared" si="158"/>
        <v>4.8216241511930065</v>
      </c>
      <c r="L350" s="349">
        <f t="shared" si="159"/>
        <v>1.3618809378157521</v>
      </c>
      <c r="M350" s="337">
        <f t="shared" si="143"/>
        <v>1.0002989351920111</v>
      </c>
      <c r="N350" s="340">
        <f t="shared" si="144"/>
        <v>2.4448343193822681E-2</v>
      </c>
      <c r="O350" s="341">
        <f t="shared" si="145"/>
        <v>0.99935404734383448</v>
      </c>
      <c r="P350" s="342">
        <f t="shared" si="146"/>
        <v>6.132372056552815E-3</v>
      </c>
      <c r="Q350" s="343">
        <f t="shared" si="147"/>
        <v>6.6395347864584719</v>
      </c>
      <c r="R350" s="344">
        <f t="shared" si="148"/>
        <v>-85.201424258796877</v>
      </c>
      <c r="S350" s="346">
        <f t="shared" si="149"/>
        <v>94.798575741203123</v>
      </c>
      <c r="U350" s="319">
        <f t="shared" si="155"/>
        <v>1000000000</v>
      </c>
      <c r="V350" s="319">
        <f t="shared" si="156"/>
        <v>732879648.0625</v>
      </c>
      <c r="X350" s="345">
        <f t="shared" si="150"/>
        <v>17.188214040275248</v>
      </c>
      <c r="Y350" s="346">
        <f t="shared" si="151"/>
        <v>-13.369637242448242</v>
      </c>
      <c r="AA350" s="345">
        <f t="shared" si="152"/>
        <v>25.461494709784688</v>
      </c>
      <c r="AB350" s="346">
        <f t="shared" si="153"/>
        <v>-71.831787016348656</v>
      </c>
      <c r="AD350">
        <f t="shared" si="157"/>
        <v>0</v>
      </c>
      <c r="AE350">
        <f t="shared" si="160"/>
        <v>0</v>
      </c>
    </row>
    <row r="351" spans="1:31" x14ac:dyDescent="0.2">
      <c r="A351" s="347">
        <v>27228.5</v>
      </c>
      <c r="B351" s="364">
        <f t="shared" si="154"/>
        <v>27.2285</v>
      </c>
      <c r="C351" s="337">
        <f t="shared" si="135"/>
        <v>3.1799262887124602</v>
      </c>
      <c r="D351" s="338">
        <f t="shared" si="136"/>
        <v>1.2508952073302249</v>
      </c>
      <c r="E351" s="338">
        <f t="shared" si="137"/>
        <v>1.0000012931014552</v>
      </c>
      <c r="F351" s="339">
        <f t="shared" si="138"/>
        <v>1.6081666964974663E-3</v>
      </c>
      <c r="G351" s="338">
        <f t="shared" si="139"/>
        <v>1</v>
      </c>
      <c r="H351" s="339">
        <f t="shared" si="140"/>
        <v>0</v>
      </c>
      <c r="I351" s="337">
        <f t="shared" si="141"/>
        <v>51466.122756627374</v>
      </c>
      <c r="J351" s="340">
        <f t="shared" si="142"/>
        <v>1.5707768965377391</v>
      </c>
      <c r="K351" s="348">
        <f t="shared" si="158"/>
        <v>4.8483446021099734</v>
      </c>
      <c r="L351" s="349">
        <f t="shared" si="159"/>
        <v>1.3630492275259967</v>
      </c>
      <c r="M351" s="337">
        <f t="shared" si="143"/>
        <v>1.000302406459735</v>
      </c>
      <c r="N351" s="340">
        <f t="shared" si="144"/>
        <v>2.4589846332983192E-2</v>
      </c>
      <c r="O351" s="341">
        <f t="shared" si="145"/>
        <v>0.99934654548263901</v>
      </c>
      <c r="P351" s="342">
        <f t="shared" si="146"/>
        <v>6.1679262758037017E-3</v>
      </c>
      <c r="Q351" s="343">
        <f t="shared" si="147"/>
        <v>6.592262199956803</v>
      </c>
      <c r="R351" s="344">
        <f t="shared" si="148"/>
        <v>-85.243084206275469</v>
      </c>
      <c r="S351" s="346">
        <f t="shared" si="149"/>
        <v>94.756915793724531</v>
      </c>
      <c r="U351" s="319">
        <f t="shared" si="155"/>
        <v>1000000000</v>
      </c>
      <c r="V351" s="319">
        <f t="shared" si="156"/>
        <v>741391212.25</v>
      </c>
      <c r="X351" s="345">
        <f t="shared" si="150"/>
        <v>17.186038703172631</v>
      </c>
      <c r="Y351" s="346">
        <f t="shared" si="151"/>
        <v>-13.310813151428341</v>
      </c>
      <c r="AA351" s="345">
        <f t="shared" si="152"/>
        <v>25.416397460385639</v>
      </c>
      <c r="AB351" s="346">
        <f t="shared" si="153"/>
        <v>-71.932271054847149</v>
      </c>
      <c r="AD351">
        <f t="shared" si="157"/>
        <v>0</v>
      </c>
      <c r="AE351">
        <f t="shared" si="160"/>
        <v>0</v>
      </c>
    </row>
    <row r="352" spans="1:31" x14ac:dyDescent="0.2">
      <c r="A352" s="347">
        <v>27385.25</v>
      </c>
      <c r="B352" s="364">
        <f t="shared" si="154"/>
        <v>27.385249999999999</v>
      </c>
      <c r="C352" s="337">
        <f t="shared" si="135"/>
        <v>3.1964269055755996</v>
      </c>
      <c r="D352" s="338">
        <f t="shared" si="136"/>
        <v>1.2526048581913485</v>
      </c>
      <c r="E352" s="338">
        <f t="shared" si="137"/>
        <v>1.0000013080326455</v>
      </c>
      <c r="F352" s="339">
        <f t="shared" si="138"/>
        <v>1.6174246317967366E-3</v>
      </c>
      <c r="G352" s="338">
        <f t="shared" si="139"/>
        <v>1</v>
      </c>
      <c r="H352" s="339">
        <f t="shared" si="140"/>
        <v>0</v>
      </c>
      <c r="I352" s="337">
        <f t="shared" si="141"/>
        <v>51762.404767721062</v>
      </c>
      <c r="J352" s="340">
        <f t="shared" si="142"/>
        <v>1.5707770077542811</v>
      </c>
      <c r="K352" s="348">
        <f t="shared" si="158"/>
        <v>4.8750715979897201</v>
      </c>
      <c r="L352" s="349">
        <f t="shared" si="159"/>
        <v>1.3642047087822893</v>
      </c>
      <c r="M352" s="337">
        <f t="shared" si="143"/>
        <v>1.0003058977565134</v>
      </c>
      <c r="N352" s="340">
        <f t="shared" si="144"/>
        <v>2.473134848722024E-2</v>
      </c>
      <c r="O352" s="341">
        <f t="shared" si="145"/>
        <v>0.99933900031314793</v>
      </c>
      <c r="P352" s="342">
        <f t="shared" si="146"/>
        <v>6.2034813054935509E-3</v>
      </c>
      <c r="Q352" s="343">
        <f t="shared" si="147"/>
        <v>6.545233605043201</v>
      </c>
      <c r="R352" s="344">
        <f t="shared" si="148"/>
        <v>-85.284456346804276</v>
      </c>
      <c r="S352" s="346">
        <f t="shared" si="149"/>
        <v>94.715543653195724</v>
      </c>
      <c r="U352" s="319">
        <f t="shared" si="155"/>
        <v>1000000000</v>
      </c>
      <c r="V352" s="319">
        <f t="shared" si="156"/>
        <v>749951917.5625</v>
      </c>
      <c r="X352" s="345">
        <f t="shared" si="150"/>
        <v>17.183898890214678</v>
      </c>
      <c r="Y352" s="346">
        <f t="shared" si="151"/>
        <v>-13.25272280053818</v>
      </c>
      <c r="AA352" s="345">
        <f t="shared" si="152"/>
        <v>25.37150867842999</v>
      </c>
      <c r="AB352" s="346">
        <f t="shared" si="153"/>
        <v>-72.031733546266139</v>
      </c>
      <c r="AD352">
        <f t="shared" si="157"/>
        <v>0</v>
      </c>
      <c r="AE352">
        <f t="shared" si="160"/>
        <v>0</v>
      </c>
    </row>
    <row r="353" spans="1:31" x14ac:dyDescent="0.2">
      <c r="A353" s="347">
        <v>27542</v>
      </c>
      <c r="B353" s="364">
        <f t="shared" si="154"/>
        <v>27.542000000000002</v>
      </c>
      <c r="C353" s="337">
        <f t="shared" si="135"/>
        <v>3.2129367693146555</v>
      </c>
      <c r="D353" s="338">
        <f t="shared" si="136"/>
        <v>1.2542969436738849</v>
      </c>
      <c r="E353" s="338">
        <f t="shared" si="137"/>
        <v>1.0000013230495453</v>
      </c>
      <c r="F353" s="339">
        <f t="shared" si="138"/>
        <v>1.6266825668187499E-3</v>
      </c>
      <c r="G353" s="338">
        <f t="shared" si="139"/>
        <v>1</v>
      </c>
      <c r="H353" s="339">
        <f t="shared" si="140"/>
        <v>0</v>
      </c>
      <c r="I353" s="337">
        <f t="shared" si="141"/>
        <v>52058.686778815376</v>
      </c>
      <c r="J353" s="340">
        <f t="shared" si="142"/>
        <v>1.5707771177048881</v>
      </c>
      <c r="K353" s="348">
        <f t="shared" si="158"/>
        <v>4.9018050317734057</v>
      </c>
      <c r="L353" s="349">
        <f t="shared" si="159"/>
        <v>1.3653475880376715</v>
      </c>
      <c r="M353" s="337">
        <f t="shared" si="143"/>
        <v>1.0003094090821363</v>
      </c>
      <c r="N353" s="340">
        <f t="shared" si="144"/>
        <v>2.4872849650877629E-2</v>
      </c>
      <c r="O353" s="341">
        <f t="shared" si="145"/>
        <v>0.99933141183541874</v>
      </c>
      <c r="P353" s="342">
        <f t="shared" si="146"/>
        <v>6.2390371503082409E-3</v>
      </c>
      <c r="Q353" s="343">
        <f t="shared" si="147"/>
        <v>6.4984465995012384</v>
      </c>
      <c r="R353" s="344">
        <f t="shared" si="148"/>
        <v>-85.325544024170114</v>
      </c>
      <c r="S353" s="346">
        <f t="shared" si="149"/>
        <v>94.674455975829886</v>
      </c>
      <c r="U353" s="319">
        <f t="shared" si="155"/>
        <v>1000000000</v>
      </c>
      <c r="V353" s="319">
        <f t="shared" si="156"/>
        <v>758561764</v>
      </c>
      <c r="X353" s="345">
        <f t="shared" si="150"/>
        <v>17.181793819143618</v>
      </c>
      <c r="Y353" s="346">
        <f t="shared" si="151"/>
        <v>-13.19535436182567</v>
      </c>
      <c r="AA353" s="345">
        <f t="shared" si="152"/>
        <v>25.326826743959082</v>
      </c>
      <c r="AB353" s="346">
        <f t="shared" si="153"/>
        <v>-72.130189662344463</v>
      </c>
      <c r="AD353">
        <f t="shared" si="157"/>
        <v>0</v>
      </c>
      <c r="AE353">
        <f t="shared" si="160"/>
        <v>0</v>
      </c>
    </row>
    <row r="354" spans="1:31" x14ac:dyDescent="0.2">
      <c r="A354" s="347">
        <v>27702.5</v>
      </c>
      <c r="B354" s="364">
        <f t="shared" si="154"/>
        <v>27.702500000000001</v>
      </c>
      <c r="C354" s="337">
        <f t="shared" si="135"/>
        <v>3.2298510391165518</v>
      </c>
      <c r="D354" s="338">
        <f t="shared" si="136"/>
        <v>1.2560115802223359</v>
      </c>
      <c r="E354" s="338">
        <f t="shared" si="137"/>
        <v>1.0000013385145108</v>
      </c>
      <c r="F354" s="339">
        <f t="shared" si="138"/>
        <v>1.6361619832509109E-3</v>
      </c>
      <c r="G354" s="338">
        <f t="shared" si="139"/>
        <v>1</v>
      </c>
      <c r="H354" s="339">
        <f t="shared" si="140"/>
        <v>0</v>
      </c>
      <c r="I354" s="337">
        <f t="shared" si="141"/>
        <v>52362.05687630015</v>
      </c>
      <c r="J354" s="340">
        <f t="shared" si="142"/>
        <v>1.5707772289966107</v>
      </c>
      <c r="K354" s="348">
        <f t="shared" si="158"/>
        <v>4.9291845827582659</v>
      </c>
      <c r="L354" s="349">
        <f t="shared" si="159"/>
        <v>1.3665049621297041</v>
      </c>
      <c r="M354" s="337">
        <f t="shared" si="143"/>
        <v>1.0003130251638586</v>
      </c>
      <c r="N354" s="340">
        <f t="shared" si="144"/>
        <v>2.5017734977520276E-2</v>
      </c>
      <c r="O354" s="341">
        <f t="shared" si="145"/>
        <v>0.99932359694046646</v>
      </c>
      <c r="P354" s="342">
        <f t="shared" si="146"/>
        <v>6.2754444629233817E-3</v>
      </c>
      <c r="Q354" s="343">
        <f t="shared" si="147"/>
        <v>6.4507881429091469</v>
      </c>
      <c r="R354" s="344">
        <f t="shared" si="148"/>
        <v>-85.367323360130186</v>
      </c>
      <c r="S354" s="346">
        <f t="shared" si="149"/>
        <v>94.632676639869814</v>
      </c>
      <c r="U354" s="319">
        <f t="shared" si="155"/>
        <v>1000000000</v>
      </c>
      <c r="V354" s="319">
        <f t="shared" si="156"/>
        <v>767428506.25</v>
      </c>
      <c r="X354" s="345">
        <f t="shared" si="150"/>
        <v>17.179673591285137</v>
      </c>
      <c r="Y354" s="346">
        <f t="shared" si="151"/>
        <v>-13.137349405244128</v>
      </c>
      <c r="AA354" s="345">
        <f t="shared" si="152"/>
        <v>25.281288515225476</v>
      </c>
      <c r="AB354" s="346">
        <f t="shared" si="153"/>
        <v>-72.229973954886063</v>
      </c>
      <c r="AD354">
        <f t="shared" si="157"/>
        <v>0</v>
      </c>
      <c r="AE354">
        <f t="shared" si="160"/>
        <v>0</v>
      </c>
    </row>
    <row r="355" spans="1:31" x14ac:dyDescent="0.2">
      <c r="A355" s="347">
        <v>27863</v>
      </c>
      <c r="B355" s="364">
        <f t="shared" si="154"/>
        <v>27.863</v>
      </c>
      <c r="C355" s="337">
        <f t="shared" si="135"/>
        <v>3.2467747056580794</v>
      </c>
      <c r="D355" s="338">
        <f t="shared" si="136"/>
        <v>1.2577083467848431</v>
      </c>
      <c r="E355" s="338">
        <f t="shared" si="137"/>
        <v>1.0000013540693355</v>
      </c>
      <c r="F355" s="339">
        <f t="shared" si="138"/>
        <v>1.6456413993890229E-3</v>
      </c>
      <c r="G355" s="338">
        <f t="shared" si="139"/>
        <v>1</v>
      </c>
      <c r="H355" s="339">
        <f t="shared" si="140"/>
        <v>0</v>
      </c>
      <c r="I355" s="337">
        <f t="shared" si="141"/>
        <v>52665.426973785572</v>
      </c>
      <c r="J355" s="340">
        <f t="shared" si="142"/>
        <v>1.5707773390061799</v>
      </c>
      <c r="K355" s="348">
        <f t="shared" si="158"/>
        <v>4.9565706635082982</v>
      </c>
      <c r="L355" s="349">
        <f t="shared" si="159"/>
        <v>1.3676495482771192</v>
      </c>
      <c r="M355" s="337">
        <f t="shared" si="143"/>
        <v>1.0003166622437578</v>
      </c>
      <c r="N355" s="340">
        <f t="shared" si="144"/>
        <v>2.5162619253618894E-2</v>
      </c>
      <c r="O355" s="341">
        <f t="shared" si="145"/>
        <v>0.99931573664044959</v>
      </c>
      <c r="P355" s="342">
        <f t="shared" si="146"/>
        <v>6.3118526400752556E-3</v>
      </c>
      <c r="Q355" s="343">
        <f t="shared" si="147"/>
        <v>6.4033779861474098</v>
      </c>
      <c r="R355" s="344">
        <f t="shared" si="148"/>
        <v>-85.408811432468028</v>
      </c>
      <c r="S355" s="346">
        <f t="shared" si="149"/>
        <v>94.591188567531972</v>
      </c>
      <c r="U355" s="319">
        <f t="shared" si="155"/>
        <v>1000000000</v>
      </c>
      <c r="V355" s="319">
        <f t="shared" si="156"/>
        <v>776346769</v>
      </c>
      <c r="X355" s="345">
        <f t="shared" si="150"/>
        <v>17.177588194843207</v>
      </c>
      <c r="Y355" s="346">
        <f t="shared" si="151"/>
        <v>-13.080077010264949</v>
      </c>
      <c r="AA355" s="345">
        <f t="shared" si="152"/>
        <v>25.235963754905669</v>
      </c>
      <c r="AB355" s="346">
        <f t="shared" si="153"/>
        <v>-72.328734422203098</v>
      </c>
      <c r="AD355">
        <f t="shared" si="157"/>
        <v>0</v>
      </c>
      <c r="AE355">
        <f t="shared" si="160"/>
        <v>0</v>
      </c>
    </row>
    <row r="356" spans="1:31" x14ac:dyDescent="0.2">
      <c r="A356" s="347">
        <v>28023.5</v>
      </c>
      <c r="B356" s="364">
        <f t="shared" si="154"/>
        <v>28.023499999999999</v>
      </c>
      <c r="C356" s="337">
        <f t="shared" si="135"/>
        <v>3.2637076227613608</v>
      </c>
      <c r="D356" s="338">
        <f t="shared" si="136"/>
        <v>1.2593875116562787</v>
      </c>
      <c r="E356" s="338">
        <f t="shared" si="137"/>
        <v>1.00000136971402</v>
      </c>
      <c r="F356" s="339">
        <f t="shared" si="138"/>
        <v>1.6551208152313823E-3</v>
      </c>
      <c r="G356" s="338">
        <f t="shared" si="139"/>
        <v>1</v>
      </c>
      <c r="H356" s="339">
        <f t="shared" si="140"/>
        <v>0</v>
      </c>
      <c r="I356" s="337">
        <f t="shared" si="141"/>
        <v>52968.79707127162</v>
      </c>
      <c r="J356" s="340">
        <f t="shared" si="142"/>
        <v>1.5707774477556253</v>
      </c>
      <c r="K356" s="348">
        <f t="shared" si="158"/>
        <v>4.9839631663834538</v>
      </c>
      <c r="L356" s="349">
        <f t="shared" si="159"/>
        <v>1.3687815543085042</v>
      </c>
      <c r="M356" s="337">
        <f t="shared" si="143"/>
        <v>1.0003203203216049</v>
      </c>
      <c r="N356" s="340">
        <f t="shared" si="144"/>
        <v>2.5307502473102306E-2</v>
      </c>
      <c r="O356" s="341">
        <f t="shared" si="145"/>
        <v>0.99930783093543107</v>
      </c>
      <c r="P356" s="342">
        <f t="shared" si="146"/>
        <v>6.3482616867953012E-3</v>
      </c>
      <c r="Q356" s="343">
        <f t="shared" si="147"/>
        <v>6.3562136607889794</v>
      </c>
      <c r="R356" s="344">
        <f t="shared" si="148"/>
        <v>-85.450011706849352</v>
      </c>
      <c r="S356" s="346">
        <f t="shared" si="149"/>
        <v>94.549988293150648</v>
      </c>
      <c r="U356" s="319">
        <f t="shared" si="155"/>
        <v>1000000000</v>
      </c>
      <c r="V356" s="319">
        <f t="shared" si="156"/>
        <v>785316552.25</v>
      </c>
      <c r="X356" s="345">
        <f t="shared" si="150"/>
        <v>17.175536856812908</v>
      </c>
      <c r="Y356" s="346">
        <f t="shared" si="151"/>
        <v>-13.023525270101517</v>
      </c>
      <c r="AA356" s="345">
        <f t="shared" si="152"/>
        <v>25.19085076757754</v>
      </c>
      <c r="AB356" s="346">
        <f t="shared" si="153"/>
        <v>-72.426486436747822</v>
      </c>
      <c r="AD356">
        <f t="shared" si="157"/>
        <v>0</v>
      </c>
      <c r="AE356">
        <f t="shared" si="160"/>
        <v>0</v>
      </c>
    </row>
    <row r="357" spans="1:31" x14ac:dyDescent="0.2">
      <c r="A357" s="347">
        <v>28184</v>
      </c>
      <c r="B357" s="364">
        <f t="shared" si="154"/>
        <v>28.184000000000001</v>
      </c>
      <c r="C357" s="337">
        <f t="shared" si="135"/>
        <v>3.2806496471873969</v>
      </c>
      <c r="D357" s="338">
        <f t="shared" si="136"/>
        <v>1.2610493379909637</v>
      </c>
      <c r="E357" s="338">
        <f t="shared" si="137"/>
        <v>1.0000013854485637</v>
      </c>
      <c r="F357" s="339">
        <f t="shared" si="138"/>
        <v>1.6646002307762853E-3</v>
      </c>
      <c r="G357" s="338">
        <f t="shared" si="139"/>
        <v>1</v>
      </c>
      <c r="H357" s="339">
        <f t="shared" si="140"/>
        <v>0</v>
      </c>
      <c r="I357" s="337">
        <f t="shared" si="141"/>
        <v>53272.167168758293</v>
      </c>
      <c r="J357" s="340">
        <f t="shared" si="142"/>
        <v>1.5707775552664756</v>
      </c>
      <c r="K357" s="348">
        <f t="shared" si="158"/>
        <v>5.0113619860721972</v>
      </c>
      <c r="L357" s="349">
        <f t="shared" si="159"/>
        <v>1.3699011836379382</v>
      </c>
      <c r="M357" s="337">
        <f t="shared" si="143"/>
        <v>1.0003239993971691</v>
      </c>
      <c r="N357" s="340">
        <f t="shared" si="144"/>
        <v>2.5452384629899617E-2</v>
      </c>
      <c r="O357" s="341">
        <f t="shared" si="145"/>
        <v>0.99929987982547497</v>
      </c>
      <c r="P357" s="342">
        <f t="shared" si="146"/>
        <v>6.384671608115353E-3</v>
      </c>
      <c r="Q357" s="343">
        <f t="shared" si="147"/>
        <v>6.3092927341985474</v>
      </c>
      <c r="R357" s="344">
        <f t="shared" si="148"/>
        <v>-85.490927607311875</v>
      </c>
      <c r="S357" s="346">
        <f t="shared" si="149"/>
        <v>94.509072392688125</v>
      </c>
      <c r="U357" s="319">
        <f t="shared" si="155"/>
        <v>1000000000</v>
      </c>
      <c r="V357" s="319">
        <f t="shared" si="156"/>
        <v>794337856</v>
      </c>
      <c r="X357" s="345">
        <f t="shared" si="150"/>
        <v>17.173518825264338</v>
      </c>
      <c r="Y357" s="346">
        <f t="shared" si="151"/>
        <v>-12.967682530871285</v>
      </c>
      <c r="AA357" s="345">
        <f t="shared" si="152"/>
        <v>25.145947872535675</v>
      </c>
      <c r="AB357" s="346">
        <f t="shared" si="153"/>
        <v>-72.523245076440602</v>
      </c>
      <c r="AD357">
        <f t="shared" si="157"/>
        <v>0</v>
      </c>
      <c r="AE357">
        <f t="shared" si="160"/>
        <v>0</v>
      </c>
    </row>
    <row r="358" spans="1:31" x14ac:dyDescent="0.2">
      <c r="A358" s="347">
        <v>28348</v>
      </c>
      <c r="B358" s="364">
        <f t="shared" si="154"/>
        <v>28.347999999999999</v>
      </c>
      <c r="C358" s="337">
        <f t="shared" si="135"/>
        <v>3.2979703852161739</v>
      </c>
      <c r="D358" s="338">
        <f t="shared" si="136"/>
        <v>1.2627297622674749</v>
      </c>
      <c r="E358" s="338">
        <f t="shared" si="137"/>
        <v>1.0000014016190486</v>
      </c>
      <c r="F358" s="339">
        <f t="shared" si="138"/>
        <v>1.6742863622389945E-3</v>
      </c>
      <c r="G358" s="338">
        <f t="shared" si="139"/>
        <v>1</v>
      </c>
      <c r="H358" s="339">
        <f t="shared" si="140"/>
        <v>0</v>
      </c>
      <c r="I358" s="337">
        <f t="shared" si="141"/>
        <v>53582.152813542802</v>
      </c>
      <c r="J358" s="340">
        <f t="shared" si="142"/>
        <v>1.5707776638642836</v>
      </c>
      <c r="K358" s="348">
        <f t="shared" si="158"/>
        <v>5.0393647055492528</v>
      </c>
      <c r="L358" s="349">
        <f t="shared" si="159"/>
        <v>1.3710326512160671</v>
      </c>
      <c r="M358" s="337">
        <f t="shared" si="143"/>
        <v>1.0003277803911057</v>
      </c>
      <c r="N358" s="340">
        <f t="shared" si="144"/>
        <v>2.5600425106661159E-2</v>
      </c>
      <c r="O358" s="341">
        <f t="shared" si="145"/>
        <v>0.99929170842595305</v>
      </c>
      <c r="P358" s="342">
        <f t="shared" si="146"/>
        <v>6.4218764239107693E-3</v>
      </c>
      <c r="Q358" s="343">
        <f t="shared" si="147"/>
        <v>6.2615975337804608</v>
      </c>
      <c r="R358" s="344">
        <f t="shared" si="148"/>
        <v>-85.532445530493689</v>
      </c>
      <c r="S358" s="346">
        <f t="shared" si="149"/>
        <v>94.467554469506311</v>
      </c>
      <c r="U358" s="319">
        <f t="shared" si="155"/>
        <v>1000000000</v>
      </c>
      <c r="V358" s="319">
        <f t="shared" si="156"/>
        <v>803609104</v>
      </c>
      <c r="X358" s="345">
        <f t="shared" si="150"/>
        <v>17.171490429643761</v>
      </c>
      <c r="Y358" s="346">
        <f t="shared" si="151"/>
        <v>-12.911342530635842</v>
      </c>
      <c r="AA358" s="345">
        <f t="shared" si="152"/>
        <v>25.100281067738166</v>
      </c>
      <c r="AB358" s="346">
        <f t="shared" si="153"/>
        <v>-72.621102999857854</v>
      </c>
      <c r="AD358">
        <f t="shared" si="157"/>
        <v>0</v>
      </c>
      <c r="AE358">
        <f t="shared" si="160"/>
        <v>0</v>
      </c>
    </row>
    <row r="359" spans="1:31" x14ac:dyDescent="0.2">
      <c r="A359" s="347">
        <v>28512</v>
      </c>
      <c r="B359" s="364">
        <f t="shared" si="154"/>
        <v>28.512</v>
      </c>
      <c r="C359" s="337">
        <f t="shared" si="135"/>
        <v>3.3153003388132443</v>
      </c>
      <c r="D359" s="338">
        <f t="shared" si="136"/>
        <v>1.2643926231526168</v>
      </c>
      <c r="E359" s="338">
        <f t="shared" si="137"/>
        <v>1.0000014178833545</v>
      </c>
      <c r="F359" s="339">
        <f t="shared" si="138"/>
        <v>1.6839724933875367E-3</v>
      </c>
      <c r="G359" s="338">
        <f t="shared" si="139"/>
        <v>1</v>
      </c>
      <c r="H359" s="339">
        <f t="shared" si="140"/>
        <v>0</v>
      </c>
      <c r="I359" s="337">
        <f t="shared" si="141"/>
        <v>53892.138458327943</v>
      </c>
      <c r="J359" s="340">
        <f t="shared" si="142"/>
        <v>1.5707777712127902</v>
      </c>
      <c r="K359" s="348">
        <f t="shared" si="158"/>
        <v>5.0673738052084483</v>
      </c>
      <c r="L359" s="349">
        <f t="shared" si="159"/>
        <v>1.3721516122007651</v>
      </c>
      <c r="M359" s="337">
        <f t="shared" si="143"/>
        <v>1.0003315833080426</v>
      </c>
      <c r="N359" s="340">
        <f t="shared" si="144"/>
        <v>2.574846446106906E-2</v>
      </c>
      <c r="O359" s="341">
        <f t="shared" si="145"/>
        <v>0.99928348961975977</v>
      </c>
      <c r="P359" s="342">
        <f t="shared" si="146"/>
        <v>6.4590821634898385E-3</v>
      </c>
      <c r="Q359" s="343">
        <f t="shared" si="147"/>
        <v>6.2141514395847857</v>
      </c>
      <c r="R359" s="344">
        <f t="shared" si="148"/>
        <v>-85.573673637556524</v>
      </c>
      <c r="S359" s="346">
        <f t="shared" si="149"/>
        <v>94.426326362443476</v>
      </c>
      <c r="U359" s="319">
        <f t="shared" si="155"/>
        <v>1000000000</v>
      </c>
      <c r="V359" s="319">
        <f t="shared" si="156"/>
        <v>812934144</v>
      </c>
      <c r="X359" s="345">
        <f t="shared" si="150"/>
        <v>17.169495286084121</v>
      </c>
      <c r="Y359" s="346">
        <f t="shared" si="151"/>
        <v>-12.855718969535065</v>
      </c>
      <c r="AA359" s="345">
        <f t="shared" si="152"/>
        <v>25.054830117102131</v>
      </c>
      <c r="AB359" s="346">
        <f t="shared" si="153"/>
        <v>-72.717954668021463</v>
      </c>
      <c r="AD359">
        <f t="shared" si="157"/>
        <v>0</v>
      </c>
      <c r="AE359">
        <f t="shared" si="160"/>
        <v>0</v>
      </c>
    </row>
    <row r="360" spans="1:31" x14ac:dyDescent="0.2">
      <c r="A360" s="347">
        <v>28676</v>
      </c>
      <c r="B360" s="364">
        <f t="shared" si="154"/>
        <v>28.675999999999998</v>
      </c>
      <c r="C360" s="337">
        <f t="shared" si="135"/>
        <v>3.3326393642138465</v>
      </c>
      <c r="D360" s="338">
        <f t="shared" si="136"/>
        <v>1.2660381855139424</v>
      </c>
      <c r="E360" s="338">
        <f t="shared" si="137"/>
        <v>1.0000014342414818</v>
      </c>
      <c r="F360" s="339">
        <f t="shared" si="138"/>
        <v>1.6936586242200942E-3</v>
      </c>
      <c r="G360" s="338">
        <f t="shared" si="139"/>
        <v>1</v>
      </c>
      <c r="H360" s="339">
        <f t="shared" si="140"/>
        <v>0</v>
      </c>
      <c r="I360" s="337">
        <f t="shared" si="141"/>
        <v>54202.124103113689</v>
      </c>
      <c r="J360" s="340">
        <f t="shared" si="142"/>
        <v>1.5707778773334298</v>
      </c>
      <c r="K360" s="348">
        <f t="shared" si="158"/>
        <v>5.0953891798351583</v>
      </c>
      <c r="L360" s="349">
        <f t="shared" si="159"/>
        <v>1.3732582700571965</v>
      </c>
      <c r="M360" s="337">
        <f t="shared" si="143"/>
        <v>1.0003354081477298</v>
      </c>
      <c r="N360" s="340">
        <f t="shared" si="144"/>
        <v>2.5896502686647411E-2</v>
      </c>
      <c r="O360" s="341">
        <f t="shared" si="145"/>
        <v>0.99927522340696417</v>
      </c>
      <c r="P360" s="342">
        <f t="shared" si="146"/>
        <v>6.4962888322220927E-3</v>
      </c>
      <c r="Q360" s="343">
        <f t="shared" si="147"/>
        <v>6.1669519677045113</v>
      </c>
      <c r="R360" s="344">
        <f t="shared" si="148"/>
        <v>-85.614615447762944</v>
      </c>
      <c r="S360" s="346">
        <f t="shared" si="149"/>
        <v>94.385384552237056</v>
      </c>
      <c r="U360" s="319">
        <f t="shared" si="155"/>
        <v>1000000000</v>
      </c>
      <c r="V360" s="319">
        <f t="shared" si="156"/>
        <v>822312976</v>
      </c>
      <c r="X360" s="345">
        <f t="shared" si="150"/>
        <v>17.167532656234016</v>
      </c>
      <c r="Y360" s="346">
        <f t="shared" si="151"/>
        <v>-12.80080019073081</v>
      </c>
      <c r="AA360" s="345">
        <f t="shared" si="152"/>
        <v>25.009593275071961</v>
      </c>
      <c r="AB360" s="346">
        <f t="shared" si="153"/>
        <v>-72.813815257032132</v>
      </c>
      <c r="AD360">
        <f t="shared" si="157"/>
        <v>0</v>
      </c>
      <c r="AE360">
        <f t="shared" si="160"/>
        <v>0</v>
      </c>
    </row>
    <row r="361" spans="1:31" x14ac:dyDescent="0.2">
      <c r="A361" s="347">
        <v>28840</v>
      </c>
      <c r="B361" s="364">
        <f t="shared" si="154"/>
        <v>28.84</v>
      </c>
      <c r="C361" s="337">
        <f t="shared" si="135"/>
        <v>3.3499873205551522</v>
      </c>
      <c r="D361" s="338">
        <f t="shared" si="136"/>
        <v>1.2676667091115819</v>
      </c>
      <c r="E361" s="338">
        <f t="shared" si="137"/>
        <v>1.0000014506934305</v>
      </c>
      <c r="F361" s="339">
        <f t="shared" si="138"/>
        <v>1.7033447547348494E-3</v>
      </c>
      <c r="G361" s="338">
        <f t="shared" si="139"/>
        <v>1</v>
      </c>
      <c r="H361" s="339">
        <f t="shared" si="140"/>
        <v>0</v>
      </c>
      <c r="I361" s="337">
        <f t="shared" si="141"/>
        <v>54512.109747900045</v>
      </c>
      <c r="J361" s="340">
        <f t="shared" si="142"/>
        <v>1.5707779822471497</v>
      </c>
      <c r="K361" s="348">
        <f t="shared" si="158"/>
        <v>5.1234107264927395</v>
      </c>
      <c r="L361" s="349">
        <f t="shared" si="159"/>
        <v>1.3743528239213068</v>
      </c>
      <c r="M361" s="337">
        <f t="shared" si="143"/>
        <v>1.0003392549099162</v>
      </c>
      <c r="N361" s="340">
        <f t="shared" si="144"/>
        <v>2.6044539776920578E-2</v>
      </c>
      <c r="O361" s="341">
        <f t="shared" si="145"/>
        <v>0.9992669097876361</v>
      </c>
      <c r="P361" s="342">
        <f t="shared" si="146"/>
        <v>6.5334964354774993E-3</v>
      </c>
      <c r="Q361" s="343">
        <f t="shared" si="147"/>
        <v>6.1199966703186091</v>
      </c>
      <c r="R361" s="344">
        <f t="shared" si="148"/>
        <v>-85.655274435759779</v>
      </c>
      <c r="S361" s="346">
        <f t="shared" si="149"/>
        <v>94.344725564240221</v>
      </c>
      <c r="U361" s="319">
        <f t="shared" si="155"/>
        <v>1000000000</v>
      </c>
      <c r="V361" s="319">
        <f t="shared" si="156"/>
        <v>831745600</v>
      </c>
      <c r="X361" s="345">
        <f t="shared" si="150"/>
        <v>17.165601821879129</v>
      </c>
      <c r="Y361" s="346">
        <f t="shared" si="151"/>
        <v>-12.746574785403018</v>
      </c>
      <c r="AA361" s="345">
        <f t="shared" si="152"/>
        <v>24.964568812040948</v>
      </c>
      <c r="AB361" s="346">
        <f t="shared" si="153"/>
        <v>-72.908699650356766</v>
      </c>
      <c r="AD361">
        <f t="shared" si="157"/>
        <v>0</v>
      </c>
      <c r="AE361">
        <f t="shared" si="160"/>
        <v>0</v>
      </c>
    </row>
    <row r="362" spans="1:31" x14ac:dyDescent="0.2">
      <c r="A362" s="347">
        <v>29008</v>
      </c>
      <c r="B362" s="364">
        <f t="shared" si="154"/>
        <v>29.007999999999999</v>
      </c>
      <c r="C362" s="337">
        <f t="shared" si="135"/>
        <v>3.3677675138529528</v>
      </c>
      <c r="D362" s="338">
        <f t="shared" si="136"/>
        <v>1.2693175518790747</v>
      </c>
      <c r="E362" s="338">
        <f t="shared" si="137"/>
        <v>1.0000014676439277</v>
      </c>
      <c r="F362" s="339">
        <f t="shared" si="138"/>
        <v>1.713267132003907E-3</v>
      </c>
      <c r="G362" s="338">
        <f t="shared" si="139"/>
        <v>1</v>
      </c>
      <c r="H362" s="339">
        <f t="shared" si="140"/>
        <v>0</v>
      </c>
      <c r="I362" s="337">
        <f t="shared" si="141"/>
        <v>54829.656018169611</v>
      </c>
      <c r="J362" s="340">
        <f t="shared" si="142"/>
        <v>1.5707780884897042</v>
      </c>
      <c r="K362" s="348">
        <f t="shared" si="158"/>
        <v>5.1521220199111282</v>
      </c>
      <c r="L362" s="349">
        <f t="shared" si="159"/>
        <v>1.3754617275252234</v>
      </c>
      <c r="M362" s="337">
        <f t="shared" si="143"/>
        <v>1.0003432182263681</v>
      </c>
      <c r="N362" s="340">
        <f t="shared" si="144"/>
        <v>2.6196186343984958E-2</v>
      </c>
      <c r="O362" s="341">
        <f t="shared" si="145"/>
        <v>0.99925834424215942</v>
      </c>
      <c r="P362" s="342">
        <f t="shared" si="146"/>
        <v>6.5716125158560854E-3</v>
      </c>
      <c r="Q362" s="343">
        <f t="shared" si="147"/>
        <v>6.0721467805905256</v>
      </c>
      <c r="R362" s="344">
        <f t="shared" si="148"/>
        <v>-85.696635438350228</v>
      </c>
      <c r="S362" s="346">
        <f t="shared" si="149"/>
        <v>94.303364561649772</v>
      </c>
      <c r="U362" s="319">
        <f t="shared" si="155"/>
        <v>1000000000</v>
      </c>
      <c r="V362" s="319">
        <f t="shared" si="156"/>
        <v>841464064</v>
      </c>
      <c r="X362" s="345">
        <f t="shared" si="150"/>
        <v>17.163656131936833</v>
      </c>
      <c r="Y362" s="346">
        <f t="shared" si="151"/>
        <v>-12.691734084469495</v>
      </c>
      <c r="AA362" s="345">
        <f t="shared" si="152"/>
        <v>24.918664612255164</v>
      </c>
      <c r="AB362" s="346">
        <f t="shared" si="153"/>
        <v>-73.004901353880754</v>
      </c>
      <c r="AD362">
        <f t="shared" si="157"/>
        <v>0</v>
      </c>
      <c r="AE362">
        <f t="shared" si="160"/>
        <v>0</v>
      </c>
    </row>
    <row r="363" spans="1:31" x14ac:dyDescent="0.2">
      <c r="A363" s="347">
        <v>29176</v>
      </c>
      <c r="B363" s="364">
        <f t="shared" si="154"/>
        <v>29.175999999999998</v>
      </c>
      <c r="C363" s="337">
        <f t="shared" si="135"/>
        <v>3.385556788849053</v>
      </c>
      <c r="D363" s="338">
        <f t="shared" si="136"/>
        <v>1.2709510504826256</v>
      </c>
      <c r="E363" s="338">
        <f t="shared" si="137"/>
        <v>1.0000014846928789</v>
      </c>
      <c r="F363" s="339">
        <f t="shared" si="138"/>
        <v>1.7231895089356096E-3</v>
      </c>
      <c r="G363" s="338">
        <f t="shared" si="139"/>
        <v>1</v>
      </c>
      <c r="H363" s="339">
        <f t="shared" si="140"/>
        <v>0</v>
      </c>
      <c r="I363" s="337">
        <f t="shared" si="141"/>
        <v>55147.202288439788</v>
      </c>
      <c r="J363" s="340">
        <f t="shared" si="142"/>
        <v>1.5707781935087359</v>
      </c>
      <c r="K363" s="348">
        <f t="shared" si="158"/>
        <v>5.1808395785011996</v>
      </c>
      <c r="L363" s="349">
        <f t="shared" si="159"/>
        <v>1.3765583390892755</v>
      </c>
      <c r="M363" s="337">
        <f t="shared" si="143"/>
        <v>1.0003472045472117</v>
      </c>
      <c r="N363" s="340">
        <f t="shared" si="144"/>
        <v>2.6347831705932544E-2</v>
      </c>
      <c r="O363" s="341">
        <f t="shared" si="145"/>
        <v>0.99924972894958419</v>
      </c>
      <c r="P363" s="342">
        <f t="shared" si="146"/>
        <v>6.609729588309337E-3</v>
      </c>
      <c r="Q363" s="343">
        <f t="shared" si="147"/>
        <v>6.0245480346408851</v>
      </c>
      <c r="R363" s="344">
        <f t="shared" si="148"/>
        <v>-85.737706893263365</v>
      </c>
      <c r="S363" s="346">
        <f t="shared" si="149"/>
        <v>94.262293106736635</v>
      </c>
      <c r="U363" s="319">
        <f t="shared" si="155"/>
        <v>1000000000</v>
      </c>
      <c r="V363" s="319">
        <f t="shared" si="156"/>
        <v>851238976</v>
      </c>
      <c r="X363" s="345">
        <f t="shared" si="150"/>
        <v>17.161742343656559</v>
      </c>
      <c r="Y363" s="346">
        <f t="shared" si="151"/>
        <v>-12.637597526391819</v>
      </c>
      <c r="AA363" s="345">
        <f t="shared" si="152"/>
        <v>24.872979654585791</v>
      </c>
      <c r="AB363" s="346">
        <f t="shared" si="153"/>
        <v>-73.100109366871564</v>
      </c>
      <c r="AD363">
        <f t="shared" si="157"/>
        <v>0</v>
      </c>
      <c r="AE363">
        <f t="shared" si="160"/>
        <v>0</v>
      </c>
    </row>
    <row r="364" spans="1:31" x14ac:dyDescent="0.2">
      <c r="A364" s="347">
        <v>29344</v>
      </c>
      <c r="B364" s="364">
        <f t="shared" si="154"/>
        <v>29.344000000000001</v>
      </c>
      <c r="C364" s="337">
        <f t="shared" si="135"/>
        <v>3.403355003133838</v>
      </c>
      <c r="D364" s="338">
        <f t="shared" si="136"/>
        <v>1.272567468245392</v>
      </c>
      <c r="E364" s="338">
        <f t="shared" si="137"/>
        <v>1.0000015018402835</v>
      </c>
      <c r="F364" s="339">
        <f t="shared" si="138"/>
        <v>1.7331118855280034E-3</v>
      </c>
      <c r="G364" s="338">
        <f t="shared" si="139"/>
        <v>1</v>
      </c>
      <c r="H364" s="339">
        <f t="shared" si="140"/>
        <v>0</v>
      </c>
      <c r="I364" s="337">
        <f t="shared" si="141"/>
        <v>55464.748558710569</v>
      </c>
      <c r="J364" s="340">
        <f t="shared" si="142"/>
        <v>1.5707782973252598</v>
      </c>
      <c r="K364" s="348">
        <f t="shared" si="158"/>
        <v>5.2095632986532525</v>
      </c>
      <c r="L364" s="349">
        <f t="shared" si="159"/>
        <v>1.3776428592760384</v>
      </c>
      <c r="M364" s="337">
        <f t="shared" si="143"/>
        <v>1.0003512138721717</v>
      </c>
      <c r="N364" s="340">
        <f t="shared" si="144"/>
        <v>2.6499475855803218E-2</v>
      </c>
      <c r="O364" s="341">
        <f t="shared" si="145"/>
        <v>0.99924106390998635</v>
      </c>
      <c r="P364" s="342">
        <f t="shared" si="146"/>
        <v>6.6478476586112594E-3</v>
      </c>
      <c r="Q364" s="343">
        <f t="shared" si="147"/>
        <v>5.9771979144226925</v>
      </c>
      <c r="R364" s="344">
        <f t="shared" si="148"/>
        <v>-85.778492391822311</v>
      </c>
      <c r="S364" s="346">
        <f t="shared" si="149"/>
        <v>94.221507608177689</v>
      </c>
      <c r="U364" s="319">
        <f t="shared" si="155"/>
        <v>1000000000</v>
      </c>
      <c r="V364" s="319">
        <f t="shared" si="156"/>
        <v>861070336</v>
      </c>
      <c r="X364" s="345">
        <f t="shared" si="150"/>
        <v>17.159859746524312</v>
      </c>
      <c r="Y364" s="346">
        <f t="shared" si="151"/>
        <v>-12.584153614856602</v>
      </c>
      <c r="AA364" s="345">
        <f t="shared" si="152"/>
        <v>24.827512131499851</v>
      </c>
      <c r="AB364" s="346">
        <f t="shared" si="153"/>
        <v>-73.194338776965722</v>
      </c>
      <c r="AD364">
        <f t="shared" si="157"/>
        <v>0</v>
      </c>
      <c r="AE364">
        <f t="shared" si="160"/>
        <v>0</v>
      </c>
    </row>
    <row r="365" spans="1:31" x14ac:dyDescent="0.2">
      <c r="A365" s="347">
        <v>29512</v>
      </c>
      <c r="B365" s="364">
        <f t="shared" si="154"/>
        <v>29.512</v>
      </c>
      <c r="C365" s="337">
        <f t="shared" si="135"/>
        <v>3.4211620171903503</v>
      </c>
      <c r="D365" s="338">
        <f t="shared" si="136"/>
        <v>1.2741670633693609</v>
      </c>
      <c r="E365" s="338">
        <f t="shared" si="137"/>
        <v>1.000001519086142</v>
      </c>
      <c r="F365" s="339">
        <f t="shared" si="138"/>
        <v>1.7430342617791349E-3</v>
      </c>
      <c r="G365" s="338">
        <f t="shared" si="139"/>
        <v>1</v>
      </c>
      <c r="H365" s="339">
        <f t="shared" si="140"/>
        <v>0</v>
      </c>
      <c r="I365" s="337">
        <f t="shared" si="141"/>
        <v>55782.29482898194</v>
      </c>
      <c r="J365" s="340">
        <f t="shared" si="142"/>
        <v>1.5707783999598117</v>
      </c>
      <c r="K365" s="348">
        <f t="shared" si="158"/>
        <v>5.2382930790081348</v>
      </c>
      <c r="L365" s="349">
        <f t="shared" si="159"/>
        <v>1.378715484461092</v>
      </c>
      <c r="M365" s="337">
        <f t="shared" si="143"/>
        <v>1.0003552462009717</v>
      </c>
      <c r="N365" s="340">
        <f t="shared" si="144"/>
        <v>2.6651118786637194E-2</v>
      </c>
      <c r="O365" s="341">
        <f t="shared" si="145"/>
        <v>0.99923234912344272</v>
      </c>
      <c r="P365" s="342">
        <f t="shared" si="146"/>
        <v>6.6859667325363413E-3</v>
      </c>
      <c r="Q365" s="343">
        <f t="shared" si="147"/>
        <v>5.9300939386428784</v>
      </c>
      <c r="R365" s="344">
        <f t="shared" si="148"/>
        <v>-85.818995477528063</v>
      </c>
      <c r="S365" s="346">
        <f t="shared" si="149"/>
        <v>94.181004522471937</v>
      </c>
      <c r="U365" s="319">
        <f t="shared" si="155"/>
        <v>1000000000</v>
      </c>
      <c r="V365" s="319">
        <f t="shared" si="156"/>
        <v>870958144</v>
      </c>
      <c r="X365" s="345">
        <f t="shared" si="150"/>
        <v>17.158007649457481</v>
      </c>
      <c r="Y365" s="346">
        <f t="shared" si="151"/>
        <v>-12.531391099149735</v>
      </c>
      <c r="AA365" s="345">
        <f t="shared" si="152"/>
        <v>24.782260252786863</v>
      </c>
      <c r="AB365" s="346">
        <f t="shared" si="153"/>
        <v>-73.287604378378333</v>
      </c>
      <c r="AD365">
        <f t="shared" si="157"/>
        <v>0</v>
      </c>
      <c r="AE365">
        <f t="shared" si="160"/>
        <v>0</v>
      </c>
    </row>
    <row r="366" spans="1:31" x14ac:dyDescent="0.2">
      <c r="A366" s="347">
        <v>29684</v>
      </c>
      <c r="B366" s="364">
        <f t="shared" si="154"/>
        <v>29.684000000000001</v>
      </c>
      <c r="C366" s="337">
        <f t="shared" si="135"/>
        <v>3.4394019815925363</v>
      </c>
      <c r="D366" s="338">
        <f t="shared" si="136"/>
        <v>1.2757875802416854</v>
      </c>
      <c r="E366" s="338">
        <f t="shared" si="137"/>
        <v>1.0000015368446138</v>
      </c>
      <c r="F366" s="339">
        <f t="shared" si="138"/>
        <v>1.7531928847282776E-3</v>
      </c>
      <c r="G366" s="338">
        <f t="shared" si="139"/>
        <v>1</v>
      </c>
      <c r="H366" s="339">
        <f t="shared" si="140"/>
        <v>0</v>
      </c>
      <c r="I366" s="337">
        <f t="shared" si="141"/>
        <v>56107.401724736563</v>
      </c>
      <c r="J366" s="340">
        <f t="shared" si="142"/>
        <v>1.5707785038344795</v>
      </c>
      <c r="K366" s="348">
        <f t="shared" si="158"/>
        <v>5.2677130765681008</v>
      </c>
      <c r="L366" s="349">
        <f t="shared" si="159"/>
        <v>1.3798015258208391</v>
      </c>
      <c r="M366" s="337">
        <f t="shared" si="143"/>
        <v>1.000359398369236</v>
      </c>
      <c r="N366" s="340">
        <f t="shared" si="144"/>
        <v>2.6806370993256955E-2</v>
      </c>
      <c r="O366" s="341">
        <f t="shared" si="145"/>
        <v>0.99922337530433858</v>
      </c>
      <c r="P366" s="342">
        <f t="shared" si="146"/>
        <v>6.7249944492413193E-3</v>
      </c>
      <c r="Q366" s="343">
        <f t="shared" si="147"/>
        <v>5.8821208915543153</v>
      </c>
      <c r="R366" s="344">
        <f t="shared" si="148"/>
        <v>-85.860173993708969</v>
      </c>
      <c r="S366" s="346">
        <f t="shared" si="149"/>
        <v>94.139826006291031</v>
      </c>
      <c r="U366" s="319">
        <f t="shared" si="155"/>
        <v>1000000000</v>
      </c>
      <c r="V366" s="319">
        <f t="shared" si="156"/>
        <v>881139856</v>
      </c>
      <c r="X366" s="345">
        <f t="shared" si="150"/>
        <v>17.15614235094403</v>
      </c>
      <c r="Y366" s="346">
        <f t="shared" si="151"/>
        <v>-12.478066760578109</v>
      </c>
      <c r="AA366" s="345">
        <f t="shared" si="152"/>
        <v>24.736152504211752</v>
      </c>
      <c r="AB366" s="346">
        <f t="shared" si="153"/>
        <v>-73.382107233130839</v>
      </c>
      <c r="AD366">
        <f t="shared" si="157"/>
        <v>0</v>
      </c>
      <c r="AE366">
        <f t="shared" si="160"/>
        <v>0</v>
      </c>
    </row>
    <row r="367" spans="1:31" x14ac:dyDescent="0.2">
      <c r="A367" s="347">
        <v>29856</v>
      </c>
      <c r="B367" s="364">
        <f t="shared" si="154"/>
        <v>29.856000000000002</v>
      </c>
      <c r="C367" s="337">
        <f t="shared" si="135"/>
        <v>3.4576508828148858</v>
      </c>
      <c r="D367" s="338">
        <f t="shared" si="136"/>
        <v>1.2773909956554343</v>
      </c>
      <c r="E367" s="338">
        <f t="shared" si="137"/>
        <v>1.0000015547062835</v>
      </c>
      <c r="F367" s="339">
        <f t="shared" si="138"/>
        <v>1.7633515073155694E-3</v>
      </c>
      <c r="G367" s="338">
        <f t="shared" si="139"/>
        <v>1</v>
      </c>
      <c r="H367" s="339">
        <f t="shared" si="140"/>
        <v>0</v>
      </c>
      <c r="I367" s="337">
        <f t="shared" si="141"/>
        <v>56432.508620491782</v>
      </c>
      <c r="J367" s="340">
        <f t="shared" si="142"/>
        <v>1.5707786065123059</v>
      </c>
      <c r="K367" s="348">
        <f t="shared" si="158"/>
        <v>5.2971392183013659</v>
      </c>
      <c r="L367" s="349">
        <f t="shared" si="159"/>
        <v>1.3808755022974089</v>
      </c>
      <c r="M367" s="337">
        <f t="shared" si="143"/>
        <v>1.0003635746492101</v>
      </c>
      <c r="N367" s="340">
        <f t="shared" si="144"/>
        <v>2.6961621907336676E-2</v>
      </c>
      <c r="O367" s="341">
        <f t="shared" si="145"/>
        <v>0.99921434934134912</v>
      </c>
      <c r="P367" s="342">
        <f t="shared" si="146"/>
        <v>6.7640232301811754E-3</v>
      </c>
      <c r="Q367" s="343">
        <f t="shared" si="147"/>
        <v>5.8344007009630712</v>
      </c>
      <c r="R367" s="344">
        <f t="shared" si="148"/>
        <v>-85.901063853741832</v>
      </c>
      <c r="S367" s="346">
        <f t="shared" si="149"/>
        <v>94.098936146258168</v>
      </c>
      <c r="U367" s="319">
        <f t="shared" si="155"/>
        <v>1000000000</v>
      </c>
      <c r="V367" s="319">
        <f t="shared" si="156"/>
        <v>891380736</v>
      </c>
      <c r="X367" s="345">
        <f t="shared" si="150"/>
        <v>17.154307615866525</v>
      </c>
      <c r="Y367" s="346">
        <f t="shared" si="151"/>
        <v>-12.425433546262621</v>
      </c>
      <c r="AA367" s="345">
        <f t="shared" si="152"/>
        <v>24.690267048698011</v>
      </c>
      <c r="AB367" s="346">
        <f t="shared" si="153"/>
        <v>-73.475630307479207</v>
      </c>
      <c r="AD367">
        <f t="shared" si="157"/>
        <v>0</v>
      </c>
      <c r="AE367">
        <f t="shared" si="160"/>
        <v>0</v>
      </c>
    </row>
    <row r="368" spans="1:31" x14ac:dyDescent="0.2">
      <c r="A368" s="347">
        <v>30028</v>
      </c>
      <c r="B368" s="364">
        <f t="shared" si="154"/>
        <v>30.027999999999999</v>
      </c>
      <c r="C368" s="337">
        <f t="shared" si="135"/>
        <v>3.4759085800995444</v>
      </c>
      <c r="D368" s="338">
        <f t="shared" si="136"/>
        <v>1.2789775707838948</v>
      </c>
      <c r="E368" s="338">
        <f t="shared" si="137"/>
        <v>1.0000015726711509</v>
      </c>
      <c r="F368" s="339">
        <f t="shared" si="138"/>
        <v>1.7735101295389133E-3</v>
      </c>
      <c r="G368" s="338">
        <f t="shared" si="139"/>
        <v>1</v>
      </c>
      <c r="H368" s="339">
        <f t="shared" si="140"/>
        <v>0</v>
      </c>
      <c r="I368" s="337">
        <f t="shared" si="141"/>
        <v>56757.615516247592</v>
      </c>
      <c r="J368" s="340">
        <f t="shared" si="142"/>
        <v>1.570778708013858</v>
      </c>
      <c r="K368" s="348">
        <f t="shared" si="158"/>
        <v>5.3265714023792103</v>
      </c>
      <c r="L368" s="349">
        <f t="shared" si="159"/>
        <v>1.3819376113875308</v>
      </c>
      <c r="M368" s="337">
        <f t="shared" si="143"/>
        <v>1.0003677750405919</v>
      </c>
      <c r="N368" s="340">
        <f t="shared" si="144"/>
        <v>2.7116871521408611E-2</v>
      </c>
      <c r="O368" s="341">
        <f t="shared" si="145"/>
        <v>0.99920527123455782</v>
      </c>
      <c r="P368" s="342">
        <f t="shared" si="146"/>
        <v>6.803053081554389E-3</v>
      </c>
      <c r="Q368" s="343">
        <f t="shared" si="147"/>
        <v>5.7869308192376989</v>
      </c>
      <c r="R368" s="344">
        <f t="shared" si="148"/>
        <v>-85.941668707130546</v>
      </c>
      <c r="S368" s="346">
        <f t="shared" si="149"/>
        <v>94.058331292869454</v>
      </c>
      <c r="U368" s="319">
        <f t="shared" si="155"/>
        <v>1000000000</v>
      </c>
      <c r="V368" s="319">
        <f t="shared" si="156"/>
        <v>901680784</v>
      </c>
      <c r="X368" s="345">
        <f t="shared" si="150"/>
        <v>17.152502761853835</v>
      </c>
      <c r="Y368" s="346">
        <f t="shared" si="151"/>
        <v>-12.373480141224682</v>
      </c>
      <c r="AA368" s="345">
        <f t="shared" si="152"/>
        <v>24.644602020985332</v>
      </c>
      <c r="AB368" s="346">
        <f t="shared" si="153"/>
        <v>-73.568188565905842</v>
      </c>
      <c r="AD368">
        <f t="shared" si="157"/>
        <v>0</v>
      </c>
      <c r="AE368">
        <f t="shared" si="160"/>
        <v>0</v>
      </c>
    </row>
    <row r="369" spans="1:31" x14ac:dyDescent="0.2">
      <c r="A369" s="347">
        <v>30200</v>
      </c>
      <c r="B369" s="364">
        <f t="shared" si="154"/>
        <v>30.2</v>
      </c>
      <c r="C369" s="337">
        <f t="shared" si="135"/>
        <v>3.4941749355634548</v>
      </c>
      <c r="D369" s="338">
        <f t="shared" si="136"/>
        <v>1.28054756168214</v>
      </c>
      <c r="E369" s="338">
        <f t="shared" si="137"/>
        <v>1.0000015907392161</v>
      </c>
      <c r="F369" s="339">
        <f t="shared" si="138"/>
        <v>1.783668751396213E-3</v>
      </c>
      <c r="G369" s="338">
        <f t="shared" si="139"/>
        <v>1</v>
      </c>
      <c r="H369" s="339">
        <f t="shared" si="140"/>
        <v>0</v>
      </c>
      <c r="I369" s="337">
        <f t="shared" si="141"/>
        <v>57082.722412003975</v>
      </c>
      <c r="J369" s="340">
        <f t="shared" si="142"/>
        <v>1.5707788083592336</v>
      </c>
      <c r="K369" s="348">
        <f t="shared" si="158"/>
        <v>5.3560095291904997</v>
      </c>
      <c r="L369" s="349">
        <f t="shared" si="159"/>
        <v>1.3829880463543864</v>
      </c>
      <c r="M369" s="337">
        <f t="shared" si="143"/>
        <v>1.000371999543078</v>
      </c>
      <c r="N369" s="340">
        <f t="shared" si="144"/>
        <v>2.7272119828005391E-2</v>
      </c>
      <c r="O369" s="341">
        <f t="shared" si="145"/>
        <v>0.99919614098404896</v>
      </c>
      <c r="P369" s="342">
        <f t="shared" si="146"/>
        <v>6.8420840095599943E-3</v>
      </c>
      <c r="Q369" s="343">
        <f t="shared" si="147"/>
        <v>5.7397087360930161</v>
      </c>
      <c r="R369" s="344">
        <f t="shared" si="148"/>
        <v>-85.98199215266439</v>
      </c>
      <c r="S369" s="346">
        <f t="shared" si="149"/>
        <v>94.01800784733561</v>
      </c>
      <c r="U369" s="319">
        <f t="shared" si="155"/>
        <v>1000000000</v>
      </c>
      <c r="V369" s="319">
        <f t="shared" si="156"/>
        <v>912040000</v>
      </c>
      <c r="X369" s="345">
        <f t="shared" si="150"/>
        <v>17.150727125236038</v>
      </c>
      <c r="Y369" s="346">
        <f t="shared" si="151"/>
        <v>-12.322195473023362</v>
      </c>
      <c r="AA369" s="345">
        <f t="shared" si="152"/>
        <v>24.599155574458447</v>
      </c>
      <c r="AB369" s="346">
        <f t="shared" si="153"/>
        <v>-73.659796679641033</v>
      </c>
      <c r="AD369">
        <f t="shared" si="157"/>
        <v>0</v>
      </c>
      <c r="AE369">
        <f t="shared" si="160"/>
        <v>0</v>
      </c>
    </row>
    <row r="370" spans="1:31" x14ac:dyDescent="0.2">
      <c r="A370" s="347">
        <v>30375.75</v>
      </c>
      <c r="B370" s="364">
        <f t="shared" si="154"/>
        <v>30.37575</v>
      </c>
      <c r="C370" s="337">
        <f t="shared" si="135"/>
        <v>3.5128483429184238</v>
      </c>
      <c r="D370" s="338">
        <f t="shared" si="136"/>
        <v>1.2821349126830681</v>
      </c>
      <c r="E370" s="338">
        <f t="shared" si="137"/>
        <v>1.0000016093078044</v>
      </c>
      <c r="F370" s="339">
        <f t="shared" si="138"/>
        <v>1.7940488544544199E-3</v>
      </c>
      <c r="G370" s="338">
        <f t="shared" si="139"/>
        <v>1</v>
      </c>
      <c r="H370" s="339">
        <f t="shared" si="140"/>
        <v>0</v>
      </c>
      <c r="I370" s="337">
        <f t="shared" si="141"/>
        <v>57414.91739415098</v>
      </c>
      <c r="J370" s="340">
        <f t="shared" si="142"/>
        <v>1.5707789097185436</v>
      </c>
      <c r="K370" s="348">
        <f t="shared" si="158"/>
        <v>5.3860955127381613</v>
      </c>
      <c r="L370" s="349">
        <f t="shared" si="159"/>
        <v>1.3840495213324608</v>
      </c>
      <c r="M370" s="337">
        <f t="shared" si="143"/>
        <v>1.0003763410545767</v>
      </c>
      <c r="N370" s="340">
        <f t="shared" si="144"/>
        <v>2.7430751550414648E-2</v>
      </c>
      <c r="O370" s="341">
        <f t="shared" si="145"/>
        <v>0.99918675781154154</v>
      </c>
      <c r="P370" s="342">
        <f t="shared" si="146"/>
        <v>6.8819670211139883E-3</v>
      </c>
      <c r="Q370" s="343">
        <f t="shared" si="147"/>
        <v>5.6917104895602115</v>
      </c>
      <c r="R370" s="344">
        <f t="shared" si="148"/>
        <v>-86.022907757159558</v>
      </c>
      <c r="S370" s="346">
        <f t="shared" si="149"/>
        <v>93.977092242840442</v>
      </c>
      <c r="U370" s="319">
        <f t="shared" si="155"/>
        <v>1000000000</v>
      </c>
      <c r="V370" s="319">
        <f t="shared" si="156"/>
        <v>922686188.0625</v>
      </c>
      <c r="X370" s="345">
        <f t="shared" si="150"/>
        <v>17.148942283871076</v>
      </c>
      <c r="Y370" s="346">
        <f t="shared" si="151"/>
        <v>-12.27047217231347</v>
      </c>
      <c r="AA370" s="345">
        <f t="shared" si="152"/>
        <v>24.552942169290599</v>
      </c>
      <c r="AB370" s="346">
        <f t="shared" si="153"/>
        <v>-73.752435584846097</v>
      </c>
      <c r="AD370">
        <f t="shared" si="157"/>
        <v>0</v>
      </c>
      <c r="AE370">
        <f t="shared" si="160"/>
        <v>0</v>
      </c>
    </row>
    <row r="371" spans="1:31" x14ac:dyDescent="0.2">
      <c r="A371" s="347">
        <v>30551.5</v>
      </c>
      <c r="B371" s="364">
        <f t="shared" si="154"/>
        <v>30.551500000000001</v>
      </c>
      <c r="C371" s="337">
        <f t="shared" si="135"/>
        <v>3.5315305079210861</v>
      </c>
      <c r="D371" s="338">
        <f t="shared" si="136"/>
        <v>1.2837054731015409</v>
      </c>
      <c r="E371" s="338">
        <f t="shared" si="137"/>
        <v>1.0000016279841393</v>
      </c>
      <c r="F371" s="339">
        <f t="shared" si="138"/>
        <v>1.8044289571260215E-3</v>
      </c>
      <c r="G371" s="338">
        <f t="shared" si="139"/>
        <v>1</v>
      </c>
      <c r="H371" s="339">
        <f t="shared" si="140"/>
        <v>0</v>
      </c>
      <c r="I371" s="337">
        <f t="shared" si="141"/>
        <v>57747.112376298581</v>
      </c>
      <c r="J371" s="340">
        <f t="shared" si="142"/>
        <v>1.5707790099116985</v>
      </c>
      <c r="K371" s="348">
        <f t="shared" si="158"/>
        <v>5.4161874975317374</v>
      </c>
      <c r="L371" s="349">
        <f t="shared" si="159"/>
        <v>1.3850992025106996</v>
      </c>
      <c r="M371" s="337">
        <f t="shared" si="143"/>
        <v>1.0003807077393503</v>
      </c>
      <c r="N371" s="340">
        <f t="shared" si="144"/>
        <v>2.7589381891953424E-2</v>
      </c>
      <c r="O371" s="341">
        <f t="shared" si="145"/>
        <v>0.99917732019700101</v>
      </c>
      <c r="P371" s="342">
        <f t="shared" si="146"/>
        <v>6.9218511698457908E-3</v>
      </c>
      <c r="Q371" s="343">
        <f t="shared" si="147"/>
        <v>5.6439657817321454</v>
      </c>
      <c r="R371" s="344">
        <f t="shared" si="148"/>
        <v>-86.06353698634301</v>
      </c>
      <c r="S371" s="346">
        <f t="shared" si="149"/>
        <v>93.93646301365699</v>
      </c>
      <c r="U371" s="319">
        <f t="shared" si="155"/>
        <v>1000000000</v>
      </c>
      <c r="V371" s="319">
        <f t="shared" si="156"/>
        <v>933394152.25</v>
      </c>
      <c r="X371" s="345">
        <f t="shared" si="150"/>
        <v>17.147186603982323</v>
      </c>
      <c r="Y371" s="346">
        <f t="shared" si="151"/>
        <v>-12.219424460625543</v>
      </c>
      <c r="AA371" s="345">
        <f t="shared" si="152"/>
        <v>24.506953141351289</v>
      </c>
      <c r="AB371" s="346">
        <f t="shared" si="153"/>
        <v>-73.844112525717463</v>
      </c>
      <c r="AD371">
        <f t="shared" si="157"/>
        <v>0</v>
      </c>
      <c r="AE371">
        <f t="shared" si="160"/>
        <v>0</v>
      </c>
    </row>
    <row r="372" spans="1:31" x14ac:dyDescent="0.2">
      <c r="A372" s="347">
        <v>30727.25</v>
      </c>
      <c r="B372" s="364">
        <f t="shared" si="154"/>
        <v>30.727250000000002</v>
      </c>
      <c r="C372" s="337">
        <f t="shared" si="135"/>
        <v>3.5502212923165528</v>
      </c>
      <c r="D372" s="338">
        <f t="shared" si="136"/>
        <v>1.2852595003189213</v>
      </c>
      <c r="E372" s="338">
        <f t="shared" si="137"/>
        <v>1.0000016467682209</v>
      </c>
      <c r="F372" s="339">
        <f t="shared" si="138"/>
        <v>1.8148090594087803E-3</v>
      </c>
      <c r="G372" s="338">
        <f t="shared" si="139"/>
        <v>1</v>
      </c>
      <c r="H372" s="339">
        <f t="shared" si="140"/>
        <v>0</v>
      </c>
      <c r="I372" s="337">
        <f t="shared" si="141"/>
        <v>58079.307358446749</v>
      </c>
      <c r="J372" s="340">
        <f t="shared" si="142"/>
        <v>1.570779108958708</v>
      </c>
      <c r="K372" s="348">
        <f t="shared" si="158"/>
        <v>5.4462853840964183</v>
      </c>
      <c r="L372" s="349">
        <f t="shared" si="159"/>
        <v>1.3861372830853247</v>
      </c>
      <c r="M372" s="337">
        <f t="shared" si="143"/>
        <v>1.0003850995970687</v>
      </c>
      <c r="N372" s="340">
        <f t="shared" si="144"/>
        <v>2.7748010844656446E-2</v>
      </c>
      <c r="O372" s="341">
        <f t="shared" si="145"/>
        <v>0.99916782814051841</v>
      </c>
      <c r="P372" s="342">
        <f t="shared" si="146"/>
        <v>6.9617364623706128E-3</v>
      </c>
      <c r="Q372" s="343">
        <f t="shared" si="147"/>
        <v>5.5964720507293242</v>
      </c>
      <c r="R372" s="344">
        <f t="shared" si="148"/>
        <v>-86.103883518821604</v>
      </c>
      <c r="S372" s="346">
        <f t="shared" si="149"/>
        <v>93.896116481178396</v>
      </c>
      <c r="U372" s="319">
        <f t="shared" si="155"/>
        <v>1000000000</v>
      </c>
      <c r="V372" s="319">
        <f t="shared" si="156"/>
        <v>944163892.5625</v>
      </c>
      <c r="X372" s="345">
        <f t="shared" si="150"/>
        <v>17.145459434173304</v>
      </c>
      <c r="Y372" s="346">
        <f t="shared" si="151"/>
        <v>-12.169041269321514</v>
      </c>
      <c r="AA372" s="345">
        <f t="shared" si="152"/>
        <v>24.461186580157488</v>
      </c>
      <c r="AB372" s="346">
        <f t="shared" si="153"/>
        <v>-73.934842249500093</v>
      </c>
      <c r="AD372">
        <f t="shared" si="157"/>
        <v>0</v>
      </c>
      <c r="AE372">
        <f t="shared" si="160"/>
        <v>0</v>
      </c>
    </row>
    <row r="373" spans="1:31" x14ac:dyDescent="0.2">
      <c r="A373" s="347">
        <v>30903</v>
      </c>
      <c r="B373" s="364">
        <f t="shared" si="154"/>
        <v>30.902999999999999</v>
      </c>
      <c r="C373" s="337">
        <f t="shared" si="135"/>
        <v>3.5689205606830297</v>
      </c>
      <c r="D373" s="338">
        <f t="shared" si="136"/>
        <v>1.2867972466455657</v>
      </c>
      <c r="E373" s="338">
        <f t="shared" si="137"/>
        <v>1.0000016656600492</v>
      </c>
      <c r="F373" s="339">
        <f t="shared" si="138"/>
        <v>1.8251891613004605E-3</v>
      </c>
      <c r="G373" s="338">
        <f t="shared" si="139"/>
        <v>1</v>
      </c>
      <c r="H373" s="339">
        <f t="shared" si="140"/>
        <v>0</v>
      </c>
      <c r="I373" s="337">
        <f t="shared" si="141"/>
        <v>58411.502340595478</v>
      </c>
      <c r="J373" s="340">
        <f t="shared" si="142"/>
        <v>1.5707792068791271</v>
      </c>
      <c r="K373" s="348">
        <f t="shared" si="158"/>
        <v>5.4763890751249278</v>
      </c>
      <c r="L373" s="349">
        <f t="shared" si="159"/>
        <v>1.387163952105825</v>
      </c>
      <c r="M373" s="337">
        <f t="shared" si="143"/>
        <v>1.0003895166274008</v>
      </c>
      <c r="N373" s="340">
        <f t="shared" si="144"/>
        <v>2.7906638400558844E-2</v>
      </c>
      <c r="O373" s="341">
        <f t="shared" si="145"/>
        <v>0.99915828164218579</v>
      </c>
      <c r="P373" s="342">
        <f t="shared" si="146"/>
        <v>7.0016229053042863E-3</v>
      </c>
      <c r="Q373" s="343">
        <f t="shared" si="147"/>
        <v>5.5492267723222799</v>
      </c>
      <c r="R373" s="344">
        <f t="shared" si="148"/>
        <v>-86.143950980219387</v>
      </c>
      <c r="S373" s="346">
        <f t="shared" si="149"/>
        <v>93.856049019780613</v>
      </c>
      <c r="U373" s="319">
        <f t="shared" si="155"/>
        <v>1000000000</v>
      </c>
      <c r="V373" s="319">
        <f t="shared" si="156"/>
        <v>954995409</v>
      </c>
      <c r="X373" s="345">
        <f t="shared" si="150"/>
        <v>17.143760140901936</v>
      </c>
      <c r="Y373" s="346">
        <f t="shared" si="151"/>
        <v>-12.119311767327622</v>
      </c>
      <c r="AA373" s="345">
        <f t="shared" si="152"/>
        <v>24.415640595021809</v>
      </c>
      <c r="AB373" s="346">
        <f t="shared" si="153"/>
        <v>-74.024639212891742</v>
      </c>
      <c r="AD373">
        <f t="shared" si="157"/>
        <v>0</v>
      </c>
      <c r="AE373">
        <f t="shared" si="160"/>
        <v>0</v>
      </c>
    </row>
    <row r="374" spans="1:31" x14ac:dyDescent="0.2">
      <c r="A374" s="347">
        <v>31083</v>
      </c>
      <c r="B374" s="364">
        <f t="shared" si="154"/>
        <v>31.082999999999998</v>
      </c>
      <c r="C374" s="337">
        <f t="shared" si="135"/>
        <v>3.5880806717838194</v>
      </c>
      <c r="D374" s="338">
        <f t="shared" si="136"/>
        <v>1.2883555611025286</v>
      </c>
      <c r="E374" s="338">
        <f t="shared" si="137"/>
        <v>1.0000016851204079</v>
      </c>
      <c r="F374" s="339">
        <f t="shared" si="138"/>
        <v>1.8358202752057021E-3</v>
      </c>
      <c r="G374" s="338">
        <f t="shared" si="139"/>
        <v>1</v>
      </c>
      <c r="H374" s="339">
        <f t="shared" si="140"/>
        <v>0</v>
      </c>
      <c r="I374" s="337">
        <f t="shared" si="141"/>
        <v>58751.730487320216</v>
      </c>
      <c r="J374" s="340">
        <f t="shared" si="142"/>
        <v>1.5707793060196487</v>
      </c>
      <c r="K374" s="348">
        <f t="shared" si="158"/>
        <v>5.5072266531679306</v>
      </c>
      <c r="L374" s="349">
        <f t="shared" si="159"/>
        <v>1.3882038125901093</v>
      </c>
      <c r="M374" s="337">
        <f t="shared" si="143"/>
        <v>1.0003940665634141</v>
      </c>
      <c r="N374" s="340">
        <f t="shared" si="144"/>
        <v>2.8069100444005294E-2</v>
      </c>
      <c r="O374" s="341">
        <f t="shared" si="145"/>
        <v>0.9991484478572501</v>
      </c>
      <c r="P374" s="342">
        <f t="shared" si="146"/>
        <v>7.0424750846526073E-3</v>
      </c>
      <c r="Q374" s="343">
        <f t="shared" si="147"/>
        <v>5.5010939435446922</v>
      </c>
      <c r="R374" s="344">
        <f t="shared" si="148"/>
        <v>-86.184701814028514</v>
      </c>
      <c r="S374" s="346">
        <f t="shared" si="149"/>
        <v>93.815298185971486</v>
      </c>
      <c r="U374" s="319">
        <f t="shared" si="155"/>
        <v>1000000000</v>
      </c>
      <c r="V374" s="319">
        <f t="shared" si="156"/>
        <v>966152889</v>
      </c>
      <c r="X374" s="345">
        <f t="shared" si="150"/>
        <v>17.142048007201772</v>
      </c>
      <c r="Y374" s="346">
        <f t="shared" si="151"/>
        <v>-12.069046219992279</v>
      </c>
      <c r="AA374" s="345">
        <f t="shared" si="152"/>
        <v>24.369219899944383</v>
      </c>
      <c r="AB374" s="346">
        <f t="shared" si="153"/>
        <v>-74.115655594036198</v>
      </c>
      <c r="AD374">
        <f t="shared" si="157"/>
        <v>0</v>
      </c>
      <c r="AE374">
        <f t="shared" si="160"/>
        <v>0</v>
      </c>
    </row>
    <row r="375" spans="1:31" x14ac:dyDescent="0.2">
      <c r="A375" s="347">
        <v>31263</v>
      </c>
      <c r="B375" s="364">
        <f t="shared" si="154"/>
        <v>31.263000000000002</v>
      </c>
      <c r="C375" s="337">
        <f t="shared" si="135"/>
        <v>3.6072494034061302</v>
      </c>
      <c r="D375" s="338">
        <f t="shared" si="136"/>
        <v>1.28989731766991</v>
      </c>
      <c r="E375" s="338">
        <f t="shared" si="137"/>
        <v>1.000001704693787</v>
      </c>
      <c r="F375" s="339">
        <f t="shared" si="138"/>
        <v>1.8464513886959724E-3</v>
      </c>
      <c r="G375" s="338">
        <f t="shared" si="139"/>
        <v>1</v>
      </c>
      <c r="H375" s="339">
        <f t="shared" si="140"/>
        <v>0</v>
      </c>
      <c r="I375" s="337">
        <f t="shared" si="141"/>
        <v>59091.958634045528</v>
      </c>
      <c r="J375" s="340">
        <f t="shared" si="142"/>
        <v>1.5707794040185465</v>
      </c>
      <c r="K375" s="348">
        <f t="shared" si="158"/>
        <v>5.5380701199069682</v>
      </c>
      <c r="L375" s="349">
        <f t="shared" si="159"/>
        <v>1.3892320914760312</v>
      </c>
      <c r="M375" s="337">
        <f t="shared" si="143"/>
        <v>1.0003986429035032</v>
      </c>
      <c r="N375" s="340">
        <f t="shared" si="144"/>
        <v>2.8231561005369086E-2</v>
      </c>
      <c r="O375" s="341">
        <f t="shared" si="145"/>
        <v>0.99913855696579079</v>
      </c>
      <c r="P375" s="342">
        <f t="shared" si="146"/>
        <v>7.0833284847702151E-3</v>
      </c>
      <c r="Q375" s="343">
        <f t="shared" si="147"/>
        <v>5.4532164871660775</v>
      </c>
      <c r="R375" s="344">
        <f t="shared" si="148"/>
        <v>-86.22516744699422</v>
      </c>
      <c r="S375" s="346">
        <f t="shared" si="149"/>
        <v>93.77483255300578</v>
      </c>
      <c r="U375" s="319">
        <f t="shared" si="155"/>
        <v>1000000000</v>
      </c>
      <c r="V375" s="319">
        <f t="shared" si="156"/>
        <v>977375169</v>
      </c>
      <c r="X375" s="345">
        <f t="shared" si="150"/>
        <v>17.140363824303549</v>
      </c>
      <c r="Y375" s="346">
        <f t="shared" si="151"/>
        <v>-12.019444099036583</v>
      </c>
      <c r="AA375" s="345">
        <f t="shared" si="152"/>
        <v>24.323026626463999</v>
      </c>
      <c r="AB375" s="346">
        <f t="shared" si="153"/>
        <v>-74.205723347957644</v>
      </c>
      <c r="AD375">
        <f t="shared" si="157"/>
        <v>0</v>
      </c>
      <c r="AE375">
        <f t="shared" si="160"/>
        <v>0</v>
      </c>
    </row>
    <row r="376" spans="1:31" x14ac:dyDescent="0.2">
      <c r="A376" s="347">
        <v>31443</v>
      </c>
      <c r="B376" s="364">
        <f t="shared" si="154"/>
        <v>31.443000000000001</v>
      </c>
      <c r="C376" s="337">
        <f t="shared" si="135"/>
        <v>3.6264266188497256</v>
      </c>
      <c r="D376" s="338">
        <f t="shared" si="136"/>
        <v>1.2914227716430198</v>
      </c>
      <c r="E376" s="338">
        <f t="shared" si="137"/>
        <v>1.0000017243801871</v>
      </c>
      <c r="F376" s="339">
        <f t="shared" si="138"/>
        <v>1.8570825017688683E-3</v>
      </c>
      <c r="G376" s="338">
        <f t="shared" si="139"/>
        <v>1</v>
      </c>
      <c r="H376" s="339">
        <f t="shared" si="140"/>
        <v>0</v>
      </c>
      <c r="I376" s="337">
        <f t="shared" si="141"/>
        <v>59432.186780771386</v>
      </c>
      <c r="J376" s="340">
        <f t="shared" si="142"/>
        <v>1.5707795008954268</v>
      </c>
      <c r="K376" s="348">
        <f t="shared" si="158"/>
        <v>5.5689193774983892</v>
      </c>
      <c r="L376" s="349">
        <f t="shared" si="159"/>
        <v>1.3902489790410286</v>
      </c>
      <c r="M376" s="337">
        <f t="shared" si="143"/>
        <v>1.000403245647306</v>
      </c>
      <c r="N376" s="340">
        <f t="shared" si="144"/>
        <v>2.8394020076094838E-2</v>
      </c>
      <c r="O376" s="341">
        <f t="shared" si="145"/>
        <v>0.99912860896790856</v>
      </c>
      <c r="P376" s="342">
        <f t="shared" si="146"/>
        <v>7.1241831127666346E-3</v>
      </c>
      <c r="Q376" s="343">
        <f t="shared" si="147"/>
        <v>5.4055918094712823</v>
      </c>
      <c r="R376" s="344">
        <f t="shared" si="148"/>
        <v>-86.265351605406863</v>
      </c>
      <c r="S376" s="346">
        <f t="shared" si="149"/>
        <v>93.734648394593137</v>
      </c>
      <c r="U376" s="319">
        <f t="shared" si="155"/>
        <v>1000000000</v>
      </c>
      <c r="V376" s="319">
        <f t="shared" si="156"/>
        <v>988662249</v>
      </c>
      <c r="X376" s="345">
        <f t="shared" si="150"/>
        <v>17.13870696609257</v>
      </c>
      <c r="Y376" s="346">
        <f t="shared" si="151"/>
        <v>-11.970494502999534</v>
      </c>
      <c r="AA376" s="345">
        <f t="shared" si="152"/>
        <v>24.277058806980179</v>
      </c>
      <c r="AB376" s="346">
        <f t="shared" si="153"/>
        <v>-74.294857102407306</v>
      </c>
      <c r="AD376">
        <f t="shared" si="157"/>
        <v>0</v>
      </c>
      <c r="AE376">
        <f t="shared" si="160"/>
        <v>0</v>
      </c>
    </row>
    <row r="377" spans="1:31" x14ac:dyDescent="0.2">
      <c r="A377" s="347">
        <v>31623</v>
      </c>
      <c r="B377" s="364">
        <f t="shared" si="154"/>
        <v>31.623000000000001</v>
      </c>
      <c r="C377" s="337">
        <f t="shared" si="135"/>
        <v>3.6456121842308638</v>
      </c>
      <c r="D377" s="338">
        <f t="shared" si="136"/>
        <v>1.2929321732501204</v>
      </c>
      <c r="E377" s="338">
        <f t="shared" si="137"/>
        <v>1.0000017441796079</v>
      </c>
      <c r="F377" s="339">
        <f t="shared" si="138"/>
        <v>1.8677136144219868E-3</v>
      </c>
      <c r="G377" s="338">
        <f t="shared" si="139"/>
        <v>1</v>
      </c>
      <c r="H377" s="339">
        <f t="shared" si="140"/>
        <v>0</v>
      </c>
      <c r="I377" s="337">
        <f t="shared" si="141"/>
        <v>59772.414927497804</v>
      </c>
      <c r="J377" s="340">
        <f t="shared" si="142"/>
        <v>1.5707795966694489</v>
      </c>
      <c r="K377" s="348">
        <f t="shared" si="158"/>
        <v>5.5997743302364658</v>
      </c>
      <c r="L377" s="349">
        <f t="shared" si="159"/>
        <v>1.3912546614642176</v>
      </c>
      <c r="M377" s="337">
        <f t="shared" si="143"/>
        <v>1.0004078747944578</v>
      </c>
      <c r="N377" s="340">
        <f t="shared" si="144"/>
        <v>2.8556477647627632E-2</v>
      </c>
      <c r="O377" s="341">
        <f t="shared" si="145"/>
        <v>0.9991186038637041</v>
      </c>
      <c r="P377" s="342">
        <f t="shared" si="146"/>
        <v>7.1650389757520871E-3</v>
      </c>
      <c r="Q377" s="343">
        <f t="shared" si="147"/>
        <v>5.3582173550524912</v>
      </c>
      <c r="R377" s="344">
        <f t="shared" si="148"/>
        <v>-86.305257960027262</v>
      </c>
      <c r="S377" s="346">
        <f t="shared" si="149"/>
        <v>93.694742039972738</v>
      </c>
      <c r="U377" s="319">
        <f t="shared" si="155"/>
        <v>1000000000</v>
      </c>
      <c r="V377" s="319">
        <f t="shared" si="156"/>
        <v>1000014129</v>
      </c>
      <c r="X377" s="345">
        <f t="shared" si="150"/>
        <v>17.137076823655988</v>
      </c>
      <c r="Y377" s="346">
        <f t="shared" si="151"/>
        <v>-11.922186765211146</v>
      </c>
      <c r="AA377" s="345">
        <f t="shared" si="152"/>
        <v>24.231314494997971</v>
      </c>
      <c r="AB377" s="346">
        <f t="shared" si="153"/>
        <v>-74.383071194816125</v>
      </c>
      <c r="AD377">
        <f t="shared" si="157"/>
        <v>0</v>
      </c>
      <c r="AE377">
        <f t="shared" si="160"/>
        <v>0</v>
      </c>
    </row>
    <row r="378" spans="1:31" x14ac:dyDescent="0.2">
      <c r="A378" s="347">
        <v>31807</v>
      </c>
      <c r="B378" s="364">
        <f t="shared" si="154"/>
        <v>31.806999999999999</v>
      </c>
      <c r="C378" s="337">
        <f t="shared" si="135"/>
        <v>3.6652325893099196</v>
      </c>
      <c r="D378" s="338">
        <f t="shared" si="136"/>
        <v>1.2944587810753903</v>
      </c>
      <c r="E378" s="338">
        <f t="shared" si="137"/>
        <v>1.0000017645358319</v>
      </c>
      <c r="F378" s="339">
        <f t="shared" si="138"/>
        <v>1.8785809735865761E-3</v>
      </c>
      <c r="G378" s="338">
        <f t="shared" si="139"/>
        <v>1</v>
      </c>
      <c r="H378" s="339">
        <f t="shared" si="140"/>
        <v>0</v>
      </c>
      <c r="I378" s="337">
        <f t="shared" si="141"/>
        <v>60120.203699707592</v>
      </c>
      <c r="J378" s="340">
        <f t="shared" si="142"/>
        <v>1.5707796934513862</v>
      </c>
      <c r="K378" s="348">
        <f t="shared" si="158"/>
        <v>5.6313207375076306</v>
      </c>
      <c r="L378" s="349">
        <f t="shared" si="159"/>
        <v>1.3922713006519523</v>
      </c>
      <c r="M378" s="337">
        <f t="shared" si="143"/>
        <v>1.000412634101145</v>
      </c>
      <c r="N378" s="340">
        <f t="shared" si="144"/>
        <v>2.8722543828973296E-2</v>
      </c>
      <c r="O378" s="341">
        <f t="shared" si="145"/>
        <v>0.99910831739998995</v>
      </c>
      <c r="P378" s="342">
        <f t="shared" si="146"/>
        <v>7.2068040306683106E-3</v>
      </c>
      <c r="Q378" s="343">
        <f t="shared" si="147"/>
        <v>5.3100461393606535</v>
      </c>
      <c r="R378" s="344">
        <f t="shared" si="148"/>
        <v>-86.345767754759109</v>
      </c>
      <c r="S378" s="346">
        <f t="shared" si="149"/>
        <v>93.654232245240891</v>
      </c>
      <c r="U378" s="319">
        <f t="shared" si="155"/>
        <v>1000000000</v>
      </c>
      <c r="V378" s="319">
        <f t="shared" si="156"/>
        <v>1011685249</v>
      </c>
      <c r="X378" s="345">
        <f t="shared" si="150"/>
        <v>17.135437452127139</v>
      </c>
      <c r="Y378" s="346">
        <f t="shared" si="151"/>
        <v>-11.873458066918163</v>
      </c>
      <c r="AA378" s="345">
        <f t="shared" si="152"/>
        <v>24.184782650834975</v>
      </c>
      <c r="AB378" s="346">
        <f t="shared" si="153"/>
        <v>-74.472309687840948</v>
      </c>
      <c r="AD378">
        <f t="shared" si="157"/>
        <v>0</v>
      </c>
      <c r="AE378">
        <f t="shared" si="160"/>
        <v>0</v>
      </c>
    </row>
    <row r="379" spans="1:31" x14ac:dyDescent="0.2">
      <c r="A379" s="347">
        <v>31991</v>
      </c>
      <c r="B379" s="364">
        <f t="shared" si="154"/>
        <v>31.991</v>
      </c>
      <c r="C379" s="337">
        <f t="shared" si="135"/>
        <v>3.6848614453524755</v>
      </c>
      <c r="D379" s="338">
        <f t="shared" si="136"/>
        <v>1.2959691282417833</v>
      </c>
      <c r="E379" s="338">
        <f t="shared" si="137"/>
        <v>1.0000017850101555</v>
      </c>
      <c r="F379" s="339">
        <f t="shared" si="138"/>
        <v>1.8894483323074463E-3</v>
      </c>
      <c r="G379" s="338">
        <f t="shared" si="139"/>
        <v>1</v>
      </c>
      <c r="H379" s="339">
        <f t="shared" si="140"/>
        <v>0</v>
      </c>
      <c r="I379" s="337">
        <f t="shared" si="141"/>
        <v>60467.99247191794</v>
      </c>
      <c r="J379" s="340">
        <f t="shared" si="142"/>
        <v>1.5707797891200184</v>
      </c>
      <c r="K379" s="348">
        <f t="shared" si="158"/>
        <v>5.662872900209778</v>
      </c>
      <c r="L379" s="349">
        <f t="shared" si="159"/>
        <v>1.3932766119321411</v>
      </c>
      <c r="M379" s="337">
        <f t="shared" si="143"/>
        <v>1.0004174209969252</v>
      </c>
      <c r="N379" s="340">
        <f t="shared" si="144"/>
        <v>2.8888608425679016E-2</v>
      </c>
      <c r="O379" s="341">
        <f t="shared" si="145"/>
        <v>0.99909797126390942</v>
      </c>
      <c r="P379" s="342">
        <f t="shared" si="146"/>
        <v>7.2485703910986753E-3</v>
      </c>
      <c r="Q379" s="343">
        <f t="shared" si="147"/>
        <v>5.2621311110279079</v>
      </c>
      <c r="R379" s="344">
        <f t="shared" si="148"/>
        <v>-86.385994843902978</v>
      </c>
      <c r="S379" s="346">
        <f t="shared" si="149"/>
        <v>93.614005156097022</v>
      </c>
      <c r="U379" s="319">
        <f t="shared" si="155"/>
        <v>1000000000</v>
      </c>
      <c r="V379" s="319">
        <f t="shared" si="156"/>
        <v>1023424081</v>
      </c>
      <c r="X379" s="345">
        <f t="shared" si="150"/>
        <v>17.133824762850995</v>
      </c>
      <c r="Y379" s="346">
        <f t="shared" si="151"/>
        <v>-11.825378255338135</v>
      </c>
      <c r="AA379" s="345">
        <f t="shared" si="152"/>
        <v>24.13848031177838</v>
      </c>
      <c r="AB379" s="346">
        <f t="shared" si="153"/>
        <v>-74.560616588564841</v>
      </c>
      <c r="AD379">
        <f t="shared" si="157"/>
        <v>0</v>
      </c>
      <c r="AE379">
        <f t="shared" si="160"/>
        <v>0</v>
      </c>
    </row>
    <row r="380" spans="1:31" x14ac:dyDescent="0.2">
      <c r="A380" s="347">
        <v>32175</v>
      </c>
      <c r="B380" s="364">
        <f t="shared" si="154"/>
        <v>32.174999999999997</v>
      </c>
      <c r="C380" s="337">
        <f t="shared" si="135"/>
        <v>3.7044986180223427</v>
      </c>
      <c r="D380" s="338">
        <f t="shared" si="136"/>
        <v>1.2974634663916547</v>
      </c>
      <c r="E380" s="338">
        <f t="shared" si="137"/>
        <v>1.0000018056025788</v>
      </c>
      <c r="F380" s="339">
        <f t="shared" si="138"/>
        <v>1.9003156905820302E-3</v>
      </c>
      <c r="G380" s="338">
        <f t="shared" si="139"/>
        <v>1</v>
      </c>
      <c r="H380" s="339">
        <f t="shared" si="140"/>
        <v>0</v>
      </c>
      <c r="I380" s="337">
        <f t="shared" si="141"/>
        <v>60815.781244128833</v>
      </c>
      <c r="J380" s="340">
        <f t="shared" si="142"/>
        <v>1.5707798836944449</v>
      </c>
      <c r="K380" s="348">
        <f t="shared" si="158"/>
        <v>5.6944307226724389</v>
      </c>
      <c r="L380" s="349">
        <f t="shared" si="159"/>
        <v>1.3942707815892095</v>
      </c>
      <c r="M380" s="337">
        <f t="shared" si="143"/>
        <v>1.0004222354814027</v>
      </c>
      <c r="N380" s="340">
        <f t="shared" si="144"/>
        <v>2.9054671428608334E-2</v>
      </c>
      <c r="O380" s="341">
        <f t="shared" si="145"/>
        <v>0.99908756545557253</v>
      </c>
      <c r="P380" s="342">
        <f t="shared" si="146"/>
        <v>7.2903380646403126E-3</v>
      </c>
      <c r="Q380" s="343">
        <f t="shared" si="147"/>
        <v>5.2144696598218463</v>
      </c>
      <c r="R380" s="344">
        <f t="shared" si="148"/>
        <v>-86.425942973198687</v>
      </c>
      <c r="S380" s="346">
        <f t="shared" si="149"/>
        <v>93.574057026801313</v>
      </c>
      <c r="U380" s="319">
        <f t="shared" si="155"/>
        <v>1000000000</v>
      </c>
      <c r="V380" s="319">
        <f t="shared" si="156"/>
        <v>1035230625</v>
      </c>
      <c r="X380" s="345">
        <f t="shared" si="150"/>
        <v>17.132238157570683</v>
      </c>
      <c r="Y380" s="346">
        <f t="shared" si="151"/>
        <v>-11.777936657730557</v>
      </c>
      <c r="AA380" s="345">
        <f t="shared" si="152"/>
        <v>24.092405465852629</v>
      </c>
      <c r="AB380" s="346">
        <f t="shared" si="153"/>
        <v>-74.648006315468137</v>
      </c>
      <c r="AD380">
        <f t="shared" si="157"/>
        <v>0</v>
      </c>
      <c r="AE380">
        <f t="shared" si="160"/>
        <v>0</v>
      </c>
    </row>
    <row r="381" spans="1:31" x14ac:dyDescent="0.2">
      <c r="A381" s="347">
        <v>32359</v>
      </c>
      <c r="B381" s="364">
        <f t="shared" si="154"/>
        <v>32.359000000000002</v>
      </c>
      <c r="C381" s="337">
        <f t="shared" si="135"/>
        <v>3.7241439757603931</v>
      </c>
      <c r="D381" s="338">
        <f t="shared" si="136"/>
        <v>1.298942042146946</v>
      </c>
      <c r="E381" s="338">
        <f t="shared" si="137"/>
        <v>1.0000018263131019</v>
      </c>
      <c r="F381" s="339">
        <f t="shared" si="138"/>
        <v>1.9111830484077612E-3</v>
      </c>
      <c r="G381" s="338">
        <f t="shared" si="139"/>
        <v>1</v>
      </c>
      <c r="H381" s="339">
        <f t="shared" si="140"/>
        <v>0</v>
      </c>
      <c r="I381" s="337">
        <f t="shared" si="141"/>
        <v>61163.570016340265</v>
      </c>
      <c r="J381" s="340">
        <f t="shared" si="142"/>
        <v>1.570779977193332</v>
      </c>
      <c r="K381" s="348">
        <f t="shared" si="158"/>
        <v>5.725994111317247</v>
      </c>
      <c r="L381" s="349">
        <f t="shared" si="159"/>
        <v>1.3952539918893669</v>
      </c>
      <c r="M381" s="337">
        <f t="shared" si="143"/>
        <v>1.0004270775541793</v>
      </c>
      <c r="N381" s="340">
        <f t="shared" si="144"/>
        <v>2.9220732828625303E-2</v>
      </c>
      <c r="O381" s="341">
        <f t="shared" si="145"/>
        <v>0.99907709997508953</v>
      </c>
      <c r="P381" s="342">
        <f t="shared" si="146"/>
        <v>7.3321070588911368E-3</v>
      </c>
      <c r="Q381" s="343">
        <f t="shared" si="147"/>
        <v>5.1670592141826646</v>
      </c>
      <c r="R381" s="344">
        <f t="shared" si="148"/>
        <v>-86.465615830939612</v>
      </c>
      <c r="S381" s="346">
        <f t="shared" si="149"/>
        <v>93.534384169060388</v>
      </c>
      <c r="U381" s="319">
        <f t="shared" si="155"/>
        <v>1000000000</v>
      </c>
      <c r="V381" s="319">
        <f t="shared" si="156"/>
        <v>1047104881</v>
      </c>
      <c r="X381" s="345">
        <f t="shared" si="150"/>
        <v>17.130677054472397</v>
      </c>
      <c r="Y381" s="346">
        <f t="shared" si="151"/>
        <v>-11.731122831556874</v>
      </c>
      <c r="AA381" s="345">
        <f t="shared" si="152"/>
        <v>24.046556123311738</v>
      </c>
      <c r="AB381" s="346">
        <f t="shared" si="153"/>
        <v>-74.734492999382738</v>
      </c>
      <c r="AD381">
        <f t="shared" si="157"/>
        <v>0</v>
      </c>
      <c r="AE381">
        <f t="shared" si="160"/>
        <v>0</v>
      </c>
    </row>
    <row r="382" spans="1:31" x14ac:dyDescent="0.2">
      <c r="A382" s="347">
        <v>32547.5</v>
      </c>
      <c r="B382" s="364">
        <f t="shared" si="154"/>
        <v>32.547499999999999</v>
      </c>
      <c r="C382" s="337">
        <f t="shared" si="135"/>
        <v>3.7442781437107415</v>
      </c>
      <c r="D382" s="338">
        <f t="shared" si="136"/>
        <v>1.3004406860485793</v>
      </c>
      <c r="E382" s="338">
        <f t="shared" si="137"/>
        <v>1.0000018476525996</v>
      </c>
      <c r="F382" s="339">
        <f t="shared" si="138"/>
        <v>1.9223161835382667E-3</v>
      </c>
      <c r="G382" s="338">
        <f t="shared" si="139"/>
        <v>1</v>
      </c>
      <c r="H382" s="339">
        <f t="shared" si="140"/>
        <v>0</v>
      </c>
      <c r="I382" s="337">
        <f t="shared" si="141"/>
        <v>61519.864492220455</v>
      </c>
      <c r="J382" s="340">
        <f t="shared" si="142"/>
        <v>1.5707800718826288</v>
      </c>
      <c r="K382" s="348">
        <f t="shared" si="158"/>
        <v>5.7583351070141502</v>
      </c>
      <c r="L382" s="349">
        <f t="shared" si="159"/>
        <v>1.3962500698516189</v>
      </c>
      <c r="M382" s="337">
        <f t="shared" si="143"/>
        <v>1.0004320666554152</v>
      </c>
      <c r="N382" s="340">
        <f t="shared" si="144"/>
        <v>2.9390853841137127E-2</v>
      </c>
      <c r="O382" s="341">
        <f t="shared" si="145"/>
        <v>0.99906631666642021</v>
      </c>
      <c r="P382" s="342">
        <f t="shared" si="146"/>
        <v>7.3748989549559272E-3</v>
      </c>
      <c r="Q382" s="343">
        <f t="shared" si="147"/>
        <v>5.118746914146354</v>
      </c>
      <c r="R382" s="344">
        <f t="shared" si="148"/>
        <v>-86.505977292945943</v>
      </c>
      <c r="S382" s="346">
        <f t="shared" si="149"/>
        <v>93.494022707054057</v>
      </c>
      <c r="U382" s="319">
        <f t="shared" si="155"/>
        <v>1000000000</v>
      </c>
      <c r="V382" s="319">
        <f t="shared" si="156"/>
        <v>1059339756.25</v>
      </c>
      <c r="X382" s="345">
        <f t="shared" si="150"/>
        <v>17.129103626051176</v>
      </c>
      <c r="Y382" s="346">
        <f t="shared" si="151"/>
        <v>-11.683804409520267</v>
      </c>
      <c r="AA382" s="345">
        <f t="shared" si="152"/>
        <v>23.999817251696648</v>
      </c>
      <c r="AB382" s="346">
        <f t="shared" si="153"/>
        <v>-74.822172883425694</v>
      </c>
      <c r="AD382">
        <f t="shared" si="157"/>
        <v>0</v>
      </c>
      <c r="AE382">
        <f t="shared" si="160"/>
        <v>0</v>
      </c>
    </row>
    <row r="383" spans="1:31" x14ac:dyDescent="0.2">
      <c r="A383" s="347">
        <v>32736</v>
      </c>
      <c r="B383" s="364">
        <f t="shared" si="154"/>
        <v>32.735999999999997</v>
      </c>
      <c r="C383" s="337">
        <f t="shared" si="135"/>
        <v>3.7644206310939374</v>
      </c>
      <c r="D383" s="338">
        <f t="shared" si="136"/>
        <v>1.3019232955018141</v>
      </c>
      <c r="E383" s="338">
        <f t="shared" si="137"/>
        <v>1.0000018691160444</v>
      </c>
      <c r="F383" s="339">
        <f t="shared" si="138"/>
        <v>1.9334493181922426E-3</v>
      </c>
      <c r="G383" s="338">
        <f t="shared" si="139"/>
        <v>1</v>
      </c>
      <c r="H383" s="339">
        <f t="shared" si="140"/>
        <v>0</v>
      </c>
      <c r="I383" s="337">
        <f t="shared" si="141"/>
        <v>61876.158968101197</v>
      </c>
      <c r="J383" s="340">
        <f t="shared" si="142"/>
        <v>1.5707801654814486</v>
      </c>
      <c r="K383" s="348">
        <f t="shared" si="158"/>
        <v>5.7906817521455052</v>
      </c>
      <c r="L383" s="349">
        <f t="shared" si="159"/>
        <v>1.3972350206345214</v>
      </c>
      <c r="M383" s="337">
        <f t="shared" si="143"/>
        <v>1.0004370847100255</v>
      </c>
      <c r="N383" s="340">
        <f t="shared" si="144"/>
        <v>2.9560973151965229E-2</v>
      </c>
      <c r="O383" s="341">
        <f t="shared" si="145"/>
        <v>0.9990554707314041</v>
      </c>
      <c r="P383" s="342">
        <f t="shared" si="146"/>
        <v>7.4176922532654781E-3</v>
      </c>
      <c r="Q383" s="343">
        <f t="shared" si="147"/>
        <v>5.0706927046917389</v>
      </c>
      <c r="R383" s="344">
        <f t="shared" si="148"/>
        <v>-86.546057509537519</v>
      </c>
      <c r="S383" s="346">
        <f t="shared" si="149"/>
        <v>93.453942490462481</v>
      </c>
      <c r="U383" s="319">
        <f t="shared" si="155"/>
        <v>1000000000</v>
      </c>
      <c r="V383" s="319">
        <f t="shared" si="156"/>
        <v>1071645696</v>
      </c>
      <c r="X383" s="345">
        <f t="shared" si="150"/>
        <v>17.127555776886467</v>
      </c>
      <c r="Y383" s="346">
        <f t="shared" si="151"/>
        <v>-11.637123367919974</v>
      </c>
      <c r="AA383" s="345">
        <f t="shared" si="152"/>
        <v>23.953310891406741</v>
      </c>
      <c r="AB383" s="346">
        <f t="shared" si="153"/>
        <v>-74.908934141617522</v>
      </c>
      <c r="AD383">
        <f t="shared" si="157"/>
        <v>0</v>
      </c>
      <c r="AE383">
        <f t="shared" si="160"/>
        <v>0</v>
      </c>
    </row>
    <row r="384" spans="1:31" x14ac:dyDescent="0.2">
      <c r="A384" s="347">
        <v>32924.5</v>
      </c>
      <c r="B384" s="364">
        <f t="shared" si="154"/>
        <v>32.924500000000002</v>
      </c>
      <c r="C384" s="337">
        <f t="shared" si="135"/>
        <v>3.7845713050753313</v>
      </c>
      <c r="D384" s="338">
        <f t="shared" si="136"/>
        <v>1.3033901200589011</v>
      </c>
      <c r="E384" s="338">
        <f t="shared" si="137"/>
        <v>1.000001890703436</v>
      </c>
      <c r="F384" s="339">
        <f t="shared" si="138"/>
        <v>1.9445824523669285E-3</v>
      </c>
      <c r="G384" s="338">
        <f t="shared" si="139"/>
        <v>1</v>
      </c>
      <c r="H384" s="339">
        <f t="shared" si="140"/>
        <v>0</v>
      </c>
      <c r="I384" s="337">
        <f t="shared" si="141"/>
        <v>62232.453443982471</v>
      </c>
      <c r="J384" s="340">
        <f t="shared" si="142"/>
        <v>1.5707802580085206</v>
      </c>
      <c r="K384" s="348">
        <f t="shared" si="158"/>
        <v>5.8230339525643853</v>
      </c>
      <c r="L384" s="349">
        <f t="shared" si="159"/>
        <v>1.3982090277754389</v>
      </c>
      <c r="M384" s="337">
        <f t="shared" si="143"/>
        <v>1.000442131717574</v>
      </c>
      <c r="N384" s="340">
        <f t="shared" si="144"/>
        <v>2.9731090751288589E-2</v>
      </c>
      <c r="O384" s="341">
        <f t="shared" si="145"/>
        <v>0.99904456217016169</v>
      </c>
      <c r="P384" s="342">
        <f t="shared" si="146"/>
        <v>7.4604869619914723E-3</v>
      </c>
      <c r="Q384" s="343">
        <f t="shared" si="147"/>
        <v>5.0228939423356165</v>
      </c>
      <c r="R384" s="344">
        <f t="shared" si="148"/>
        <v>-86.585860264067421</v>
      </c>
      <c r="S384" s="346">
        <f t="shared" si="149"/>
        <v>93.414139735932579</v>
      </c>
      <c r="U384" s="319">
        <f t="shared" si="155"/>
        <v>1000000000</v>
      </c>
      <c r="V384" s="319">
        <f t="shared" si="156"/>
        <v>1084022700.25</v>
      </c>
      <c r="X384" s="345">
        <f t="shared" si="150"/>
        <v>17.126032931660749</v>
      </c>
      <c r="Y384" s="346">
        <f t="shared" si="151"/>
        <v>-11.591069191350019</v>
      </c>
      <c r="AA384" s="345">
        <f t="shared" si="152"/>
        <v>23.907034974276336</v>
      </c>
      <c r="AB384" s="346">
        <f t="shared" si="153"/>
        <v>-74.994791072717391</v>
      </c>
      <c r="AD384">
        <f t="shared" si="157"/>
        <v>0</v>
      </c>
      <c r="AE384">
        <f t="shared" si="160"/>
        <v>0</v>
      </c>
    </row>
    <row r="385" spans="1:31" x14ac:dyDescent="0.2">
      <c r="A385" s="347">
        <v>33113</v>
      </c>
      <c r="B385" s="364">
        <f t="shared" si="154"/>
        <v>33.113</v>
      </c>
      <c r="C385" s="337">
        <f t="shared" si="135"/>
        <v>3.8047300355809353</v>
      </c>
      <c r="D385" s="338">
        <f t="shared" si="136"/>
        <v>1.3048414042581797</v>
      </c>
      <c r="E385" s="338">
        <f t="shared" si="137"/>
        <v>1.0000019124147745</v>
      </c>
      <c r="F385" s="339">
        <f t="shared" si="138"/>
        <v>1.9557155860595648E-3</v>
      </c>
      <c r="G385" s="338">
        <f t="shared" si="139"/>
        <v>1</v>
      </c>
      <c r="H385" s="339">
        <f t="shared" si="140"/>
        <v>0</v>
      </c>
      <c r="I385" s="337">
        <f t="shared" si="141"/>
        <v>62588.747919864276</v>
      </c>
      <c r="J385" s="340">
        <f t="shared" si="142"/>
        <v>1.5707803494821482</v>
      </c>
      <c r="K385" s="348">
        <f t="shared" si="158"/>
        <v>5.8553916161885926</v>
      </c>
      <c r="L385" s="349">
        <f t="shared" si="159"/>
        <v>1.3991722708388363</v>
      </c>
      <c r="M385" s="337">
        <f t="shared" si="143"/>
        <v>1.000447207677623</v>
      </c>
      <c r="N385" s="340">
        <f t="shared" si="144"/>
        <v>2.9901206629286775E-2</v>
      </c>
      <c r="O385" s="341">
        <f t="shared" si="145"/>
        <v>0.99903359098281463</v>
      </c>
      <c r="P385" s="342">
        <f t="shared" si="146"/>
        <v>7.5032830893064688E-3</v>
      </c>
      <c r="Q385" s="343">
        <f t="shared" si="147"/>
        <v>4.9753480229706968</v>
      </c>
      <c r="R385" s="344">
        <f t="shared" si="148"/>
        <v>-86.625389280218883</v>
      </c>
      <c r="S385" s="346">
        <f t="shared" si="149"/>
        <v>93.374610719781117</v>
      </c>
      <c r="U385" s="319">
        <f t="shared" si="155"/>
        <v>1000000000</v>
      </c>
      <c r="V385" s="319">
        <f t="shared" si="156"/>
        <v>1096470769</v>
      </c>
      <c r="X385" s="345">
        <f t="shared" si="150"/>
        <v>17.124534530908505</v>
      </c>
      <c r="Y385" s="346">
        <f t="shared" si="151"/>
        <v>-11.545631592010423</v>
      </c>
      <c r="AA385" s="345">
        <f t="shared" si="152"/>
        <v>23.860987455663661</v>
      </c>
      <c r="AB385" s="346">
        <f t="shared" si="153"/>
        <v>-75.079757688208474</v>
      </c>
      <c r="AD385">
        <f t="shared" si="157"/>
        <v>0</v>
      </c>
      <c r="AE385">
        <f t="shared" si="160"/>
        <v>0</v>
      </c>
    </row>
    <row r="386" spans="1:31" x14ac:dyDescent="0.2">
      <c r="A386" s="347">
        <v>33305.75</v>
      </c>
      <c r="B386" s="364">
        <f t="shared" si="154"/>
        <v>33.305750000000003</v>
      </c>
      <c r="C386" s="337">
        <f t="shared" si="135"/>
        <v>3.8253514716154022</v>
      </c>
      <c r="D386" s="338">
        <f t="shared" si="136"/>
        <v>1.3063095894883177</v>
      </c>
      <c r="E386" s="338">
        <f t="shared" si="137"/>
        <v>1.0000019347437963</v>
      </c>
      <c r="F386" s="339">
        <f t="shared" si="138"/>
        <v>1.9670997315489607E-3</v>
      </c>
      <c r="G386" s="338">
        <f t="shared" si="139"/>
        <v>1</v>
      </c>
      <c r="H386" s="339">
        <f t="shared" si="140"/>
        <v>0</v>
      </c>
      <c r="I386" s="337">
        <f t="shared" si="141"/>
        <v>62953.075560322191</v>
      </c>
      <c r="J386" s="340">
        <f t="shared" si="142"/>
        <v>1.5707804419474742</v>
      </c>
      <c r="K386" s="348">
        <f t="shared" si="158"/>
        <v>5.8884843847844559</v>
      </c>
      <c r="L386" s="349">
        <f t="shared" si="159"/>
        <v>1.4001462837607344</v>
      </c>
      <c r="M386" s="337">
        <f t="shared" si="143"/>
        <v>1.0004524280209572</v>
      </c>
      <c r="N386" s="340">
        <f t="shared" si="144"/>
        <v>3.0075156220957553E-2</v>
      </c>
      <c r="O386" s="341">
        <f t="shared" si="145"/>
        <v>0.9990223076745931</v>
      </c>
      <c r="P386" s="342">
        <f t="shared" si="146"/>
        <v>7.5470455914848737E-3</v>
      </c>
      <c r="Q386" s="343">
        <f t="shared" si="147"/>
        <v>4.9269888990655542</v>
      </c>
      <c r="R386" s="344">
        <f t="shared" si="148"/>
        <v>-86.665530286388687</v>
      </c>
      <c r="S386" s="346">
        <f t="shared" si="149"/>
        <v>93.334469713611313</v>
      </c>
      <c r="U386" s="319">
        <f t="shared" si="155"/>
        <v>1000000000</v>
      </c>
      <c r="V386" s="319">
        <f t="shared" si="156"/>
        <v>1109272983.0625</v>
      </c>
      <c r="X386" s="345">
        <f t="shared" si="150"/>
        <v>17.123027057160531</v>
      </c>
      <c r="Y386" s="346">
        <f t="shared" si="151"/>
        <v>-11.499796637665783</v>
      </c>
      <c r="AA386" s="345">
        <f t="shared" si="152"/>
        <v>23.814135805506492</v>
      </c>
      <c r="AB386" s="346">
        <f t="shared" si="153"/>
        <v>-75.165733648722906</v>
      </c>
      <c r="AD386">
        <f t="shared" si="157"/>
        <v>0</v>
      </c>
      <c r="AE386">
        <f t="shared" si="160"/>
        <v>0</v>
      </c>
    </row>
    <row r="387" spans="1:31" x14ac:dyDescent="0.2">
      <c r="A387" s="347">
        <v>33498.5</v>
      </c>
      <c r="B387" s="364">
        <f t="shared" si="154"/>
        <v>33.4985</v>
      </c>
      <c r="C387" s="337">
        <f t="shared" si="135"/>
        <v>3.8459810650193433</v>
      </c>
      <c r="D387" s="338">
        <f t="shared" si="136"/>
        <v>1.3077620273203421</v>
      </c>
      <c r="E387" s="338">
        <f t="shared" si="137"/>
        <v>1.000001957202417</v>
      </c>
      <c r="F387" s="339">
        <f t="shared" si="138"/>
        <v>1.9784838765284887E-3</v>
      </c>
      <c r="G387" s="338">
        <f t="shared" si="139"/>
        <v>1</v>
      </c>
      <c r="H387" s="339">
        <f t="shared" si="140"/>
        <v>0</v>
      </c>
      <c r="I387" s="337">
        <f t="shared" si="141"/>
        <v>63317.403200780653</v>
      </c>
      <c r="J387" s="340">
        <f t="shared" si="142"/>
        <v>1.5707805333487113</v>
      </c>
      <c r="K387" s="348">
        <f t="shared" si="158"/>
        <v>5.9215826773499511</v>
      </c>
      <c r="L387" s="349">
        <f t="shared" si="159"/>
        <v>1.4011094092269563</v>
      </c>
      <c r="M387" s="337">
        <f t="shared" si="143"/>
        <v>1.0004576786361254</v>
      </c>
      <c r="N387" s="340">
        <f t="shared" si="144"/>
        <v>3.02491039920426E-2</v>
      </c>
      <c r="O387" s="341">
        <f t="shared" si="145"/>
        <v>0.99901095888470182</v>
      </c>
      <c r="P387" s="342">
        <f t="shared" si="146"/>
        <v>7.5908095942275834E-3</v>
      </c>
      <c r="Q387" s="343">
        <f t="shared" si="147"/>
        <v>4.878888763715076</v>
      </c>
      <c r="R387" s="344">
        <f t="shared" si="148"/>
        <v>-86.705392759093371</v>
      </c>
      <c r="S387" s="346">
        <f t="shared" si="149"/>
        <v>93.294607240906629</v>
      </c>
      <c r="U387" s="319">
        <f t="shared" si="155"/>
        <v>1000000000</v>
      </c>
      <c r="V387" s="319">
        <f t="shared" si="156"/>
        <v>1122149502.25</v>
      </c>
      <c r="X387" s="345">
        <f t="shared" si="150"/>
        <v>17.121544007956736</v>
      </c>
      <c r="Y387" s="346">
        <f t="shared" si="151"/>
        <v>-11.454585323302036</v>
      </c>
      <c r="AA387" s="345">
        <f t="shared" si="152"/>
        <v>23.767518719359806</v>
      </c>
      <c r="AB387" s="346">
        <f t="shared" si="153"/>
        <v>-75.25080743579133</v>
      </c>
      <c r="AD387">
        <f t="shared" si="157"/>
        <v>0</v>
      </c>
      <c r="AE387">
        <f t="shared" si="160"/>
        <v>0</v>
      </c>
    </row>
    <row r="388" spans="1:31" x14ac:dyDescent="0.2">
      <c r="A388" s="347">
        <v>33691.25</v>
      </c>
      <c r="B388" s="364">
        <f t="shared" si="154"/>
        <v>33.691249999999997</v>
      </c>
      <c r="C388" s="337">
        <f t="shared" si="135"/>
        <v>3.8666186852265754</v>
      </c>
      <c r="D388" s="338">
        <f t="shared" si="136"/>
        <v>1.3091989637262818</v>
      </c>
      <c r="E388" s="338">
        <f t="shared" si="137"/>
        <v>1.0000019797906368</v>
      </c>
      <c r="F388" s="339">
        <f t="shared" si="138"/>
        <v>1.9898680209951979E-3</v>
      </c>
      <c r="G388" s="338">
        <f t="shared" si="139"/>
        <v>1</v>
      </c>
      <c r="H388" s="339">
        <f t="shared" si="140"/>
        <v>0</v>
      </c>
      <c r="I388" s="337">
        <f t="shared" si="141"/>
        <v>63681.730841239616</v>
      </c>
      <c r="J388" s="340">
        <f t="shared" si="142"/>
        <v>1.5707806237041226</v>
      </c>
      <c r="K388" s="348">
        <f t="shared" si="158"/>
        <v>5.9546864017724372</v>
      </c>
      <c r="L388" s="349">
        <f t="shared" si="159"/>
        <v>1.402061827014627</v>
      </c>
      <c r="M388" s="337">
        <f t="shared" si="143"/>
        <v>1.0004629595226506</v>
      </c>
      <c r="N388" s="340">
        <f t="shared" si="144"/>
        <v>3.0423049932044102E-2</v>
      </c>
      <c r="O388" s="341">
        <f t="shared" si="145"/>
        <v>0.99899954461327301</v>
      </c>
      <c r="P388" s="342">
        <f t="shared" si="146"/>
        <v>7.6345751062753828E-3</v>
      </c>
      <c r="Q388" s="343">
        <f t="shared" si="147"/>
        <v>4.8310449554602011</v>
      </c>
      <c r="R388" s="344">
        <f t="shared" si="148"/>
        <v>-86.744980491967439</v>
      </c>
      <c r="S388" s="346">
        <f t="shared" si="149"/>
        <v>93.255019508032561</v>
      </c>
      <c r="U388" s="319">
        <f t="shared" si="155"/>
        <v>1000000000</v>
      </c>
      <c r="V388" s="319">
        <f t="shared" si="156"/>
        <v>1135100326.5625</v>
      </c>
      <c r="X388" s="345">
        <f t="shared" si="150"/>
        <v>17.120084833238622</v>
      </c>
      <c r="Y388" s="346">
        <f t="shared" si="151"/>
        <v>-11.409987348893612</v>
      </c>
      <c r="AA388" s="345">
        <f t="shared" si="152"/>
        <v>23.721134085823046</v>
      </c>
      <c r="AB388" s="346">
        <f t="shared" si="153"/>
        <v>-75.334993143073831</v>
      </c>
      <c r="AD388">
        <f t="shared" si="157"/>
        <v>0</v>
      </c>
      <c r="AE388">
        <f t="shared" si="160"/>
        <v>0</v>
      </c>
    </row>
    <row r="389" spans="1:31" x14ac:dyDescent="0.2">
      <c r="A389" s="347">
        <v>33884</v>
      </c>
      <c r="B389" s="364">
        <f t="shared" si="154"/>
        <v>33.884</v>
      </c>
      <c r="C389" s="337">
        <f t="shared" si="135"/>
        <v>3.8872642043933721</v>
      </c>
      <c r="D389" s="338">
        <f t="shared" si="136"/>
        <v>1.310620639711787</v>
      </c>
      <c r="E389" s="338">
        <f t="shared" si="137"/>
        <v>1.0000020025084555</v>
      </c>
      <c r="F389" s="339">
        <f t="shared" si="138"/>
        <v>2.0012521649461373E-3</v>
      </c>
      <c r="G389" s="338">
        <f t="shared" si="139"/>
        <v>1</v>
      </c>
      <c r="H389" s="339">
        <f t="shared" si="140"/>
        <v>0</v>
      </c>
      <c r="I389" s="337">
        <f t="shared" si="141"/>
        <v>64046.05848169911</v>
      </c>
      <c r="J389" s="340">
        <f t="shared" si="142"/>
        <v>1.5707807130315559</v>
      </c>
      <c r="K389" s="348">
        <f t="shared" si="158"/>
        <v>5.9877954679613143</v>
      </c>
      <c r="L389" s="349">
        <f t="shared" si="159"/>
        <v>1.4030037130033008</v>
      </c>
      <c r="M389" s="337">
        <f t="shared" si="143"/>
        <v>1.0004682706800536</v>
      </c>
      <c r="N389" s="340">
        <f t="shared" si="144"/>
        <v>3.0596994030464907E-2</v>
      </c>
      <c r="O389" s="341">
        <f t="shared" si="145"/>
        <v>0.99898806486043967</v>
      </c>
      <c r="P389" s="342">
        <f t="shared" si="146"/>
        <v>7.6783421363700345E-3</v>
      </c>
      <c r="Q389" s="343">
        <f t="shared" si="147"/>
        <v>4.7834548526260603</v>
      </c>
      <c r="R389" s="344">
        <f t="shared" si="148"/>
        <v>-86.784297217383539</v>
      </c>
      <c r="S389" s="346">
        <f t="shared" si="149"/>
        <v>93.215702782616461</v>
      </c>
      <c r="U389" s="319">
        <f t="shared" si="155"/>
        <v>1000000000</v>
      </c>
      <c r="V389" s="319">
        <f t="shared" si="156"/>
        <v>1148125456</v>
      </c>
      <c r="X389" s="345">
        <f t="shared" si="150"/>
        <v>17.118648998112661</v>
      </c>
      <c r="Y389" s="346">
        <f t="shared" si="151"/>
        <v>-11.365992637705459</v>
      </c>
      <c r="AA389" s="345">
        <f t="shared" si="152"/>
        <v>23.674979818114863</v>
      </c>
      <c r="AB389" s="346">
        <f t="shared" si="153"/>
        <v>-75.41830457967805</v>
      </c>
      <c r="AD389">
        <f t="shared" si="157"/>
        <v>0</v>
      </c>
      <c r="AE389">
        <f t="shared" si="160"/>
        <v>0</v>
      </c>
    </row>
    <row r="390" spans="1:31" x14ac:dyDescent="0.2">
      <c r="A390" s="347">
        <v>34081.5</v>
      </c>
      <c r="B390" s="364">
        <f t="shared" si="154"/>
        <v>34.081499999999998</v>
      </c>
      <c r="C390" s="337">
        <f t="shared" si="135"/>
        <v>3.9084265601398172</v>
      </c>
      <c r="D390" s="338">
        <f t="shared" si="136"/>
        <v>1.3120617683021885</v>
      </c>
      <c r="E390" s="338">
        <f t="shared" si="137"/>
        <v>1.0000020259205458</v>
      </c>
      <c r="F390" s="339">
        <f t="shared" si="138"/>
        <v>2.0129168514654433E-3</v>
      </c>
      <c r="G390" s="338">
        <f t="shared" si="139"/>
        <v>1</v>
      </c>
      <c r="H390" s="339">
        <f t="shared" si="140"/>
        <v>0</v>
      </c>
      <c r="I390" s="337">
        <f t="shared" si="141"/>
        <v>64419.364364920126</v>
      </c>
      <c r="J390" s="340">
        <f t="shared" si="142"/>
        <v>1.5707808035122641</v>
      </c>
      <c r="K390" s="348">
        <f t="shared" si="158"/>
        <v>6.0217259001758592</v>
      </c>
      <c r="L390" s="349">
        <f t="shared" si="159"/>
        <v>1.4039580658271864</v>
      </c>
      <c r="M390" s="337">
        <f t="shared" si="143"/>
        <v>1.0004737441205378</v>
      </c>
      <c r="N390" s="340">
        <f t="shared" si="144"/>
        <v>3.0775222767837389E-2</v>
      </c>
      <c r="O390" s="341">
        <f t="shared" si="145"/>
        <v>0.99897623428671278</v>
      </c>
      <c r="P390" s="342">
        <f t="shared" si="146"/>
        <v>7.7231893151741117E-3</v>
      </c>
      <c r="Q390" s="343">
        <f t="shared" si="147"/>
        <v>4.7349524316378737</v>
      </c>
      <c r="R390" s="344">
        <f t="shared" si="148"/>
        <v>-86.82430556978359</v>
      </c>
      <c r="S390" s="346">
        <f t="shared" si="149"/>
        <v>93.17569443021641</v>
      </c>
      <c r="U390" s="319">
        <f t="shared" si="155"/>
        <v>1000000000</v>
      </c>
      <c r="V390" s="319">
        <f t="shared" si="156"/>
        <v>1161548642.25</v>
      </c>
      <c r="X390" s="345">
        <f t="shared" si="150"/>
        <v>17.117201444714517</v>
      </c>
      <c r="Y390" s="346">
        <f t="shared" si="151"/>
        <v>-11.32152918728171</v>
      </c>
      <c r="AA390" s="345">
        <f t="shared" si="152"/>
        <v>23.627924950524822</v>
      </c>
      <c r="AB390" s="346">
        <f t="shared" si="153"/>
        <v>-75.502776382501864</v>
      </c>
      <c r="AD390">
        <f t="shared" si="157"/>
        <v>0</v>
      </c>
      <c r="AE390">
        <f t="shared" si="160"/>
        <v>0</v>
      </c>
    </row>
    <row r="391" spans="1:31" x14ac:dyDescent="0.2">
      <c r="A391" s="347">
        <v>34279</v>
      </c>
      <c r="B391" s="364">
        <f t="shared" si="154"/>
        <v>34.279000000000003</v>
      </c>
      <c r="C391" s="337">
        <f t="shared" si="135"/>
        <v>3.9295969456699207</v>
      </c>
      <c r="D391" s="338">
        <f t="shared" si="136"/>
        <v>1.3134873718995281</v>
      </c>
      <c r="E391" s="338">
        <f t="shared" si="137"/>
        <v>1.0000020494687012</v>
      </c>
      <c r="F391" s="339">
        <f t="shared" si="138"/>
        <v>2.0245815374369735E-3</v>
      </c>
      <c r="G391" s="338">
        <f t="shared" si="139"/>
        <v>1</v>
      </c>
      <c r="H391" s="339">
        <f t="shared" si="140"/>
        <v>0</v>
      </c>
      <c r="I391" s="337">
        <f t="shared" si="141"/>
        <v>64792.670248141658</v>
      </c>
      <c r="J391" s="340">
        <f t="shared" si="142"/>
        <v>1.5707808929503551</v>
      </c>
      <c r="K391" s="348">
        <f t="shared" si="158"/>
        <v>6.0556617554505188</v>
      </c>
      <c r="L391" s="349">
        <f t="shared" si="159"/>
        <v>1.404901723139159</v>
      </c>
      <c r="M391" s="337">
        <f t="shared" si="143"/>
        <v>1.0004792493412051</v>
      </c>
      <c r="N391" s="340">
        <f t="shared" si="144"/>
        <v>3.0953449549434239E-2</v>
      </c>
      <c r="O391" s="341">
        <f t="shared" si="145"/>
        <v>0.99896433496474168</v>
      </c>
      <c r="P391" s="342">
        <f t="shared" si="146"/>
        <v>7.7680381063515843E-3</v>
      </c>
      <c r="Q391" s="343">
        <f t="shared" si="147"/>
        <v>4.6867109263731308</v>
      </c>
      <c r="R391" s="344">
        <f t="shared" si="148"/>
        <v>-86.864037133914564</v>
      </c>
      <c r="S391" s="346">
        <f t="shared" si="149"/>
        <v>93.135962866085436</v>
      </c>
      <c r="U391" s="319">
        <f t="shared" si="155"/>
        <v>1000000000</v>
      </c>
      <c r="V391" s="319">
        <f t="shared" si="156"/>
        <v>1175049841</v>
      </c>
      <c r="X391" s="345">
        <f t="shared" si="150"/>
        <v>17.115777305099744</v>
      </c>
      <c r="Y391" s="346">
        <f t="shared" si="151"/>
        <v>-11.277678372755755</v>
      </c>
      <c r="AA391" s="345">
        <f t="shared" si="152"/>
        <v>23.58110758487485</v>
      </c>
      <c r="AB391" s="346">
        <f t="shared" si="153"/>
        <v>-75.586358761158834</v>
      </c>
      <c r="AD391">
        <f t="shared" si="157"/>
        <v>0</v>
      </c>
      <c r="AE391">
        <f t="shared" si="160"/>
        <v>0</v>
      </c>
    </row>
    <row r="392" spans="1:31" x14ac:dyDescent="0.2">
      <c r="A392" s="347">
        <v>34476.5</v>
      </c>
      <c r="B392" s="364">
        <f t="shared" si="154"/>
        <v>34.476500000000001</v>
      </c>
      <c r="C392" s="337">
        <f t="shared" si="135"/>
        <v>3.9507752318999421</v>
      </c>
      <c r="D392" s="338">
        <f t="shared" si="136"/>
        <v>1.3148976943291211</v>
      </c>
      <c r="E392" s="338">
        <f t="shared" si="137"/>
        <v>1.0000020731529216</v>
      </c>
      <c r="F392" s="339">
        <f t="shared" si="138"/>
        <v>2.0362462228575543E-3</v>
      </c>
      <c r="G392" s="338">
        <f t="shared" si="139"/>
        <v>1</v>
      </c>
      <c r="H392" s="339">
        <f t="shared" si="140"/>
        <v>0</v>
      </c>
      <c r="I392" s="337">
        <f t="shared" si="141"/>
        <v>65165.976131363699</v>
      </c>
      <c r="J392" s="340">
        <f t="shared" si="142"/>
        <v>1.5707809813637468</v>
      </c>
      <c r="K392" s="348">
        <f t="shared" si="158"/>
        <v>6.0896029431211618</v>
      </c>
      <c r="L392" s="349">
        <f t="shared" si="159"/>
        <v>1.4058348620828267</v>
      </c>
      <c r="M392" s="337">
        <f t="shared" si="143"/>
        <v>1.0004847863415309</v>
      </c>
      <c r="N392" s="340">
        <f t="shared" si="144"/>
        <v>3.1131674363965162E-2</v>
      </c>
      <c r="O392" s="341">
        <f t="shared" si="145"/>
        <v>0.99895236689467171</v>
      </c>
      <c r="P392" s="342">
        <f t="shared" si="146"/>
        <v>7.8128885193098022E-3</v>
      </c>
      <c r="Q392" s="343">
        <f t="shared" si="147"/>
        <v>4.6387276414617267</v>
      </c>
      <c r="R392" s="344">
        <f t="shared" si="148"/>
        <v>-86.903495731275825</v>
      </c>
      <c r="S392" s="346">
        <f t="shared" si="149"/>
        <v>93.096504268724175</v>
      </c>
      <c r="U392" s="319">
        <f t="shared" si="155"/>
        <v>1000000000</v>
      </c>
      <c r="V392" s="319">
        <f t="shared" si="156"/>
        <v>1188629052.25</v>
      </c>
      <c r="X392" s="345">
        <f t="shared" si="150"/>
        <v>17.114376050197649</v>
      </c>
      <c r="Y392" s="346">
        <f t="shared" si="151"/>
        <v>-11.234430044926205</v>
      </c>
      <c r="AA392" s="345">
        <f t="shared" si="152"/>
        <v>23.534525554865546</v>
      </c>
      <c r="AB392" s="346">
        <f t="shared" si="153"/>
        <v>-75.669065686349626</v>
      </c>
      <c r="AD392">
        <f t="shared" si="157"/>
        <v>0</v>
      </c>
      <c r="AE392">
        <f t="shared" si="160"/>
        <v>0</v>
      </c>
    </row>
    <row r="393" spans="1:31" x14ac:dyDescent="0.2">
      <c r="A393" s="347">
        <v>34674</v>
      </c>
      <c r="B393" s="364">
        <f t="shared" si="154"/>
        <v>34.673999999999999</v>
      </c>
      <c r="C393" s="337">
        <f t="shared" si="135"/>
        <v>3.9719612924515495</v>
      </c>
      <c r="D393" s="338">
        <f t="shared" si="136"/>
        <v>1.3162929744601961</v>
      </c>
      <c r="E393" s="338">
        <f t="shared" si="137"/>
        <v>1.0000020969732075</v>
      </c>
      <c r="F393" s="339">
        <f t="shared" si="138"/>
        <v>2.0479109077240105E-3</v>
      </c>
      <c r="G393" s="338">
        <f t="shared" si="139"/>
        <v>1</v>
      </c>
      <c r="H393" s="339">
        <f t="shared" si="140"/>
        <v>0</v>
      </c>
      <c r="I393" s="337">
        <f t="shared" si="141"/>
        <v>65539.28201458625</v>
      </c>
      <c r="J393" s="340">
        <f t="shared" si="142"/>
        <v>1.5707810687699488</v>
      </c>
      <c r="K393" s="348">
        <f t="shared" si="158"/>
        <v>6.1235493745196772</v>
      </c>
      <c r="L393" s="349">
        <f t="shared" si="159"/>
        <v>1.4067576559479535</v>
      </c>
      <c r="M393" s="337">
        <f t="shared" si="143"/>
        <v>1.0004903551209878</v>
      </c>
      <c r="N393" s="340">
        <f t="shared" si="144"/>
        <v>3.1309897200140629E-2</v>
      </c>
      <c r="O393" s="341">
        <f t="shared" si="145"/>
        <v>0.9989403300766494</v>
      </c>
      <c r="P393" s="342">
        <f t="shared" si="146"/>
        <v>7.8577405634572203E-3</v>
      </c>
      <c r="Q393" s="343">
        <f t="shared" si="147"/>
        <v>4.5909999220498872</v>
      </c>
      <c r="R393" s="344">
        <f t="shared" si="148"/>
        <v>-86.942685120189509</v>
      </c>
      <c r="S393" s="346">
        <f t="shared" si="149"/>
        <v>93.057314879810491</v>
      </c>
      <c r="U393" s="319">
        <f t="shared" si="155"/>
        <v>1000000000</v>
      </c>
      <c r="V393" s="319">
        <f t="shared" si="156"/>
        <v>1202286276</v>
      </c>
      <c r="X393" s="345">
        <f t="shared" si="150"/>
        <v>17.112997165561069</v>
      </c>
      <c r="Y393" s="346">
        <f t="shared" si="151"/>
        <v>-11.19177427537732</v>
      </c>
      <c r="AA393" s="345">
        <f t="shared" si="152"/>
        <v>23.488176720090284</v>
      </c>
      <c r="AB393" s="346">
        <f t="shared" si="153"/>
        <v>-75.750910844812182</v>
      </c>
      <c r="AD393">
        <f t="shared" si="157"/>
        <v>0</v>
      </c>
      <c r="AE393">
        <f t="shared" si="160"/>
        <v>0</v>
      </c>
    </row>
    <row r="394" spans="1:31" x14ac:dyDescent="0.2">
      <c r="A394" s="347">
        <v>34875.75</v>
      </c>
      <c r="B394" s="364">
        <f t="shared" si="154"/>
        <v>34.875749999999996</v>
      </c>
      <c r="C394" s="337">
        <f t="shared" si="135"/>
        <v>3.9936111539698214</v>
      </c>
      <c r="D394" s="338">
        <f t="shared" si="136"/>
        <v>1.317702991633277</v>
      </c>
      <c r="E394" s="338">
        <f t="shared" si="137"/>
        <v>1.0000021214465702</v>
      </c>
      <c r="F394" s="339">
        <f t="shared" si="138"/>
        <v>2.0598266042210151E-3</v>
      </c>
      <c r="G394" s="338">
        <f t="shared" si="139"/>
        <v>1</v>
      </c>
      <c r="H394" s="339">
        <f t="shared" si="140"/>
        <v>0</v>
      </c>
      <c r="I394" s="337">
        <f t="shared" si="141"/>
        <v>65920.621062384991</v>
      </c>
      <c r="J394" s="340">
        <f t="shared" si="142"/>
        <v>1.5707811570349046</v>
      </c>
      <c r="K394" s="348">
        <f t="shared" si="158"/>
        <v>6.1582316227697946</v>
      </c>
      <c r="L394" s="349">
        <f t="shared" si="159"/>
        <v>1.4076898022913653</v>
      </c>
      <c r="M394" s="337">
        <f t="shared" si="143"/>
        <v>1.0004960765466584</v>
      </c>
      <c r="N394" s="340">
        <f t="shared" si="144"/>
        <v>3.1491953156860535E-2</v>
      </c>
      <c r="O394" s="341">
        <f t="shared" si="145"/>
        <v>0.99892796325569622</v>
      </c>
      <c r="P394" s="342">
        <f t="shared" si="146"/>
        <v>7.903559472179255E-3</v>
      </c>
      <c r="Q394" s="343">
        <f t="shared" si="147"/>
        <v>4.5425063050872803</v>
      </c>
      <c r="R394" s="344">
        <f t="shared" si="148"/>
        <v>-86.982443708064551</v>
      </c>
      <c r="S394" s="346">
        <f t="shared" si="149"/>
        <v>93.017556291935449</v>
      </c>
      <c r="U394" s="319">
        <f t="shared" si="155"/>
        <v>1000000000</v>
      </c>
      <c r="V394" s="319">
        <f t="shared" si="156"/>
        <v>1216317938.0625</v>
      </c>
      <c r="X394" s="345">
        <f t="shared" si="150"/>
        <v>17.111611186049565</v>
      </c>
      <c r="Y394" s="346">
        <f t="shared" si="151"/>
        <v>-11.148802319126879</v>
      </c>
      <c r="AA394" s="345">
        <f t="shared" si="152"/>
        <v>23.441069082639178</v>
      </c>
      <c r="AB394" s="346">
        <f t="shared" si="153"/>
        <v>-75.83364138893765</v>
      </c>
      <c r="AD394">
        <f t="shared" si="157"/>
        <v>0</v>
      </c>
      <c r="AE394">
        <f t="shared" si="160"/>
        <v>0</v>
      </c>
    </row>
    <row r="395" spans="1:31" x14ac:dyDescent="0.2">
      <c r="A395" s="347">
        <v>35077.5</v>
      </c>
      <c r="B395" s="364">
        <f t="shared" si="154"/>
        <v>35.077500000000001</v>
      </c>
      <c r="C395" s="337">
        <f t="shared" si="135"/>
        <v>4.0152688697487404</v>
      </c>
      <c r="D395" s="338">
        <f t="shared" si="136"/>
        <v>1.319097800741964</v>
      </c>
      <c r="E395" s="338">
        <f t="shared" si="137"/>
        <v>1.0000021460619171</v>
      </c>
      <c r="F395" s="339">
        <f t="shared" si="138"/>
        <v>2.0717423001330943E-3</v>
      </c>
      <c r="G395" s="338">
        <f t="shared" si="139"/>
        <v>1</v>
      </c>
      <c r="H395" s="339">
        <f t="shared" si="140"/>
        <v>0</v>
      </c>
      <c r="I395" s="337">
        <f t="shared" si="141"/>
        <v>66301.960110184227</v>
      </c>
      <c r="J395" s="340">
        <f t="shared" si="142"/>
        <v>1.5707812442845399</v>
      </c>
      <c r="K395" s="348">
        <f t="shared" si="158"/>
        <v>6.1929191619519974</v>
      </c>
      <c r="L395" s="349">
        <f t="shared" si="159"/>
        <v>1.4086115072241234</v>
      </c>
      <c r="M395" s="337">
        <f t="shared" si="143"/>
        <v>1.0005018311327627</v>
      </c>
      <c r="N395" s="340">
        <f t="shared" si="144"/>
        <v>3.1674007025352058E-2</v>
      </c>
      <c r="O395" s="341">
        <f t="shared" si="145"/>
        <v>0.99891552469649469</v>
      </c>
      <c r="P395" s="342">
        <f t="shared" si="146"/>
        <v>7.9493801028992159E-3</v>
      </c>
      <c r="Q395" s="343">
        <f t="shared" si="147"/>
        <v>4.4942738965848434</v>
      </c>
      <c r="R395" s="344">
        <f t="shared" si="148"/>
        <v>-87.021929107674026</v>
      </c>
      <c r="S395" s="346">
        <f t="shared" si="149"/>
        <v>92.978070892325974</v>
      </c>
      <c r="U395" s="319">
        <f t="shared" si="155"/>
        <v>1000000000</v>
      </c>
      <c r="V395" s="319">
        <f t="shared" si="156"/>
        <v>1230431006.25</v>
      </c>
      <c r="X395" s="345">
        <f t="shared" si="150"/>
        <v>17.110247509351005</v>
      </c>
      <c r="Y395" s="346">
        <f t="shared" si="151"/>
        <v>-11.106428433819493</v>
      </c>
      <c r="AA395" s="345">
        <f t="shared" si="152"/>
        <v>23.394200350835309</v>
      </c>
      <c r="AB395" s="346">
        <f t="shared" si="153"/>
        <v>-75.91550067385451</v>
      </c>
      <c r="AD395">
        <f t="shared" si="157"/>
        <v>0</v>
      </c>
      <c r="AE395">
        <f t="shared" si="160"/>
        <v>0</v>
      </c>
    </row>
    <row r="396" spans="1:31" x14ac:dyDescent="0.2">
      <c r="A396" s="347">
        <v>35279.25</v>
      </c>
      <c r="B396" s="364">
        <f t="shared" si="154"/>
        <v>35.279249999999998</v>
      </c>
      <c r="C396" s="337">
        <f t="shared" si="135"/>
        <v>4.0369343133765332</v>
      </c>
      <c r="D396" s="338">
        <f t="shared" si="136"/>
        <v>1.3204776411711467</v>
      </c>
      <c r="E396" s="338">
        <f t="shared" si="137"/>
        <v>1.0000021708192479</v>
      </c>
      <c r="F396" s="339">
        <f t="shared" si="138"/>
        <v>2.083657995456865E-3</v>
      </c>
      <c r="G396" s="338">
        <f t="shared" si="139"/>
        <v>1</v>
      </c>
      <c r="H396" s="339">
        <f t="shared" si="140"/>
        <v>0</v>
      </c>
      <c r="I396" s="337">
        <f t="shared" si="141"/>
        <v>66683.299157983987</v>
      </c>
      <c r="J396" s="340">
        <f t="shared" si="142"/>
        <v>1.5707813305362732</v>
      </c>
      <c r="K396" s="348">
        <f t="shared" si="158"/>
        <v>6.2276119036554727</v>
      </c>
      <c r="L396" s="349">
        <f t="shared" si="159"/>
        <v>1.4095229436677843</v>
      </c>
      <c r="M396" s="337">
        <f t="shared" si="143"/>
        <v>1.0005076188787283</v>
      </c>
      <c r="N396" s="340">
        <f t="shared" si="144"/>
        <v>3.185605879358349E-2</v>
      </c>
      <c r="O396" s="341">
        <f t="shared" si="145"/>
        <v>0.99890301439920337</v>
      </c>
      <c r="P396" s="342">
        <f t="shared" si="146"/>
        <v>7.9952024656497322E-3</v>
      </c>
      <c r="Q396" s="343">
        <f t="shared" si="147"/>
        <v>4.4462999924528157</v>
      </c>
      <c r="R396" s="344">
        <f t="shared" si="148"/>
        <v>-87.061145127970093</v>
      </c>
      <c r="S396" s="346">
        <f t="shared" si="149"/>
        <v>92.938854872029907</v>
      </c>
      <c r="U396" s="319">
        <f t="shared" si="155"/>
        <v>1000000000</v>
      </c>
      <c r="V396" s="319">
        <f t="shared" si="156"/>
        <v>1244625480.5625</v>
      </c>
      <c r="X396" s="345">
        <f t="shared" si="150"/>
        <v>17.1089056313021</v>
      </c>
      <c r="Y396" s="346">
        <f t="shared" si="151"/>
        <v>-11.064642712088412</v>
      </c>
      <c r="AA396" s="345">
        <f t="shared" si="152"/>
        <v>23.347568324752181</v>
      </c>
      <c r="AB396" s="346">
        <f t="shared" si="153"/>
        <v>-75.996502415881679</v>
      </c>
      <c r="AD396">
        <f t="shared" si="157"/>
        <v>0</v>
      </c>
      <c r="AE396">
        <f t="shared" si="160"/>
        <v>0</v>
      </c>
    </row>
    <row r="397" spans="1:31" x14ac:dyDescent="0.2">
      <c r="A397" s="347">
        <v>35481</v>
      </c>
      <c r="B397" s="364">
        <f t="shared" si="154"/>
        <v>35.481000000000002</v>
      </c>
      <c r="C397" s="337">
        <f t="shared" ref="C397:C460" si="161">SQRT(1+(A397/pole1)^2)</f>
        <v>4.0586073610960183</v>
      </c>
      <c r="D397" s="338">
        <f t="shared" ref="D397:D460" si="162">ATAN(A397/pole1)</f>
        <v>1.321842747423178</v>
      </c>
      <c r="E397" s="338">
        <f t="shared" ref="E397:E460" si="163">SQRT(1+(A397/Zero1)^2)</f>
        <v>1.0000021957185632</v>
      </c>
      <c r="F397" s="339">
        <f t="shared" ref="F397:F460" si="164">ATAN(A397/Zero1)</f>
        <v>2.0955736901889432E-3</v>
      </c>
      <c r="G397" s="338">
        <f t="shared" ref="G397:G460" si="165">IF(VIN_nom&gt;Vout, 1, SQRT(1+(A397/z_RHP)^2))</f>
        <v>1</v>
      </c>
      <c r="H397" s="339">
        <f t="shared" ref="H397:H460" si="166">IF(VIN_nom&gt;Vout, 0, -ATAN(A397/z_RHP))</f>
        <v>0</v>
      </c>
      <c r="I397" s="337">
        <f t="shared" ref="I397:I460" si="167">SQRT(1+(A397/Pole2)^2)</f>
        <v>67064.638205784198</v>
      </c>
      <c r="J397" s="340">
        <f t="shared" ref="J397:J460" si="168">ATAN(A397/Pole2)</f>
        <v>1.5707814158071274</v>
      </c>
      <c r="K397" s="348">
        <f t="shared" si="158"/>
        <v>6.2623097614154499</v>
      </c>
      <c r="L397" s="349">
        <f t="shared" si="159"/>
        <v>1.4104242807805543</v>
      </c>
      <c r="M397" s="337">
        <f t="shared" ref="M397:M460" si="169">SQRT(1+(A397/pole4)^2)</f>
        <v>1.0005134397839801</v>
      </c>
      <c r="N397" s="340">
        <f t="shared" ref="N397:N460" si="170">ATAN(A397/pole4)</f>
        <v>3.2038108449523948E-2</v>
      </c>
      <c r="O397" s="341">
        <f t="shared" ref="O397:O460" si="171">SQRT((1-(V397/pterm2))^2+(A397/pterm1)^2)</f>
        <v>0.99889043236398234</v>
      </c>
      <c r="P397" s="342">
        <f t="shared" ref="P397:P460" si="172">IF((ATAN((A397/pterm1)/(1-A397^2/pterm2))&gt;0),ATAN((A397/pterm1)/(1-A397^2/pterm2)),PI()+ATAN((A397/pterm1)/(1-A397^2/pterm2)))</f>
        <v>8.0410265704646631E-3</v>
      </c>
      <c r="Q397" s="343">
        <f t="shared" ref="Q397:Q460" si="173">20*LOG10(((E397*K397*G397)/(C397*I397*O397*M397))*Adc)</f>
        <v>4.3985819293520052</v>
      </c>
      <c r="R397" s="344">
        <f t="shared" ref="R397:R460" si="174">((F397+L397+H397)-(D397+J397+P397+N397))*radconv</f>
        <v>-87.10009551375768</v>
      </c>
      <c r="S397" s="346">
        <f t="shared" ref="S397:S460" si="175">IF(R397&gt;0,R397,R397+180)</f>
        <v>92.89990448624232</v>
      </c>
      <c r="U397" s="319">
        <f t="shared" si="155"/>
        <v>1000000000</v>
      </c>
      <c r="V397" s="319">
        <f t="shared" si="156"/>
        <v>1258901361</v>
      </c>
      <c r="X397" s="345">
        <f t="shared" ref="X397:X460" si="176">20*LOG10((K397/(I397*M397))*AEA)</f>
        <v>17.107585061667521</v>
      </c>
      <c r="Y397" s="346">
        <f t="shared" ref="Y397:Y460" si="177">(L397-(J397+N397))*radconv</f>
        <v>-11.023435462168363</v>
      </c>
      <c r="AA397" s="345">
        <f t="shared" ref="AA397:AA460" si="178">20*LOG10((E397*G397/(C397*O397))*Acs*Am)</f>
        <v>23.301170831285948</v>
      </c>
      <c r="AB397" s="346">
        <f t="shared" ref="AB397:AB460" si="179">(F397+H397-(D397+P397))*radconv</f>
        <v>-76.076660051589329</v>
      </c>
      <c r="AD397">
        <f t="shared" si="157"/>
        <v>0</v>
      </c>
      <c r="AE397">
        <f t="shared" si="160"/>
        <v>0</v>
      </c>
    </row>
    <row r="398" spans="1:31" x14ac:dyDescent="0.2">
      <c r="A398" s="347">
        <v>35687.75</v>
      </c>
      <c r="B398" s="364">
        <f t="shared" ref="B398:B461" si="180">A398/1000</f>
        <v>35.687750000000001</v>
      </c>
      <c r="C398" s="337">
        <f t="shared" si="161"/>
        <v>4.0808252975254051</v>
      </c>
      <c r="D398" s="338">
        <f t="shared" si="162"/>
        <v>1.3232266391542054</v>
      </c>
      <c r="E398" s="338">
        <f t="shared" si="163"/>
        <v>1.0000022213822675</v>
      </c>
      <c r="F398" s="339">
        <f t="shared" si="164"/>
        <v>2.1077846927232431E-3</v>
      </c>
      <c r="G398" s="338">
        <f t="shared" si="165"/>
        <v>1</v>
      </c>
      <c r="H398" s="339">
        <f t="shared" si="166"/>
        <v>0</v>
      </c>
      <c r="I398" s="337">
        <f t="shared" si="167"/>
        <v>67455.428035438716</v>
      </c>
      <c r="J398" s="340">
        <f t="shared" si="168"/>
        <v>1.5707815021910188</v>
      </c>
      <c r="K398" s="348">
        <f t="shared" si="158"/>
        <v>6.2978727606620968</v>
      </c>
      <c r="L398" s="349">
        <f t="shared" si="159"/>
        <v>1.4113376510856874</v>
      </c>
      <c r="M398" s="337">
        <f t="shared" si="169"/>
        <v>1.0005194393511359</v>
      </c>
      <c r="N398" s="340">
        <f t="shared" si="170"/>
        <v>3.2224667664885041E-2</v>
      </c>
      <c r="O398" s="341">
        <f t="shared" si="171"/>
        <v>0.9988774640796968</v>
      </c>
      <c r="P398" s="342">
        <f t="shared" si="172"/>
        <v>8.0879881586838516E-3</v>
      </c>
      <c r="Q398" s="343">
        <f t="shared" si="173"/>
        <v>4.3499439489292708</v>
      </c>
      <c r="R398" s="344">
        <f t="shared" si="174"/>
        <v>-87.139739472674393</v>
      </c>
      <c r="S398" s="346">
        <f t="shared" si="175"/>
        <v>92.860260527325607</v>
      </c>
      <c r="U398" s="319">
        <f t="shared" ref="U398:U461" si="181">IF(Q398&lt;0,A398,1000000000)</f>
        <v>1000000000</v>
      </c>
      <c r="V398" s="319">
        <f t="shared" ref="V398:V461" si="182">A398^2</f>
        <v>1273615500.0625</v>
      </c>
      <c r="X398" s="345">
        <f t="shared" si="176"/>
        <v>17.10625337261764</v>
      </c>
      <c r="Y398" s="346">
        <f t="shared" si="177"/>
        <v>-10.981797203605925</v>
      </c>
      <c r="AA398" s="345">
        <f t="shared" si="178"/>
        <v>23.253864539913099</v>
      </c>
      <c r="AB398" s="346">
        <f t="shared" si="179"/>
        <v>-76.157942269068471</v>
      </c>
      <c r="AD398">
        <f t="shared" ref="AD398:AD461" si="183">SUM((Q399&lt;0)*(Q398&gt;0))*A398</f>
        <v>0</v>
      </c>
      <c r="AE398">
        <f t="shared" si="160"/>
        <v>0</v>
      </c>
    </row>
    <row r="399" spans="1:31" x14ac:dyDescent="0.2">
      <c r="A399" s="347">
        <v>35894.5</v>
      </c>
      <c r="B399" s="364">
        <f t="shared" si="180"/>
        <v>35.894500000000001</v>
      </c>
      <c r="C399" s="337">
        <f t="shared" si="161"/>
        <v>4.1030509647238285</v>
      </c>
      <c r="D399" s="338">
        <f t="shared" si="162"/>
        <v>1.3245955407779408</v>
      </c>
      <c r="E399" s="338">
        <f t="shared" si="163"/>
        <v>1.0000022471950809</v>
      </c>
      <c r="F399" s="339">
        <f t="shared" si="164"/>
        <v>2.1199956946289641E-3</v>
      </c>
      <c r="G399" s="338">
        <f t="shared" si="165"/>
        <v>1</v>
      </c>
      <c r="H399" s="339">
        <f t="shared" si="166"/>
        <v>0</v>
      </c>
      <c r="I399" s="337">
        <f t="shared" si="167"/>
        <v>67846.217865093728</v>
      </c>
      <c r="J399" s="340">
        <f t="shared" si="168"/>
        <v>1.5707815875797788</v>
      </c>
      <c r="K399" s="348">
        <f t="shared" si="158"/>
        <v>6.3334409548737423</v>
      </c>
      <c r="L399" s="349">
        <f t="shared" si="159"/>
        <v>1.4122407632802452</v>
      </c>
      <c r="M399" s="337">
        <f t="shared" si="169"/>
        <v>1.0005254737402931</v>
      </c>
      <c r="N399" s="340">
        <f t="shared" si="170"/>
        <v>3.2411224636379757E-2</v>
      </c>
      <c r="O399" s="341">
        <f t="shared" si="171"/>
        <v>0.99886442045797885</v>
      </c>
      <c r="P399" s="342">
        <f t="shared" si="172"/>
        <v>8.1349515977250028E-3</v>
      </c>
      <c r="Q399" s="343">
        <f t="shared" si="173"/>
        <v>4.3015691122671207</v>
      </c>
      <c r="R399" s="344">
        <f t="shared" si="174"/>
        <v>-87.179112228649728</v>
      </c>
      <c r="S399" s="346">
        <f t="shared" si="175"/>
        <v>92.820887771350272</v>
      </c>
      <c r="U399" s="319">
        <f t="shared" si="181"/>
        <v>1000000000</v>
      </c>
      <c r="V399" s="319">
        <f t="shared" si="182"/>
        <v>1288415130.25</v>
      </c>
      <c r="X399" s="345">
        <f t="shared" si="176"/>
        <v>17.104943061711502</v>
      </c>
      <c r="Y399" s="346">
        <f t="shared" si="177"/>
        <v>-10.940746505905022</v>
      </c>
      <c r="AA399" s="345">
        <f t="shared" si="178"/>
        <v>23.206800014157082</v>
      </c>
      <c r="AB399" s="346">
        <f t="shared" si="179"/>
        <v>-76.238365722744675</v>
      </c>
      <c r="AD399">
        <f t="shared" si="183"/>
        <v>0</v>
      </c>
      <c r="AE399">
        <f t="shared" si="160"/>
        <v>0</v>
      </c>
    </row>
    <row r="400" spans="1:31" x14ac:dyDescent="0.2">
      <c r="A400" s="347">
        <v>36101.25</v>
      </c>
      <c r="B400" s="364">
        <f t="shared" si="180"/>
        <v>36.10125</v>
      </c>
      <c r="C400" s="337">
        <f t="shared" si="161"/>
        <v>4.1252842377388115</v>
      </c>
      <c r="D400" s="338">
        <f t="shared" si="162"/>
        <v>1.3259496894902782</v>
      </c>
      <c r="E400" s="338">
        <f t="shared" si="163"/>
        <v>1.0000022731570031</v>
      </c>
      <c r="F400" s="339">
        <f t="shared" si="164"/>
        <v>2.1322066959024648E-3</v>
      </c>
      <c r="G400" s="338">
        <f t="shared" si="165"/>
        <v>1</v>
      </c>
      <c r="H400" s="339">
        <f t="shared" si="166"/>
        <v>0</v>
      </c>
      <c r="I400" s="337">
        <f t="shared" si="167"/>
        <v>68237.007694749249</v>
      </c>
      <c r="J400" s="340">
        <f t="shared" si="168"/>
        <v>1.570781671990505</v>
      </c>
      <c r="K400" s="348">
        <f t="shared" si="158"/>
        <v>6.36901425701548</v>
      </c>
      <c r="L400" s="349">
        <f t="shared" si="159"/>
        <v>1.4131337877646051</v>
      </c>
      <c r="M400" s="337">
        <f t="shared" si="169"/>
        <v>1.0005315429508215</v>
      </c>
      <c r="N400" s="340">
        <f t="shared" si="170"/>
        <v>3.2597779351063137E-2</v>
      </c>
      <c r="O400" s="341">
        <f t="shared" si="171"/>
        <v>0.99885130149900347</v>
      </c>
      <c r="P400" s="342">
        <f t="shared" si="172"/>
        <v>8.1819168983907221E-3</v>
      </c>
      <c r="Q400" s="343">
        <f t="shared" si="173"/>
        <v>4.2534546810636602</v>
      </c>
      <c r="R400" s="344">
        <f t="shared" si="174"/>
        <v>-87.218217609641798</v>
      </c>
      <c r="S400" s="346">
        <f t="shared" si="175"/>
        <v>92.781782390358202</v>
      </c>
      <c r="U400" s="319">
        <f t="shared" si="181"/>
        <v>1000000000</v>
      </c>
      <c r="V400" s="319">
        <f t="shared" si="182"/>
        <v>1303300251.5625</v>
      </c>
      <c r="X400" s="345">
        <f t="shared" si="176"/>
        <v>17.103653643936738</v>
      </c>
      <c r="Y400" s="346">
        <f t="shared" si="177"/>
        <v>-10.900273606081095</v>
      </c>
      <c r="AA400" s="345">
        <f t="shared" si="178"/>
        <v>23.159975000728391</v>
      </c>
      <c r="AB400" s="346">
        <f t="shared" si="179"/>
        <v>-76.317944003560726</v>
      </c>
      <c r="AD400">
        <f t="shared" si="183"/>
        <v>0</v>
      </c>
      <c r="AE400">
        <f t="shared" si="160"/>
        <v>0</v>
      </c>
    </row>
    <row r="401" spans="1:31" x14ac:dyDescent="0.2">
      <c r="A401" s="347">
        <v>36308</v>
      </c>
      <c r="B401" s="364">
        <f t="shared" si="180"/>
        <v>36.308</v>
      </c>
      <c r="C401" s="337">
        <f t="shared" si="161"/>
        <v>4.1475249942548551</v>
      </c>
      <c r="D401" s="338">
        <f t="shared" si="162"/>
        <v>1.3272893176183813</v>
      </c>
      <c r="E401" s="338">
        <f t="shared" si="163"/>
        <v>1.0000022992680342</v>
      </c>
      <c r="F401" s="339">
        <f t="shared" si="164"/>
        <v>2.1444176965401043E-3</v>
      </c>
      <c r="G401" s="338">
        <f t="shared" si="165"/>
        <v>1</v>
      </c>
      <c r="H401" s="339">
        <f t="shared" si="166"/>
        <v>0</v>
      </c>
      <c r="I401" s="337">
        <f t="shared" si="167"/>
        <v>68627.797524405236</v>
      </c>
      <c r="J401" s="340">
        <f t="shared" si="168"/>
        <v>1.5707817554399048</v>
      </c>
      <c r="K401" s="348">
        <f t="shared" si="158"/>
        <v>6.4045925819737279</v>
      </c>
      <c r="L401" s="349">
        <f t="shared" si="159"/>
        <v>1.4140168912179392</v>
      </c>
      <c r="M401" s="337">
        <f t="shared" si="169"/>
        <v>1.0005376469820872</v>
      </c>
      <c r="N401" s="340">
        <f t="shared" si="170"/>
        <v>3.2784331795991162E-2</v>
      </c>
      <c r="O401" s="341">
        <f t="shared" si="171"/>
        <v>0.99883810720294641</v>
      </c>
      <c r="P401" s="342">
        <f t="shared" si="172"/>
        <v>8.2288840714849973E-3</v>
      </c>
      <c r="Q401" s="343">
        <f t="shared" si="173"/>
        <v>4.2055979585179681</v>
      </c>
      <c r="R401" s="344">
        <f t="shared" si="174"/>
        <v>-87.257059377838459</v>
      </c>
      <c r="S401" s="346">
        <f t="shared" si="175"/>
        <v>92.742940622161541</v>
      </c>
      <c r="U401" s="319">
        <f t="shared" si="181"/>
        <v>1000000000</v>
      </c>
      <c r="V401" s="319">
        <f t="shared" si="182"/>
        <v>1318270864</v>
      </c>
      <c r="X401" s="345">
        <f t="shared" si="176"/>
        <v>17.102384647714512</v>
      </c>
      <c r="Y401" s="346">
        <f t="shared" si="177"/>
        <v>-10.860368954336662</v>
      </c>
      <c r="AA401" s="345">
        <f t="shared" si="178"/>
        <v>23.113387274404921</v>
      </c>
      <c r="AB401" s="346">
        <f t="shared" si="179"/>
        <v>-76.396690423501809</v>
      </c>
      <c r="AD401">
        <f t="shared" si="183"/>
        <v>0</v>
      </c>
      <c r="AE401">
        <f t="shared" si="160"/>
        <v>0</v>
      </c>
    </row>
    <row r="402" spans="1:31" x14ac:dyDescent="0.2">
      <c r="A402" s="347">
        <v>36519.5</v>
      </c>
      <c r="B402" s="364">
        <f t="shared" si="180"/>
        <v>36.519500000000001</v>
      </c>
      <c r="C402" s="337">
        <f t="shared" si="161"/>
        <v>4.1702843419446296</v>
      </c>
      <c r="D402" s="338">
        <f t="shared" si="162"/>
        <v>1.3286449356109051</v>
      </c>
      <c r="E402" s="338">
        <f t="shared" si="163"/>
        <v>1.0000023261332427</v>
      </c>
      <c r="F402" s="339">
        <f t="shared" si="164"/>
        <v>2.1569092394568938E-3</v>
      </c>
      <c r="G402" s="338">
        <f t="shared" si="165"/>
        <v>1</v>
      </c>
      <c r="H402" s="339">
        <f t="shared" si="166"/>
        <v>0</v>
      </c>
      <c r="I402" s="337">
        <f t="shared" si="167"/>
        <v>69027.565596822838</v>
      </c>
      <c r="J402" s="340">
        <f t="shared" si="168"/>
        <v>1.5707818398288362</v>
      </c>
      <c r="K402" s="348">
        <f t="shared" si="158"/>
        <v>6.4409934154199622</v>
      </c>
      <c r="L402" s="349">
        <f t="shared" si="159"/>
        <v>1.4149101880703512</v>
      </c>
      <c r="M402" s="337">
        <f t="shared" si="169"/>
        <v>1.0005439272803247</v>
      </c>
      <c r="N402" s="340">
        <f t="shared" si="170"/>
        <v>3.2975167847959223E-2</v>
      </c>
      <c r="O402" s="341">
        <f t="shared" si="171"/>
        <v>0.99882453182008324</v>
      </c>
      <c r="P402" s="342">
        <f t="shared" si="172"/>
        <v>8.2769322456400854E-3</v>
      </c>
      <c r="Q402" s="343">
        <f t="shared" si="173"/>
        <v>4.1569056352205349</v>
      </c>
      <c r="R402" s="344">
        <f t="shared" si="174"/>
        <v>-87.296524608381617</v>
      </c>
      <c r="S402" s="346">
        <f t="shared" si="175"/>
        <v>92.703475391618383</v>
      </c>
      <c r="U402" s="319">
        <f t="shared" si="181"/>
        <v>1000000000</v>
      </c>
      <c r="V402" s="319">
        <f t="shared" si="182"/>
        <v>1333673880.25</v>
      </c>
      <c r="X402" s="345">
        <f t="shared" si="176"/>
        <v>17.101107149440072</v>
      </c>
      <c r="Y402" s="346">
        <f t="shared" si="177"/>
        <v>-10.820125750281463</v>
      </c>
      <c r="AA402" s="345">
        <f t="shared" si="178"/>
        <v>23.065972449381931</v>
      </c>
      <c r="AB402" s="346">
        <f t="shared" si="179"/>
        <v>-76.476398858100168</v>
      </c>
      <c r="AD402">
        <f t="shared" si="183"/>
        <v>0</v>
      </c>
      <c r="AE402">
        <f t="shared" si="160"/>
        <v>0</v>
      </c>
    </row>
    <row r="403" spans="1:31" x14ac:dyDescent="0.2">
      <c r="A403" s="347">
        <v>36731</v>
      </c>
      <c r="B403" s="364">
        <f t="shared" si="180"/>
        <v>36.731000000000002</v>
      </c>
      <c r="C403" s="337">
        <f t="shared" si="161"/>
        <v>4.1930512701628428</v>
      </c>
      <c r="D403" s="338">
        <f t="shared" si="162"/>
        <v>1.3299858349005158</v>
      </c>
      <c r="E403" s="338">
        <f t="shared" si="163"/>
        <v>1.0000023531544904</v>
      </c>
      <c r="F403" s="339">
        <f t="shared" si="164"/>
        <v>2.1694007817005603E-3</v>
      </c>
      <c r="G403" s="338">
        <f t="shared" si="165"/>
        <v>1</v>
      </c>
      <c r="H403" s="339">
        <f t="shared" si="166"/>
        <v>0</v>
      </c>
      <c r="I403" s="337">
        <f t="shared" si="167"/>
        <v>69427.33366924095</v>
      </c>
      <c r="J403" s="340">
        <f t="shared" si="168"/>
        <v>1.5707819232459312</v>
      </c>
      <c r="K403" s="348">
        <f t="shared" si="158"/>
        <v>6.4773993308753166</v>
      </c>
      <c r="L403" s="349">
        <f t="shared" si="159"/>
        <v>1.4157934441558884</v>
      </c>
      <c r="M403" s="337">
        <f t="shared" si="169"/>
        <v>1.0005502440163114</v>
      </c>
      <c r="N403" s="340">
        <f t="shared" si="170"/>
        <v>3.3166001497281015E-2</v>
      </c>
      <c r="O403" s="341">
        <f t="shared" si="171"/>
        <v>0.99881087759906939</v>
      </c>
      <c r="P403" s="342">
        <f t="shared" si="172"/>
        <v>8.3249824021252028E-3</v>
      </c>
      <c r="Q403" s="343">
        <f t="shared" si="173"/>
        <v>4.1084774184627646</v>
      </c>
      <c r="R403" s="344">
        <f t="shared" si="174"/>
        <v>-87.335721733206725</v>
      </c>
      <c r="S403" s="346">
        <f t="shared" si="175"/>
        <v>92.664278266793275</v>
      </c>
      <c r="U403" s="319">
        <f t="shared" si="181"/>
        <v>1000000000</v>
      </c>
      <c r="V403" s="319">
        <f t="shared" si="182"/>
        <v>1349166361</v>
      </c>
      <c r="X403" s="345">
        <f t="shared" si="176"/>
        <v>17.099850064675795</v>
      </c>
      <c r="Y403" s="346">
        <f t="shared" si="177"/>
        <v>-10.780457646448305</v>
      </c>
      <c r="AA403" s="345">
        <f t="shared" si="178"/>
        <v>23.018801317388441</v>
      </c>
      <c r="AB403" s="346">
        <f t="shared" si="179"/>
        <v>-76.555264086758427</v>
      </c>
      <c r="AD403">
        <f t="shared" si="183"/>
        <v>0</v>
      </c>
      <c r="AE403">
        <f t="shared" si="160"/>
        <v>0</v>
      </c>
    </row>
    <row r="404" spans="1:31" x14ac:dyDescent="0.2">
      <c r="A404" s="347">
        <v>36942.5</v>
      </c>
      <c r="B404" s="364">
        <f t="shared" si="180"/>
        <v>36.942500000000003</v>
      </c>
      <c r="C404" s="337">
        <f t="shared" si="161"/>
        <v>4.215825656097012</v>
      </c>
      <c r="D404" s="338">
        <f t="shared" si="162"/>
        <v>1.3313122491623324</v>
      </c>
      <c r="E404" s="338">
        <f t="shared" si="163"/>
        <v>1.0000023803317768</v>
      </c>
      <c r="F404" s="339">
        <f t="shared" si="164"/>
        <v>2.1818923232672046E-3</v>
      </c>
      <c r="G404" s="338">
        <f t="shared" si="165"/>
        <v>1</v>
      </c>
      <c r="H404" s="339">
        <f t="shared" si="166"/>
        <v>0</v>
      </c>
      <c r="I404" s="337">
        <f t="shared" si="167"/>
        <v>69827.101741659528</v>
      </c>
      <c r="J404" s="340">
        <f t="shared" si="168"/>
        <v>1.5707820057078818</v>
      </c>
      <c r="K404" s="348">
        <f t="shared" si="158"/>
        <v>6.5138102431292051</v>
      </c>
      <c r="L404" s="349">
        <f t="shared" si="159"/>
        <v>1.4166668264624469</v>
      </c>
      <c r="M404" s="337">
        <f t="shared" si="169"/>
        <v>1.0005565971893577</v>
      </c>
      <c r="N404" s="340">
        <f t="shared" si="170"/>
        <v>3.3356832730102814E-2</v>
      </c>
      <c r="O404" s="341">
        <f t="shared" si="171"/>
        <v>0.99879714454009616</v>
      </c>
      <c r="P404" s="342">
        <f t="shared" si="172"/>
        <v>8.3730345525108198E-3</v>
      </c>
      <c r="Q404" s="343">
        <f t="shared" si="173"/>
        <v>4.0603105507991542</v>
      </c>
      <c r="R404" s="344">
        <f t="shared" si="174"/>
        <v>-87.374654574036001</v>
      </c>
      <c r="S404" s="346">
        <f t="shared" si="175"/>
        <v>92.625345425963999</v>
      </c>
      <c r="U404" s="319">
        <f t="shared" si="181"/>
        <v>1000000000</v>
      </c>
      <c r="V404" s="319">
        <f t="shared" si="182"/>
        <v>1364748306.25</v>
      </c>
      <c r="X404" s="345">
        <f t="shared" si="176"/>
        <v>17.098612929399167</v>
      </c>
      <c r="Y404" s="346">
        <f t="shared" si="177"/>
        <v>-10.741355075298127</v>
      </c>
      <c r="AA404" s="345">
        <f t="shared" si="178"/>
        <v>22.971871585001455</v>
      </c>
      <c r="AB404" s="346">
        <f t="shared" si="179"/>
        <v>-76.633299498737884</v>
      </c>
      <c r="AD404">
        <f t="shared" si="183"/>
        <v>0</v>
      </c>
      <c r="AE404">
        <f t="shared" si="160"/>
        <v>0</v>
      </c>
    </row>
    <row r="405" spans="1:31" x14ac:dyDescent="0.2">
      <c r="A405" s="347">
        <v>37154</v>
      </c>
      <c r="B405" s="364">
        <f t="shared" si="180"/>
        <v>37.154000000000003</v>
      </c>
      <c r="C405" s="337">
        <f t="shared" si="161"/>
        <v>4.2386073795343728</v>
      </c>
      <c r="D405" s="338">
        <f t="shared" si="162"/>
        <v>1.3326244072539872</v>
      </c>
      <c r="E405" s="338">
        <f t="shared" si="163"/>
        <v>1.0000024076651024</v>
      </c>
      <c r="F405" s="339">
        <f t="shared" si="164"/>
        <v>2.1943838641529287E-3</v>
      </c>
      <c r="G405" s="338">
        <f t="shared" si="165"/>
        <v>1</v>
      </c>
      <c r="H405" s="339">
        <f t="shared" si="166"/>
        <v>0</v>
      </c>
      <c r="I405" s="337">
        <f t="shared" si="167"/>
        <v>70226.869814078585</v>
      </c>
      <c r="J405" s="340">
        <f t="shared" si="168"/>
        <v>1.5707820872309992</v>
      </c>
      <c r="K405" s="348">
        <f t="shared" si="158"/>
        <v>6.5502260688541272</v>
      </c>
      <c r="L405" s="349">
        <f t="shared" si="159"/>
        <v>1.4175304983254833</v>
      </c>
      <c r="M405" s="337">
        <f t="shared" si="169"/>
        <v>1.0005629867987691</v>
      </c>
      <c r="N405" s="340">
        <f t="shared" si="170"/>
        <v>3.3547661532571965E-2</v>
      </c>
      <c r="O405" s="341">
        <f t="shared" si="171"/>
        <v>0.99878333264335672</v>
      </c>
      <c r="P405" s="342">
        <f t="shared" si="172"/>
        <v>8.4210887083689678E-3</v>
      </c>
      <c r="Q405" s="343">
        <f t="shared" si="173"/>
        <v>4.0124023167371927</v>
      </c>
      <c r="R405" s="344">
        <f t="shared" si="174"/>
        <v>-87.413326885817725</v>
      </c>
      <c r="S405" s="346">
        <f t="shared" si="175"/>
        <v>92.586673114182275</v>
      </c>
      <c r="U405" s="319">
        <f t="shared" si="181"/>
        <v>1000000000</v>
      </c>
      <c r="V405" s="319">
        <f t="shared" si="182"/>
        <v>1380419716</v>
      </c>
      <c r="X405" s="345">
        <f t="shared" si="176"/>
        <v>17.097395292449885</v>
      </c>
      <c r="Y405" s="346">
        <f t="shared" si="177"/>
        <v>-10.702808678539476</v>
      </c>
      <c r="AA405" s="345">
        <f t="shared" si="178"/>
        <v>22.92518098788878</v>
      </c>
      <c r="AB405" s="346">
        <f t="shared" si="179"/>
        <v>-76.710518207278255</v>
      </c>
      <c r="AD405">
        <f t="shared" si="183"/>
        <v>0</v>
      </c>
      <c r="AE405">
        <f t="shared" si="160"/>
        <v>0</v>
      </c>
    </row>
    <row r="406" spans="1:31" x14ac:dyDescent="0.2">
      <c r="A406" s="347">
        <v>37370.25</v>
      </c>
      <c r="B406" s="364">
        <f t="shared" si="180"/>
        <v>37.370249999999999</v>
      </c>
      <c r="C406" s="337">
        <f t="shared" si="161"/>
        <v>4.2619082132109645</v>
      </c>
      <c r="D406" s="338">
        <f t="shared" si="162"/>
        <v>1.3339515280677265</v>
      </c>
      <c r="E406" s="338">
        <f t="shared" si="163"/>
        <v>1.0000024357736319</v>
      </c>
      <c r="F406" s="339">
        <f t="shared" si="164"/>
        <v>2.2071559472109747E-3</v>
      </c>
      <c r="G406" s="338">
        <f t="shared" si="165"/>
        <v>1</v>
      </c>
      <c r="H406" s="339">
        <f t="shared" si="166"/>
        <v>0</v>
      </c>
      <c r="I406" s="337">
        <f t="shared" si="167"/>
        <v>70635.616129259288</v>
      </c>
      <c r="J406" s="340">
        <f t="shared" si="168"/>
        <v>1.5707821696309214</v>
      </c>
      <c r="K406" s="348">
        <f t="shared" si="158"/>
        <v>6.5874647394457408</v>
      </c>
      <c r="L406" s="349">
        <f t="shared" si="159"/>
        <v>1.4184036934779454</v>
      </c>
      <c r="M406" s="337">
        <f t="shared" si="169"/>
        <v>1.0005695575823401</v>
      </c>
      <c r="N406" s="340">
        <f t="shared" si="170"/>
        <v>3.3742773561019943E-2</v>
      </c>
      <c r="O406" s="341">
        <f t="shared" si="171"/>
        <v>0.99876912903702564</v>
      </c>
      <c r="P406" s="342">
        <f t="shared" si="172"/>
        <v>8.4702241802723875E-3</v>
      </c>
      <c r="Q406" s="343">
        <f t="shared" si="173"/>
        <v>3.9636827554875831</v>
      </c>
      <c r="R406" s="344">
        <f t="shared" si="174"/>
        <v>-87.452602196106199</v>
      </c>
      <c r="S406" s="346">
        <f t="shared" si="175"/>
        <v>92.547397803893801</v>
      </c>
      <c r="U406" s="319">
        <f t="shared" si="181"/>
        <v>1000000000</v>
      </c>
      <c r="V406" s="319">
        <f t="shared" si="182"/>
        <v>1396535585.0625</v>
      </c>
      <c r="X406" s="345">
        <f t="shared" si="176"/>
        <v>17.096170012210347</v>
      </c>
      <c r="Y406" s="346">
        <f t="shared" si="177"/>
        <v>-10.663962098497798</v>
      </c>
      <c r="AA406" s="345">
        <f t="shared" si="178"/>
        <v>22.877686706878706</v>
      </c>
      <c r="AB406" s="346">
        <f t="shared" si="179"/>
        <v>-76.788640097608379</v>
      </c>
      <c r="AD406">
        <f t="shared" si="183"/>
        <v>0</v>
      </c>
      <c r="AE406">
        <f t="shared" si="160"/>
        <v>0</v>
      </c>
    </row>
    <row r="407" spans="1:31" x14ac:dyDescent="0.2">
      <c r="A407" s="347">
        <v>37586.5</v>
      </c>
      <c r="B407" s="364">
        <f t="shared" si="180"/>
        <v>37.586500000000001</v>
      </c>
      <c r="C407" s="337">
        <f t="shared" si="161"/>
        <v>4.2852164715335253</v>
      </c>
      <c r="D407" s="338">
        <f t="shared" si="162"/>
        <v>1.335264214154017</v>
      </c>
      <c r="E407" s="338">
        <f t="shared" si="163"/>
        <v>1.0000024640452878</v>
      </c>
      <c r="F407" s="339">
        <f t="shared" si="164"/>
        <v>2.2199280295489296E-3</v>
      </c>
      <c r="G407" s="338">
        <f t="shared" si="165"/>
        <v>1</v>
      </c>
      <c r="H407" s="339">
        <f t="shared" si="166"/>
        <v>0</v>
      </c>
      <c r="I407" s="337">
        <f t="shared" si="167"/>
        <v>71044.36244444047</v>
      </c>
      <c r="J407" s="340">
        <f t="shared" si="168"/>
        <v>1.570782251082685</v>
      </c>
      <c r="K407" s="348">
        <f t="shared" ref="K407:K470" si="184">SQRT(1+(A407/Zero2)^2)</f>
        <v>6.6247083763104166</v>
      </c>
      <c r="L407" s="349">
        <f t="shared" ref="L407:L470" si="185">ATAN(A407/Zero2)</f>
        <v>1.4192670712011151</v>
      </c>
      <c r="M407" s="337">
        <f t="shared" si="169"/>
        <v>1.0005761664557962</v>
      </c>
      <c r="N407" s="340">
        <f t="shared" si="170"/>
        <v>3.3937883019439036E-2</v>
      </c>
      <c r="O407" s="341">
        <f t="shared" si="171"/>
        <v>0.99875484301239825</v>
      </c>
      <c r="P407" s="342">
        <f t="shared" si="172"/>
        <v>8.5193617732122473E-3</v>
      </c>
      <c r="Q407" s="343">
        <f t="shared" si="173"/>
        <v>3.9152279646479835</v>
      </c>
      <c r="R407" s="344">
        <f t="shared" si="174"/>
        <v>-87.491612874687647</v>
      </c>
      <c r="S407" s="346">
        <f t="shared" si="175"/>
        <v>92.508387125312353</v>
      </c>
      <c r="U407" s="319">
        <f t="shared" si="181"/>
        <v>1000000000</v>
      </c>
      <c r="V407" s="319">
        <f t="shared" si="182"/>
        <v>1412744982.25</v>
      </c>
      <c r="X407" s="345">
        <f t="shared" si="176"/>
        <v>17.094964201391736</v>
      </c>
      <c r="Y407" s="346">
        <f t="shared" si="177"/>
        <v>-10.625677814143602</v>
      </c>
      <c r="AA407" s="345">
        <f t="shared" si="178"/>
        <v>22.830437726857717</v>
      </c>
      <c r="AB407" s="346">
        <f t="shared" si="179"/>
        <v>-76.865935060544018</v>
      </c>
      <c r="AD407">
        <f t="shared" si="183"/>
        <v>0</v>
      </c>
      <c r="AE407">
        <f t="shared" si="160"/>
        <v>0</v>
      </c>
    </row>
    <row r="408" spans="1:31" x14ac:dyDescent="0.2">
      <c r="A408" s="347">
        <v>37802.75</v>
      </c>
      <c r="B408" s="364">
        <f t="shared" si="180"/>
        <v>37.802750000000003</v>
      </c>
      <c r="C408" s="337">
        <f t="shared" si="161"/>
        <v>4.3085320340047071</v>
      </c>
      <c r="D408" s="338">
        <f t="shared" si="162"/>
        <v>1.336562695291859</v>
      </c>
      <c r="E408" s="338">
        <f t="shared" si="163"/>
        <v>1.0000024924800701</v>
      </c>
      <c r="F408" s="339">
        <f t="shared" si="164"/>
        <v>2.2327001111626266E-3</v>
      </c>
      <c r="G408" s="338">
        <f t="shared" si="165"/>
        <v>1</v>
      </c>
      <c r="H408" s="339">
        <f t="shared" si="166"/>
        <v>0</v>
      </c>
      <c r="I408" s="337">
        <f t="shared" si="167"/>
        <v>71453.108759622119</v>
      </c>
      <c r="J408" s="340">
        <f t="shared" si="168"/>
        <v>1.5707823316025615</v>
      </c>
      <c r="K408" s="348">
        <f t="shared" si="184"/>
        <v>6.6619568961563811</v>
      </c>
      <c r="L408" s="349">
        <f t="shared" si="185"/>
        <v>1.4201207948713734</v>
      </c>
      <c r="M408" s="337">
        <f t="shared" si="169"/>
        <v>1.0005828134183821</v>
      </c>
      <c r="N408" s="340">
        <f t="shared" si="170"/>
        <v>3.4132989893025587E-2</v>
      </c>
      <c r="O408" s="341">
        <f t="shared" si="171"/>
        <v>0.99874047456968418</v>
      </c>
      <c r="P408" s="342">
        <f t="shared" si="172"/>
        <v>8.568501499563036E-3</v>
      </c>
      <c r="Q408" s="343">
        <f t="shared" si="173"/>
        <v>3.867035172321716</v>
      </c>
      <c r="R408" s="344">
        <f t="shared" si="174"/>
        <v>-87.530362726945228</v>
      </c>
      <c r="S408" s="346">
        <f t="shared" si="175"/>
        <v>92.469637273054772</v>
      </c>
      <c r="U408" s="319">
        <f t="shared" si="181"/>
        <v>1000000000</v>
      </c>
      <c r="V408" s="319">
        <f t="shared" si="182"/>
        <v>1429047907.5625</v>
      </c>
      <c r="X408" s="345">
        <f t="shared" si="176"/>
        <v>17.09377741675371</v>
      </c>
      <c r="Y408" s="346">
        <f t="shared" si="177"/>
        <v>-10.587946464783862</v>
      </c>
      <c r="AA408" s="345">
        <f t="shared" si="178"/>
        <v>22.783431719169474</v>
      </c>
      <c r="AB408" s="346">
        <f t="shared" si="179"/>
        <v>-76.942416262161387</v>
      </c>
      <c r="AD408">
        <f t="shared" si="183"/>
        <v>0</v>
      </c>
      <c r="AE408">
        <f t="shared" si="160"/>
        <v>0</v>
      </c>
    </row>
    <row r="409" spans="1:31" x14ac:dyDescent="0.2">
      <c r="A409" s="347">
        <v>38019</v>
      </c>
      <c r="B409" s="364">
        <f t="shared" si="180"/>
        <v>38.018999999999998</v>
      </c>
      <c r="C409" s="337">
        <f t="shared" si="161"/>
        <v>4.3318547826840366</v>
      </c>
      <c r="D409" s="338">
        <f t="shared" si="162"/>
        <v>1.3378471965056606</v>
      </c>
      <c r="E409" s="338">
        <f t="shared" si="163"/>
        <v>1.000002521077979</v>
      </c>
      <c r="F409" s="339">
        <f t="shared" si="164"/>
        <v>2.2454721920479002E-3</v>
      </c>
      <c r="G409" s="338">
        <f t="shared" si="165"/>
        <v>1</v>
      </c>
      <c r="H409" s="339">
        <f t="shared" si="166"/>
        <v>0</v>
      </c>
      <c r="I409" s="337">
        <f t="shared" si="167"/>
        <v>71861.855074804233</v>
      </c>
      <c r="J409" s="340">
        <f t="shared" si="168"/>
        <v>1.5707824112064528</v>
      </c>
      <c r="K409" s="348">
        <f t="shared" si="184"/>
        <v>6.6992102175335155</v>
      </c>
      <c r="L409" s="349">
        <f t="shared" si="185"/>
        <v>1.4209650242880616</v>
      </c>
      <c r="M409" s="337">
        <f t="shared" si="169"/>
        <v>1.0005894984693391</v>
      </c>
      <c r="N409" s="340">
        <f t="shared" si="170"/>
        <v>3.4328094166977102E-2</v>
      </c>
      <c r="O409" s="341">
        <f t="shared" si="171"/>
        <v>0.99872602370909436</v>
      </c>
      <c r="P409" s="342">
        <f t="shared" si="172"/>
        <v>8.617643371700975E-3</v>
      </c>
      <c r="Q409" s="343">
        <f t="shared" si="173"/>
        <v>3.8191016489252059</v>
      </c>
      <c r="R409" s="344">
        <f t="shared" si="174"/>
        <v>-87.568855490772407</v>
      </c>
      <c r="S409" s="346">
        <f t="shared" si="175"/>
        <v>92.431144509227593</v>
      </c>
      <c r="U409" s="319">
        <f t="shared" si="181"/>
        <v>1000000000</v>
      </c>
      <c r="V409" s="319">
        <f t="shared" si="182"/>
        <v>1445444361</v>
      </c>
      <c r="X409" s="345">
        <f t="shared" si="176"/>
        <v>17.092609227345136</v>
      </c>
      <c r="Y409" s="346">
        <f t="shared" si="177"/>
        <v>-10.550758894653727</v>
      </c>
      <c r="AA409" s="345">
        <f t="shared" si="178"/>
        <v>22.73666638518154</v>
      </c>
      <c r="AB409" s="346">
        <f t="shared" si="179"/>
        <v>-77.018096596118667</v>
      </c>
      <c r="AD409">
        <f t="shared" si="183"/>
        <v>0</v>
      </c>
      <c r="AE409">
        <f t="shared" si="160"/>
        <v>0</v>
      </c>
    </row>
    <row r="410" spans="1:31" x14ac:dyDescent="0.2">
      <c r="A410" s="347">
        <v>38240.5</v>
      </c>
      <c r="B410" s="364">
        <f t="shared" si="180"/>
        <v>38.240499999999997</v>
      </c>
      <c r="C410" s="337">
        <f t="shared" si="161"/>
        <v>4.3557510777620632</v>
      </c>
      <c r="D410" s="338">
        <f t="shared" si="162"/>
        <v>1.3391486193030062</v>
      </c>
      <c r="E410" s="338">
        <f t="shared" si="163"/>
        <v>1.0000025505392875</v>
      </c>
      <c r="F410" s="339">
        <f t="shared" si="164"/>
        <v>2.2585543458136419E-3</v>
      </c>
      <c r="G410" s="338">
        <f t="shared" si="165"/>
        <v>1</v>
      </c>
      <c r="H410" s="339">
        <f t="shared" si="166"/>
        <v>0</v>
      </c>
      <c r="I410" s="337">
        <f t="shared" si="167"/>
        <v>72280.524710933416</v>
      </c>
      <c r="J410" s="340">
        <f t="shared" si="168"/>
        <v>1.5707824918095525</v>
      </c>
      <c r="K410" s="348">
        <f t="shared" si="184"/>
        <v>6.7373728493646396</v>
      </c>
      <c r="L410" s="349">
        <f t="shared" si="185"/>
        <v>1.4218200699991628</v>
      </c>
      <c r="M410" s="337">
        <f t="shared" si="169"/>
        <v>1.0005963853021618</v>
      </c>
      <c r="N410" s="340">
        <f t="shared" si="170"/>
        <v>3.4527932365942426E-2</v>
      </c>
      <c r="O410" s="341">
        <f t="shared" si="171"/>
        <v>0.99871113657507593</v>
      </c>
      <c r="P410" s="342">
        <f t="shared" si="172"/>
        <v>8.6679805210064641E-3</v>
      </c>
      <c r="Q410" s="343">
        <f t="shared" si="173"/>
        <v>3.7702703993265567</v>
      </c>
      <c r="R410" s="344">
        <f t="shared" si="174"/>
        <v>-87.608020071544146</v>
      </c>
      <c r="S410" s="346">
        <f t="shared" si="175"/>
        <v>92.391979928455854</v>
      </c>
      <c r="U410" s="319">
        <f t="shared" si="181"/>
        <v>1000000000</v>
      </c>
      <c r="V410" s="319">
        <f t="shared" si="182"/>
        <v>1462335840.25</v>
      </c>
      <c r="X410" s="345">
        <f t="shared" si="176"/>
        <v>17.091431517251795</v>
      </c>
      <c r="Y410" s="346">
        <f t="shared" si="177"/>
        <v>-10.513222887677621</v>
      </c>
      <c r="AA410" s="345">
        <f t="shared" si="178"/>
        <v>22.689012845676228</v>
      </c>
      <c r="AB410" s="346">
        <f t="shared" si="179"/>
        <v>-77.094797183866532</v>
      </c>
      <c r="AD410">
        <f t="shared" si="183"/>
        <v>0</v>
      </c>
      <c r="AE410">
        <f t="shared" ref="AE410:AE473" si="186">IF(AD410&gt;0,S410,0)</f>
        <v>0</v>
      </c>
    </row>
    <row r="411" spans="1:31" x14ac:dyDescent="0.2">
      <c r="A411" s="347">
        <v>38462</v>
      </c>
      <c r="B411" s="364">
        <f t="shared" si="180"/>
        <v>38.462000000000003</v>
      </c>
      <c r="C411" s="337">
        <f t="shared" si="161"/>
        <v>4.379654669669522</v>
      </c>
      <c r="D411" s="338">
        <f t="shared" si="162"/>
        <v>1.3404358382642338</v>
      </c>
      <c r="E411" s="338">
        <f t="shared" si="163"/>
        <v>1.0000025801717392</v>
      </c>
      <c r="F411" s="339">
        <f t="shared" si="164"/>
        <v>2.2716364988063127E-3</v>
      </c>
      <c r="G411" s="338">
        <f t="shared" si="165"/>
        <v>1</v>
      </c>
      <c r="H411" s="339">
        <f t="shared" si="166"/>
        <v>0</v>
      </c>
      <c r="I411" s="337">
        <f t="shared" si="167"/>
        <v>72699.194347063079</v>
      </c>
      <c r="J411" s="340">
        <f t="shared" si="168"/>
        <v>1.5707825714842771</v>
      </c>
      <c r="K411" s="348">
        <f t="shared" si="184"/>
        <v>6.7755403514210082</v>
      </c>
      <c r="L411" s="349">
        <f t="shared" si="185"/>
        <v>1.4226654831546506</v>
      </c>
      <c r="M411" s="337">
        <f t="shared" si="169"/>
        <v>1.000603312093556</v>
      </c>
      <c r="N411" s="340">
        <f t="shared" si="170"/>
        <v>3.4727767806082367E-2</v>
      </c>
      <c r="O411" s="341">
        <f t="shared" si="171"/>
        <v>0.99869616297326436</v>
      </c>
      <c r="P411" s="342">
        <f t="shared" si="172"/>
        <v>8.7183199478421316E-3</v>
      </c>
      <c r="Q411" s="343">
        <f t="shared" si="173"/>
        <v>3.7217054957308298</v>
      </c>
      <c r="R411" s="344">
        <f t="shared" si="174"/>
        <v>-87.646922656511848</v>
      </c>
      <c r="S411" s="346">
        <f t="shared" si="175"/>
        <v>92.353077343488152</v>
      </c>
      <c r="U411" s="319">
        <f t="shared" si="181"/>
        <v>1000000000</v>
      </c>
      <c r="V411" s="319">
        <f t="shared" si="182"/>
        <v>1479325444</v>
      </c>
      <c r="X411" s="345">
        <f t="shared" si="176"/>
        <v>17.090272438786535</v>
      </c>
      <c r="Y411" s="346">
        <f t="shared" si="177"/>
        <v>-10.476238574223688</v>
      </c>
      <c r="AA411" s="345">
        <f t="shared" si="178"/>
        <v>22.641607020545756</v>
      </c>
      <c r="AB411" s="346">
        <f t="shared" si="179"/>
        <v>-77.170684082288176</v>
      </c>
      <c r="AD411">
        <f t="shared" si="183"/>
        <v>0</v>
      </c>
      <c r="AE411">
        <f t="shared" si="186"/>
        <v>0</v>
      </c>
    </row>
    <row r="412" spans="1:31" x14ac:dyDescent="0.2">
      <c r="A412" s="347">
        <v>38683.5</v>
      </c>
      <c r="B412" s="364">
        <f t="shared" si="180"/>
        <v>38.683500000000002</v>
      </c>
      <c r="C412" s="337">
        <f t="shared" si="161"/>
        <v>4.4035654395796797</v>
      </c>
      <c r="D412" s="338">
        <f t="shared" si="162"/>
        <v>1.3417090804633498</v>
      </c>
      <c r="E412" s="338">
        <f t="shared" si="163"/>
        <v>1.0000026099753339</v>
      </c>
      <c r="F412" s="339">
        <f t="shared" si="164"/>
        <v>2.2847186510214332E-3</v>
      </c>
      <c r="G412" s="338">
        <f t="shared" si="165"/>
        <v>1</v>
      </c>
      <c r="H412" s="339">
        <f t="shared" si="166"/>
        <v>0</v>
      </c>
      <c r="I412" s="337">
        <f t="shared" si="167"/>
        <v>73117.863983193194</v>
      </c>
      <c r="J412" s="340">
        <f t="shared" si="168"/>
        <v>1.5707826502465738</v>
      </c>
      <c r="K412" s="348">
        <f t="shared" si="184"/>
        <v>6.8137126418598672</v>
      </c>
      <c r="L412" s="349">
        <f t="shared" si="185"/>
        <v>1.423501424428453</v>
      </c>
      <c r="M412" s="337">
        <f t="shared" si="169"/>
        <v>1.000610278842692</v>
      </c>
      <c r="N412" s="340">
        <f t="shared" si="170"/>
        <v>3.492760047149384E-2</v>
      </c>
      <c r="O412" s="341">
        <f t="shared" si="171"/>
        <v>0.99868110290389001</v>
      </c>
      <c r="P412" s="342">
        <f t="shared" si="172"/>
        <v>8.7686616655134313E-3</v>
      </c>
      <c r="Q412" s="343">
        <f t="shared" si="173"/>
        <v>3.6734041375062225</v>
      </c>
      <c r="R412" s="344">
        <f t="shared" si="174"/>
        <v>-87.685567050884899</v>
      </c>
      <c r="S412" s="346">
        <f t="shared" si="175"/>
        <v>92.314432949115101</v>
      </c>
      <c r="U412" s="319">
        <f t="shared" si="181"/>
        <v>1000000000</v>
      </c>
      <c r="V412" s="319">
        <f t="shared" si="182"/>
        <v>1496413172.25</v>
      </c>
      <c r="X412" s="345">
        <f t="shared" si="176"/>
        <v>17.089131566340338</v>
      </c>
      <c r="Y412" s="346">
        <f t="shared" si="177"/>
        <v>-10.439796748356486</v>
      </c>
      <c r="AA412" s="345">
        <f t="shared" si="178"/>
        <v>22.594446534767357</v>
      </c>
      <c r="AB412" s="346">
        <f t="shared" si="179"/>
        <v>-77.245770302528385</v>
      </c>
      <c r="AD412">
        <f t="shared" si="183"/>
        <v>0</v>
      </c>
      <c r="AE412">
        <f t="shared" si="186"/>
        <v>0</v>
      </c>
    </row>
    <row r="413" spans="1:31" x14ac:dyDescent="0.2">
      <c r="A413" s="347">
        <v>38905</v>
      </c>
      <c r="B413" s="364">
        <f t="shared" si="180"/>
        <v>38.905000000000001</v>
      </c>
      <c r="C413" s="337">
        <f t="shared" si="161"/>
        <v>4.4274832711974161</v>
      </c>
      <c r="D413" s="338">
        <f t="shared" si="162"/>
        <v>1.3429685682511139</v>
      </c>
      <c r="E413" s="338">
        <f t="shared" si="163"/>
        <v>1.0000026399500717</v>
      </c>
      <c r="F413" s="339">
        <f t="shared" si="164"/>
        <v>2.2978008024545273E-3</v>
      </c>
      <c r="G413" s="338">
        <f t="shared" si="165"/>
        <v>1</v>
      </c>
      <c r="H413" s="339">
        <f t="shared" si="166"/>
        <v>0</v>
      </c>
      <c r="I413" s="337">
        <f t="shared" si="167"/>
        <v>73536.533619323745</v>
      </c>
      <c r="J413" s="340">
        <f t="shared" si="168"/>
        <v>1.5707827281120268</v>
      </c>
      <c r="K413" s="348">
        <f t="shared" si="184"/>
        <v>6.8518896406521161</v>
      </c>
      <c r="L413" s="349">
        <f t="shared" si="185"/>
        <v>1.4243280509671883</v>
      </c>
      <c r="M413" s="337">
        <f t="shared" si="169"/>
        <v>1.0006172855487352</v>
      </c>
      <c r="N413" s="340">
        <f t="shared" si="170"/>
        <v>3.51274303462751E-2</v>
      </c>
      <c r="O413" s="341">
        <f t="shared" si="171"/>
        <v>0.99866595636718514</v>
      </c>
      <c r="P413" s="342">
        <f t="shared" si="172"/>
        <v>8.819005687327788E-3</v>
      </c>
      <c r="Q413" s="343">
        <f t="shared" si="173"/>
        <v>3.625363566987617</v>
      </c>
      <c r="R413" s="344">
        <f t="shared" si="174"/>
        <v>-87.723956991329899</v>
      </c>
      <c r="S413" s="346">
        <f t="shared" si="175"/>
        <v>92.276043008670101</v>
      </c>
      <c r="U413" s="319">
        <f t="shared" si="181"/>
        <v>1000000000</v>
      </c>
      <c r="V413" s="319">
        <f t="shared" si="182"/>
        <v>1513599025</v>
      </c>
      <c r="X413" s="345">
        <f t="shared" si="176"/>
        <v>17.08800848612762</v>
      </c>
      <c r="Y413" s="346">
        <f t="shared" si="177"/>
        <v>-10.40388840621984</v>
      </c>
      <c r="AA413" s="345">
        <f t="shared" si="178"/>
        <v>22.547529044461463</v>
      </c>
      <c r="AB413" s="346">
        <f t="shared" si="179"/>
        <v>-77.320068585110064</v>
      </c>
      <c r="AD413">
        <f t="shared" si="183"/>
        <v>0</v>
      </c>
      <c r="AE413">
        <f t="shared" si="186"/>
        <v>0</v>
      </c>
    </row>
    <row r="414" spans="1:31" x14ac:dyDescent="0.2">
      <c r="A414" s="347">
        <v>39131.5</v>
      </c>
      <c r="B414" s="364">
        <f t="shared" si="180"/>
        <v>39.131500000000003</v>
      </c>
      <c r="C414" s="337">
        <f t="shared" si="161"/>
        <v>4.4519481927527744</v>
      </c>
      <c r="D414" s="338">
        <f t="shared" si="162"/>
        <v>1.3442424901171961</v>
      </c>
      <c r="E414" s="338">
        <f t="shared" si="163"/>
        <v>1.0000026707784218</v>
      </c>
      <c r="F414" s="339">
        <f t="shared" si="164"/>
        <v>2.3111782612330106E-3</v>
      </c>
      <c r="G414" s="338">
        <f t="shared" si="165"/>
        <v>1</v>
      </c>
      <c r="H414" s="339">
        <f t="shared" si="166"/>
        <v>0</v>
      </c>
      <c r="I414" s="337">
        <f t="shared" si="167"/>
        <v>73964.654037308734</v>
      </c>
      <c r="J414" s="340">
        <f t="shared" si="168"/>
        <v>1.5707828068235934</v>
      </c>
      <c r="K414" s="348">
        <f t="shared" si="184"/>
        <v>6.8909332101568559</v>
      </c>
      <c r="L414" s="349">
        <f t="shared" si="185"/>
        <v>1.4251638648767335</v>
      </c>
      <c r="M414" s="337">
        <f t="shared" si="169"/>
        <v>1.0006244917388558</v>
      </c>
      <c r="N414" s="340">
        <f t="shared" si="170"/>
        <v>3.5331768151045558E-2</v>
      </c>
      <c r="O414" s="341">
        <f t="shared" si="171"/>
        <v>0.99865037850529714</v>
      </c>
      <c r="P414" s="342">
        <f t="shared" si="172"/>
        <v>8.8704885396586729E-3</v>
      </c>
      <c r="Q414" s="343">
        <f t="shared" si="173"/>
        <v>3.5765054145606907</v>
      </c>
      <c r="R414" s="344">
        <f t="shared" si="174"/>
        <v>-87.762954210131241</v>
      </c>
      <c r="S414" s="346">
        <f t="shared" si="175"/>
        <v>92.237045789868759</v>
      </c>
      <c r="U414" s="319">
        <f t="shared" si="181"/>
        <v>1000000000</v>
      </c>
      <c r="V414" s="319">
        <f t="shared" si="182"/>
        <v>1531274292.25</v>
      </c>
      <c r="X414" s="345">
        <f t="shared" si="176"/>
        <v>17.086878034285252</v>
      </c>
      <c r="Y414" s="346">
        <f t="shared" si="177"/>
        <v>-10.367712000352112</v>
      </c>
      <c r="AA414" s="345">
        <f t="shared" si="178"/>
        <v>22.499801343876907</v>
      </c>
      <c r="AB414" s="346">
        <f t="shared" si="179"/>
        <v>-77.395242209779127</v>
      </c>
      <c r="AD414">
        <f t="shared" si="183"/>
        <v>0</v>
      </c>
      <c r="AE414">
        <f t="shared" si="186"/>
        <v>0</v>
      </c>
    </row>
    <row r="415" spans="1:31" x14ac:dyDescent="0.2">
      <c r="A415" s="347">
        <v>39358</v>
      </c>
      <c r="B415" s="364">
        <f t="shared" si="180"/>
        <v>39.357999999999997</v>
      </c>
      <c r="C415" s="337">
        <f t="shared" si="161"/>
        <v>4.4764202602923078</v>
      </c>
      <c r="D415" s="338">
        <f t="shared" si="162"/>
        <v>1.3455024852449435</v>
      </c>
      <c r="E415" s="338">
        <f t="shared" si="163"/>
        <v>1.0000027017857289</v>
      </c>
      <c r="F415" s="339">
        <f t="shared" si="164"/>
        <v>2.3245557191842923E-3</v>
      </c>
      <c r="G415" s="338">
        <f t="shared" si="165"/>
        <v>1</v>
      </c>
      <c r="H415" s="339">
        <f t="shared" si="166"/>
        <v>0</v>
      </c>
      <c r="I415" s="337">
        <f t="shared" si="167"/>
        <v>74392.774455294159</v>
      </c>
      <c r="J415" s="340">
        <f t="shared" si="168"/>
        <v>1.5707828846292111</v>
      </c>
      <c r="K415" s="348">
        <f t="shared" si="184"/>
        <v>6.9299815393183533</v>
      </c>
      <c r="L415" s="349">
        <f t="shared" si="185"/>
        <v>1.425990260246027</v>
      </c>
      <c r="M415" s="337">
        <f t="shared" si="169"/>
        <v>1.000631739708387</v>
      </c>
      <c r="N415" s="340">
        <f t="shared" si="170"/>
        <v>3.5536103004149402E-2</v>
      </c>
      <c r="O415" s="341">
        <f t="shared" si="171"/>
        <v>0.99863471022879668</v>
      </c>
      <c r="P415" s="342">
        <f t="shared" si="172"/>
        <v>8.921973829481674E-3</v>
      </c>
      <c r="Q415" s="343">
        <f t="shared" si="173"/>
        <v>3.5279142580468115</v>
      </c>
      <c r="R415" s="344">
        <f t="shared" si="174"/>
        <v>-87.801693046889227</v>
      </c>
      <c r="S415" s="346">
        <f t="shared" si="175"/>
        <v>92.198306953110773</v>
      </c>
      <c r="U415" s="319">
        <f t="shared" si="181"/>
        <v>1000000000</v>
      </c>
      <c r="V415" s="319">
        <f t="shared" si="182"/>
        <v>1549052164</v>
      </c>
      <c r="X415" s="345">
        <f t="shared" si="176"/>
        <v>17.085765348057244</v>
      </c>
      <c r="Y415" s="346">
        <f t="shared" si="177"/>
        <v>-10.332075016065508</v>
      </c>
      <c r="AA415" s="345">
        <f t="shared" si="178"/>
        <v>22.452322873591033</v>
      </c>
      <c r="AB415" s="346">
        <f t="shared" si="179"/>
        <v>-77.469618030823739</v>
      </c>
      <c r="AD415">
        <f t="shared" si="183"/>
        <v>0</v>
      </c>
      <c r="AE415">
        <f t="shared" si="186"/>
        <v>0</v>
      </c>
    </row>
    <row r="416" spans="1:31" x14ac:dyDescent="0.2">
      <c r="A416" s="347">
        <v>39584.5</v>
      </c>
      <c r="B416" s="364">
        <f t="shared" si="180"/>
        <v>39.584499999999998</v>
      </c>
      <c r="C416" s="337">
        <f t="shared" si="161"/>
        <v>4.5008993572546432</v>
      </c>
      <c r="D416" s="338">
        <f t="shared" si="162"/>
        <v>1.3467487768312465</v>
      </c>
      <c r="E416" s="338">
        <f t="shared" si="163"/>
        <v>1.0000027329719927</v>
      </c>
      <c r="F416" s="339">
        <f t="shared" si="164"/>
        <v>2.3379331763035836E-3</v>
      </c>
      <c r="G416" s="338">
        <f t="shared" si="165"/>
        <v>1</v>
      </c>
      <c r="H416" s="339">
        <f t="shared" si="166"/>
        <v>0</v>
      </c>
      <c r="I416" s="337">
        <f t="shared" si="167"/>
        <v>74820.894873280049</v>
      </c>
      <c r="J416" s="340">
        <f t="shared" si="168"/>
        <v>1.5707829615444311</v>
      </c>
      <c r="K416" s="348">
        <f t="shared" si="184"/>
        <v>6.9690345481298417</v>
      </c>
      <c r="L416" s="349">
        <f t="shared" si="185"/>
        <v>1.4268073942753119</v>
      </c>
      <c r="M416" s="337">
        <f t="shared" si="169"/>
        <v>1.0006390294564209</v>
      </c>
      <c r="N416" s="340">
        <f t="shared" si="170"/>
        <v>3.5740434888587892E-2</v>
      </c>
      <c r="O416" s="341">
        <f t="shared" si="171"/>
        <v>0.99861895153793623</v>
      </c>
      <c r="P416" s="342">
        <f t="shared" si="172"/>
        <v>8.9734615710323658E-3</v>
      </c>
      <c r="Q416" s="343">
        <f t="shared" si="173"/>
        <v>3.4795872826450718</v>
      </c>
      <c r="R416" s="344">
        <f t="shared" si="174"/>
        <v>-87.840177283666208</v>
      </c>
      <c r="S416" s="346">
        <f t="shared" si="175"/>
        <v>92.159822716333792</v>
      </c>
      <c r="U416" s="319">
        <f t="shared" si="181"/>
        <v>1000000000</v>
      </c>
      <c r="V416" s="319">
        <f t="shared" si="182"/>
        <v>1566932640.25</v>
      </c>
      <c r="X416" s="345">
        <f t="shared" si="176"/>
        <v>17.084670020862035</v>
      </c>
      <c r="Y416" s="346">
        <f t="shared" si="177"/>
        <v>-10.296968446366614</v>
      </c>
      <c r="AA416" s="345">
        <f t="shared" si="178"/>
        <v>22.405091225384503</v>
      </c>
      <c r="AB416" s="346">
        <f t="shared" si="179"/>
        <v>-77.543208837299616</v>
      </c>
      <c r="AD416">
        <f t="shared" si="183"/>
        <v>0</v>
      </c>
      <c r="AE416">
        <f t="shared" si="186"/>
        <v>0</v>
      </c>
    </row>
    <row r="417" spans="1:31" x14ac:dyDescent="0.2">
      <c r="A417" s="347">
        <v>39811</v>
      </c>
      <c r="B417" s="364">
        <f t="shared" si="180"/>
        <v>39.811</v>
      </c>
      <c r="C417" s="337">
        <f t="shared" si="161"/>
        <v>4.5253853695673358</v>
      </c>
      <c r="D417" s="338">
        <f t="shared" si="162"/>
        <v>1.3479815834146576</v>
      </c>
      <c r="E417" s="338">
        <f t="shared" si="163"/>
        <v>1.0000027643372134</v>
      </c>
      <c r="F417" s="339">
        <f t="shared" si="164"/>
        <v>2.3513106325860982E-3</v>
      </c>
      <c r="G417" s="338">
        <f t="shared" si="165"/>
        <v>1</v>
      </c>
      <c r="H417" s="339">
        <f t="shared" si="166"/>
        <v>0</v>
      </c>
      <c r="I417" s="337">
        <f t="shared" si="167"/>
        <v>75249.015291266362</v>
      </c>
      <c r="J417" s="340">
        <f t="shared" si="168"/>
        <v>1.5707830375844509</v>
      </c>
      <c r="K417" s="348">
        <f t="shared" si="184"/>
        <v>7.0080921583584432</v>
      </c>
      <c r="L417" s="349">
        <f t="shared" si="185"/>
        <v>1.427615420710491</v>
      </c>
      <c r="M417" s="337">
        <f t="shared" si="169"/>
        <v>1.0006463609820446</v>
      </c>
      <c r="N417" s="340">
        <f t="shared" si="170"/>
        <v>3.5944763787363748E-2</v>
      </c>
      <c r="O417" s="341">
        <f t="shared" si="171"/>
        <v>0.99860310243296957</v>
      </c>
      <c r="P417" s="342">
        <f t="shared" si="172"/>
        <v>9.0249517785485258E-3</v>
      </c>
      <c r="Q417" s="343">
        <f t="shared" si="173"/>
        <v>3.4315217168807397</v>
      </c>
      <c r="R417" s="344">
        <f t="shared" si="174"/>
        <v>-87.878410633520502</v>
      </c>
      <c r="S417" s="346">
        <f t="shared" si="175"/>
        <v>92.121589366479498</v>
      </c>
      <c r="U417" s="319">
        <f t="shared" si="181"/>
        <v>1000000000</v>
      </c>
      <c r="V417" s="319">
        <f t="shared" si="182"/>
        <v>1584915721</v>
      </c>
      <c r="X417" s="345">
        <f t="shared" si="176"/>
        <v>17.083591657415944</v>
      </c>
      <c r="Y417" s="346">
        <f t="shared" si="177"/>
        <v>-10.262383482160956</v>
      </c>
      <c r="AA417" s="345">
        <f t="shared" si="178"/>
        <v>22.358104023066264</v>
      </c>
      <c r="AB417" s="346">
        <f t="shared" si="179"/>
        <v>-77.616027151359546</v>
      </c>
      <c r="AD417">
        <f t="shared" si="183"/>
        <v>0</v>
      </c>
      <c r="AE417">
        <f t="shared" si="186"/>
        <v>0</v>
      </c>
    </row>
    <row r="418" spans="1:31" x14ac:dyDescent="0.2">
      <c r="A418" s="347">
        <v>40042.75</v>
      </c>
      <c r="B418" s="364">
        <f t="shared" si="180"/>
        <v>40.042749999999998</v>
      </c>
      <c r="C418" s="337">
        <f t="shared" si="161"/>
        <v>4.5504459796601529</v>
      </c>
      <c r="D418" s="338">
        <f t="shared" si="162"/>
        <v>1.3492292306914018</v>
      </c>
      <c r="E418" s="338">
        <f t="shared" si="163"/>
        <v>1.0000027966146694</v>
      </c>
      <c r="F418" s="339">
        <f t="shared" si="164"/>
        <v>2.3649981614875153E-3</v>
      </c>
      <c r="G418" s="338">
        <f t="shared" si="165"/>
        <v>1</v>
      </c>
      <c r="H418" s="339">
        <f t="shared" si="166"/>
        <v>0</v>
      </c>
      <c r="I418" s="337">
        <f t="shared" si="167"/>
        <v>75687.059030199816</v>
      </c>
      <c r="J418" s="340">
        <f t="shared" si="168"/>
        <v>1.5707831144966142</v>
      </c>
      <c r="K418" s="348">
        <f t="shared" si="184"/>
        <v>7.0480597602797843</v>
      </c>
      <c r="L418" s="349">
        <f t="shared" si="185"/>
        <v>1.4284329063768268</v>
      </c>
      <c r="M418" s="337">
        <f t="shared" si="169"/>
        <v>1.0006539056840795</v>
      </c>
      <c r="N418" s="340">
        <f t="shared" si="170"/>
        <v>3.6153825678444405E-2</v>
      </c>
      <c r="O418" s="341">
        <f t="shared" si="171"/>
        <v>0.99858679238297843</v>
      </c>
      <c r="P418" s="342">
        <f t="shared" si="172"/>
        <v>9.0776380349137688E-3</v>
      </c>
      <c r="Q418" s="343">
        <f t="shared" si="173"/>
        <v>3.3826097710002863</v>
      </c>
      <c r="R418" s="344">
        <f t="shared" si="174"/>
        <v>-87.917274311598192</v>
      </c>
      <c r="S418" s="346">
        <f t="shared" si="175"/>
        <v>92.082725688401808</v>
      </c>
      <c r="U418" s="319">
        <f t="shared" si="181"/>
        <v>1000000000</v>
      </c>
      <c r="V418" s="319">
        <f t="shared" si="182"/>
        <v>1603421827.5625</v>
      </c>
      <c r="X418" s="345">
        <f t="shared" si="176"/>
        <v>17.082505456060574</v>
      </c>
      <c r="Y418" s="346">
        <f t="shared" si="177"/>
        <v>-10.227527774385935</v>
      </c>
      <c r="AA418" s="345">
        <f t="shared" si="178"/>
        <v>22.310278278541176</v>
      </c>
      <c r="AB418" s="346">
        <f t="shared" si="179"/>
        <v>-77.689746537212272</v>
      </c>
      <c r="AD418">
        <f t="shared" si="183"/>
        <v>0</v>
      </c>
      <c r="AE418">
        <f t="shared" si="186"/>
        <v>0</v>
      </c>
    </row>
    <row r="419" spans="1:31" x14ac:dyDescent="0.2">
      <c r="A419" s="347">
        <v>40274.5</v>
      </c>
      <c r="B419" s="364">
        <f t="shared" si="180"/>
        <v>40.274500000000003</v>
      </c>
      <c r="C419" s="337">
        <f t="shared" si="161"/>
        <v>4.5755135954863233</v>
      </c>
      <c r="D419" s="338">
        <f t="shared" si="162"/>
        <v>1.3504632090378343</v>
      </c>
      <c r="E419" s="338">
        <f t="shared" si="163"/>
        <v>1.0000028290794745</v>
      </c>
      <c r="F419" s="339">
        <f t="shared" si="164"/>
        <v>2.3786856895027732E-3</v>
      </c>
      <c r="G419" s="338">
        <f t="shared" si="165"/>
        <v>1</v>
      </c>
      <c r="H419" s="339">
        <f t="shared" si="166"/>
        <v>0</v>
      </c>
      <c r="I419" s="337">
        <f t="shared" si="167"/>
        <v>76125.102769133737</v>
      </c>
      <c r="J419" s="340">
        <f t="shared" si="168"/>
        <v>1.570783190523632</v>
      </c>
      <c r="K419" s="348">
        <f t="shared" si="184"/>
        <v>7.0880320191784456</v>
      </c>
      <c r="L419" s="349">
        <f t="shared" si="185"/>
        <v>1.4292411723183471</v>
      </c>
      <c r="M419" s="337">
        <f t="shared" si="169"/>
        <v>1.000661494120908</v>
      </c>
      <c r="N419" s="340">
        <f t="shared" si="170"/>
        <v>3.6362884407853804E-2</v>
      </c>
      <c r="O419" s="341">
        <f t="shared" si="171"/>
        <v>0.99857038767946571</v>
      </c>
      <c r="P419" s="342">
        <f t="shared" si="172"/>
        <v>9.1303269030491453E-3</v>
      </c>
      <c r="Q419" s="343">
        <f t="shared" si="173"/>
        <v>3.3339657585714311</v>
      </c>
      <c r="R419" s="344">
        <f t="shared" si="174"/>
        <v>-87.955882986807168</v>
      </c>
      <c r="S419" s="346">
        <f t="shared" si="175"/>
        <v>92.044117013192832</v>
      </c>
      <c r="U419" s="319">
        <f t="shared" si="181"/>
        <v>1000000000</v>
      </c>
      <c r="V419" s="319">
        <f t="shared" si="182"/>
        <v>1622035350.25</v>
      </c>
      <c r="X419" s="345">
        <f t="shared" si="176"/>
        <v>17.081436211360359</v>
      </c>
      <c r="Y419" s="346">
        <f t="shared" si="177"/>
        <v>-10.193200086066209</v>
      </c>
      <c r="AA419" s="345">
        <f t="shared" si="178"/>
        <v>22.262703510812539</v>
      </c>
      <c r="AB419" s="346">
        <f t="shared" si="179"/>
        <v>-77.76268290074097</v>
      </c>
      <c r="AD419">
        <f t="shared" si="183"/>
        <v>0</v>
      </c>
      <c r="AE419">
        <f t="shared" si="186"/>
        <v>0</v>
      </c>
    </row>
    <row r="420" spans="1:31" x14ac:dyDescent="0.2">
      <c r="A420" s="347">
        <v>40506.25</v>
      </c>
      <c r="B420" s="364">
        <f t="shared" si="180"/>
        <v>40.506250000000001</v>
      </c>
      <c r="C420" s="337">
        <f t="shared" si="161"/>
        <v>4.6005881025276416</v>
      </c>
      <c r="D420" s="338">
        <f t="shared" si="162"/>
        <v>1.3516837381635638</v>
      </c>
      <c r="E420" s="338">
        <f t="shared" si="163"/>
        <v>1.0000028617316283</v>
      </c>
      <c r="F420" s="339">
        <f t="shared" si="164"/>
        <v>2.3923732166267432E-3</v>
      </c>
      <c r="G420" s="338">
        <f t="shared" si="165"/>
        <v>1</v>
      </c>
      <c r="H420" s="339">
        <f t="shared" si="166"/>
        <v>0</v>
      </c>
      <c r="I420" s="337">
        <f t="shared" si="167"/>
        <v>76563.146508068065</v>
      </c>
      <c r="J420" s="340">
        <f t="shared" si="168"/>
        <v>1.570783265680697</v>
      </c>
      <c r="K420" s="348">
        <f t="shared" si="184"/>
        <v>7.1280088567086066</v>
      </c>
      <c r="L420" s="349">
        <f t="shared" si="185"/>
        <v>1.4300403725941488</v>
      </c>
      <c r="M420" s="337">
        <f t="shared" si="169"/>
        <v>1.0006691262915355</v>
      </c>
      <c r="N420" s="340">
        <f t="shared" si="170"/>
        <v>3.657193995739004E-2</v>
      </c>
      <c r="O420" s="341">
        <f t="shared" si="171"/>
        <v>0.99855388832270831</v>
      </c>
      <c r="P420" s="342">
        <f t="shared" si="172"/>
        <v>9.1830183982128596E-3</v>
      </c>
      <c r="Q420" s="343">
        <f t="shared" si="173"/>
        <v>3.2855868461409039</v>
      </c>
      <c r="R420" s="344">
        <f t="shared" si="174"/>
        <v>-87.99424042134676</v>
      </c>
      <c r="S420" s="346">
        <f t="shared" si="175"/>
        <v>92.00575957865324</v>
      </c>
      <c r="U420" s="319">
        <f t="shared" si="181"/>
        <v>1000000000</v>
      </c>
      <c r="V420" s="319">
        <f t="shared" si="182"/>
        <v>1640756289.0625</v>
      </c>
      <c r="X420" s="345">
        <f t="shared" si="176"/>
        <v>17.080383534241403</v>
      </c>
      <c r="Y420" s="346">
        <f t="shared" si="177"/>
        <v>-10.159391590093286</v>
      </c>
      <c r="AA420" s="345">
        <f t="shared" si="178"/>
        <v>22.215377275500966</v>
      </c>
      <c r="AB420" s="346">
        <f t="shared" si="179"/>
        <v>-77.834848831253467</v>
      </c>
      <c r="AD420">
        <f t="shared" si="183"/>
        <v>0</v>
      </c>
      <c r="AE420">
        <f t="shared" si="186"/>
        <v>0</v>
      </c>
    </row>
    <row r="421" spans="1:31" x14ac:dyDescent="0.2">
      <c r="A421" s="347">
        <v>40738</v>
      </c>
      <c r="B421" s="364">
        <f t="shared" si="180"/>
        <v>40.738</v>
      </c>
      <c r="C421" s="337">
        <f t="shared" si="161"/>
        <v>4.6256693887178502</v>
      </c>
      <c r="D421" s="338">
        <f t="shared" si="162"/>
        <v>1.3528910331752169</v>
      </c>
      <c r="E421" s="338">
        <f t="shared" si="163"/>
        <v>1.0000028945711312</v>
      </c>
      <c r="F421" s="339">
        <f t="shared" si="164"/>
        <v>2.4060607428542974E-3</v>
      </c>
      <c r="G421" s="338">
        <f t="shared" si="165"/>
        <v>1</v>
      </c>
      <c r="H421" s="339">
        <f t="shared" si="166"/>
        <v>0</v>
      </c>
      <c r="I421" s="337">
        <f t="shared" si="167"/>
        <v>77001.190247002844</v>
      </c>
      <c r="J421" s="340">
        <f t="shared" si="168"/>
        <v>1.5707833399826563</v>
      </c>
      <c r="K421" s="348">
        <f t="shared" si="184"/>
        <v>7.167990196263351</v>
      </c>
      <c r="L421" s="349">
        <f t="shared" si="185"/>
        <v>1.4308306578730257</v>
      </c>
      <c r="M421" s="337">
        <f t="shared" si="169"/>
        <v>1.0006768021949612</v>
      </c>
      <c r="N421" s="340">
        <f t="shared" si="170"/>
        <v>3.6780992308852858E-2</v>
      </c>
      <c r="O421" s="341">
        <f t="shared" si="171"/>
        <v>0.99853729431298455</v>
      </c>
      <c r="P421" s="342">
        <f t="shared" si="172"/>
        <v>9.2357125356655866E-3</v>
      </c>
      <c r="Q421" s="343">
        <f t="shared" si="173"/>
        <v>3.2374702440345926</v>
      </c>
      <c r="R421" s="344">
        <f t="shared" si="174"/>
        <v>-88.032350307915323</v>
      </c>
      <c r="S421" s="346">
        <f t="shared" si="175"/>
        <v>91.967649692084677</v>
      </c>
      <c r="U421" s="319">
        <f t="shared" si="181"/>
        <v>1000000000</v>
      </c>
      <c r="V421" s="319">
        <f t="shared" si="182"/>
        <v>1659584644</v>
      </c>
      <c r="X421" s="345">
        <f t="shared" si="176"/>
        <v>17.079347046450017</v>
      </c>
      <c r="Y421" s="346">
        <f t="shared" si="177"/>
        <v>-10.126093653589058</v>
      </c>
      <c r="AA421" s="345">
        <f t="shared" si="178"/>
        <v>22.16829716118604</v>
      </c>
      <c r="AB421" s="346">
        <f t="shared" si="179"/>
        <v>-77.906256654326299</v>
      </c>
      <c r="AD421">
        <f t="shared" si="183"/>
        <v>0</v>
      </c>
      <c r="AE421">
        <f t="shared" si="186"/>
        <v>0</v>
      </c>
    </row>
    <row r="422" spans="1:31" x14ac:dyDescent="0.2">
      <c r="A422" s="347">
        <v>40975.25</v>
      </c>
      <c r="B422" s="364">
        <f t="shared" si="180"/>
        <v>40.975250000000003</v>
      </c>
      <c r="C422" s="337">
        <f t="shared" si="161"/>
        <v>4.6513528236770645</v>
      </c>
      <c r="D422" s="338">
        <f t="shared" si="162"/>
        <v>1.3541134911988735</v>
      </c>
      <c r="E422" s="338">
        <f t="shared" si="163"/>
        <v>1.0000029283840677</v>
      </c>
      <c r="F422" s="339">
        <f t="shared" si="164"/>
        <v>2.4200731069580635E-3</v>
      </c>
      <c r="G422" s="338">
        <f t="shared" si="165"/>
        <v>1</v>
      </c>
      <c r="H422" s="339">
        <f t="shared" si="166"/>
        <v>0</v>
      </c>
      <c r="I422" s="337">
        <f t="shared" si="167"/>
        <v>77449.629845977484</v>
      </c>
      <c r="J422" s="340">
        <f t="shared" si="168"/>
        <v>1.5707834151773457</v>
      </c>
      <c r="K422" s="348">
        <f t="shared" si="184"/>
        <v>7.2089249771242629</v>
      </c>
      <c r="L422" s="349">
        <f t="shared" si="185"/>
        <v>1.4316306175499431</v>
      </c>
      <c r="M422" s="337">
        <f t="shared" si="169"/>
        <v>1.0006847055674315</v>
      </c>
      <c r="N422" s="340">
        <f t="shared" si="170"/>
        <v>3.6995002657223122E-2</v>
      </c>
      <c r="O422" s="341">
        <f t="shared" si="171"/>
        <v>0.99852020843756473</v>
      </c>
      <c r="P422" s="342">
        <f t="shared" si="172"/>
        <v>9.2896599882033061E-3</v>
      </c>
      <c r="Q422" s="343">
        <f t="shared" si="173"/>
        <v>3.188480570621369</v>
      </c>
      <c r="R422" s="344">
        <f t="shared" si="174"/>
        <v>-88.071111990172852</v>
      </c>
      <c r="S422" s="346">
        <f t="shared" si="175"/>
        <v>91.928888009827148</v>
      </c>
      <c r="U422" s="319">
        <f t="shared" si="181"/>
        <v>1000000000</v>
      </c>
      <c r="V422" s="319">
        <f t="shared" si="182"/>
        <v>1678971112.5625</v>
      </c>
      <c r="X422" s="345">
        <f t="shared" si="176"/>
        <v>17.078302346510039</v>
      </c>
      <c r="Y422" s="346">
        <f t="shared" si="177"/>
        <v>-10.092525538354767</v>
      </c>
      <c r="AA422" s="345">
        <f t="shared" si="178"/>
        <v>22.1203521877128</v>
      </c>
      <c r="AB422" s="346">
        <f t="shared" si="179"/>
        <v>-77.978586451818103</v>
      </c>
      <c r="AD422">
        <f t="shared" si="183"/>
        <v>0</v>
      </c>
      <c r="AE422">
        <f t="shared" si="186"/>
        <v>0</v>
      </c>
    </row>
    <row r="423" spans="1:31" x14ac:dyDescent="0.2">
      <c r="A423" s="347">
        <v>41212.5</v>
      </c>
      <c r="B423" s="364">
        <f t="shared" si="180"/>
        <v>41.212499999999999</v>
      </c>
      <c r="C423" s="337">
        <f t="shared" si="161"/>
        <v>4.6770431332875635</v>
      </c>
      <c r="D423" s="338">
        <f t="shared" si="162"/>
        <v>1.3553225214487772</v>
      </c>
      <c r="E423" s="338">
        <f t="shared" si="163"/>
        <v>1.0000029623933511</v>
      </c>
      <c r="F423" s="339">
        <f t="shared" si="164"/>
        <v>2.4340854701114835E-3</v>
      </c>
      <c r="G423" s="338">
        <f t="shared" si="165"/>
        <v>1</v>
      </c>
      <c r="H423" s="339">
        <f t="shared" si="166"/>
        <v>0</v>
      </c>
      <c r="I423" s="337">
        <f t="shared" si="167"/>
        <v>77898.069444952576</v>
      </c>
      <c r="J423" s="340">
        <f t="shared" si="168"/>
        <v>1.5707834895062815</v>
      </c>
      <c r="K423" s="348">
        <f t="shared" si="184"/>
        <v>7.2498643191349741</v>
      </c>
      <c r="L423" s="349">
        <f t="shared" si="185"/>
        <v>1.4324215431252922</v>
      </c>
      <c r="M423" s="337">
        <f t="shared" si="169"/>
        <v>1.0006926547709658</v>
      </c>
      <c r="N423" s="340">
        <f t="shared" si="170"/>
        <v>3.7209009615326305E-2</v>
      </c>
      <c r="O423" s="341">
        <f t="shared" si="171"/>
        <v>0.99850302336376562</v>
      </c>
      <c r="P423" s="342">
        <f t="shared" si="172"/>
        <v>9.3436102423091645E-3</v>
      </c>
      <c r="Q423" s="343">
        <f t="shared" si="173"/>
        <v>3.1397600259101206</v>
      </c>
      <c r="R423" s="344">
        <f t="shared" si="174"/>
        <v>-88.109621850277833</v>
      </c>
      <c r="S423" s="346">
        <f t="shared" si="175"/>
        <v>91.890378149722167</v>
      </c>
      <c r="U423" s="319">
        <f t="shared" si="181"/>
        <v>1000000000</v>
      </c>
      <c r="V423" s="319">
        <f t="shared" si="182"/>
        <v>1698470156.25</v>
      </c>
      <c r="X423" s="345">
        <f t="shared" si="176"/>
        <v>17.077273844404839</v>
      </c>
      <c r="Y423" s="346">
        <f t="shared" si="177"/>
        <v>-10.059474795160606</v>
      </c>
      <c r="AA423" s="345">
        <f t="shared" si="178"/>
        <v>22.072660145106752</v>
      </c>
      <c r="AB423" s="346">
        <f t="shared" si="179"/>
        <v>-78.050147055117236</v>
      </c>
      <c r="AD423">
        <f t="shared" si="183"/>
        <v>0</v>
      </c>
      <c r="AE423">
        <f t="shared" si="186"/>
        <v>0</v>
      </c>
    </row>
    <row r="424" spans="1:31" x14ac:dyDescent="0.2">
      <c r="A424" s="347">
        <v>41449.75</v>
      </c>
      <c r="B424" s="364">
        <f t="shared" si="180"/>
        <v>41.449750000000002</v>
      </c>
      <c r="C424" s="337">
        <f t="shared" si="161"/>
        <v>4.7027402048840239</v>
      </c>
      <c r="D424" s="338">
        <f t="shared" si="162"/>
        <v>1.3565183404802394</v>
      </c>
      <c r="E424" s="338">
        <f t="shared" si="163"/>
        <v>1.0000029965989812</v>
      </c>
      <c r="F424" s="339">
        <f t="shared" si="164"/>
        <v>2.4480978323090535E-3</v>
      </c>
      <c r="G424" s="338">
        <f t="shared" si="165"/>
        <v>1</v>
      </c>
      <c r="H424" s="339">
        <f t="shared" si="166"/>
        <v>0</v>
      </c>
      <c r="I424" s="337">
        <f t="shared" si="167"/>
        <v>78346.509043928076</v>
      </c>
      <c r="J424" s="340">
        <f t="shared" si="168"/>
        <v>1.5707835629843296</v>
      </c>
      <c r="K424" s="348">
        <f t="shared" si="184"/>
        <v>7.2908081454601881</v>
      </c>
      <c r="L424" s="349">
        <f t="shared" si="185"/>
        <v>1.4332035858026124</v>
      </c>
      <c r="M424" s="337">
        <f t="shared" si="169"/>
        <v>1.0007006498044715</v>
      </c>
      <c r="N424" s="340">
        <f t="shared" si="170"/>
        <v>3.7423013163640835E-2</v>
      </c>
      <c r="O424" s="341">
        <f t="shared" si="171"/>
        <v>0.9984857390918912</v>
      </c>
      <c r="P424" s="342">
        <f t="shared" si="172"/>
        <v>9.3975633143645095E-3</v>
      </c>
      <c r="Q424" s="343">
        <f t="shared" si="173"/>
        <v>3.091305753749849</v>
      </c>
      <c r="R424" s="344">
        <f t="shared" si="174"/>
        <v>-88.147883633283072</v>
      </c>
      <c r="S424" s="346">
        <f t="shared" si="175"/>
        <v>91.852116366716928</v>
      </c>
      <c r="U424" s="319">
        <f t="shared" si="181"/>
        <v>1000000000</v>
      </c>
      <c r="V424" s="319">
        <f t="shared" si="182"/>
        <v>1718081775.0625</v>
      </c>
      <c r="X424" s="345">
        <f t="shared" si="176"/>
        <v>17.07626116725239</v>
      </c>
      <c r="Y424" s="346">
        <f t="shared" si="177"/>
        <v>-10.02693276041515</v>
      </c>
      <c r="AA424" s="345">
        <f t="shared" si="178"/>
        <v>22.025218550098927</v>
      </c>
      <c r="AB424" s="346">
        <f t="shared" si="179"/>
        <v>-78.120950872867951</v>
      </c>
      <c r="AD424">
        <f t="shared" si="183"/>
        <v>0</v>
      </c>
      <c r="AE424">
        <f t="shared" si="186"/>
        <v>0</v>
      </c>
    </row>
    <row r="425" spans="1:31" x14ac:dyDescent="0.2">
      <c r="A425" s="347">
        <v>41687</v>
      </c>
      <c r="B425" s="364">
        <f t="shared" si="180"/>
        <v>41.686999999999998</v>
      </c>
      <c r="C425" s="337">
        <f t="shared" si="161"/>
        <v>4.728443928220937</v>
      </c>
      <c r="D425" s="338">
        <f t="shared" si="162"/>
        <v>1.3577011602928111</v>
      </c>
      <c r="E425" s="338">
        <f t="shared" si="163"/>
        <v>1.0000030310009584</v>
      </c>
      <c r="F425" s="339">
        <f t="shared" si="164"/>
        <v>2.4621101935452718E-3</v>
      </c>
      <c r="G425" s="338">
        <f t="shared" si="165"/>
        <v>1</v>
      </c>
      <c r="H425" s="339">
        <f t="shared" si="166"/>
        <v>0</v>
      </c>
      <c r="I425" s="337">
        <f t="shared" si="167"/>
        <v>78794.948642903997</v>
      </c>
      <c r="J425" s="340">
        <f t="shared" si="168"/>
        <v>1.5707836356260179</v>
      </c>
      <c r="K425" s="348">
        <f t="shared" si="184"/>
        <v>7.3317563809726147</v>
      </c>
      <c r="L425" s="349">
        <f t="shared" si="185"/>
        <v>1.4339768934515436</v>
      </c>
      <c r="M425" s="337">
        <f t="shared" si="169"/>
        <v>1.0007086906668505</v>
      </c>
      <c r="N425" s="340">
        <f t="shared" si="170"/>
        <v>3.7637013282647014E-2</v>
      </c>
      <c r="O425" s="341">
        <f t="shared" si="171"/>
        <v>0.99846835562224723</v>
      </c>
      <c r="P425" s="342">
        <f t="shared" si="172"/>
        <v>9.4515192207534661E-3</v>
      </c>
      <c r="Q425" s="343">
        <f t="shared" si="173"/>
        <v>3.0431149423070143</v>
      </c>
      <c r="R425" s="344">
        <f t="shared" si="174"/>
        <v>-88.185901014214949</v>
      </c>
      <c r="S425" s="346">
        <f t="shared" si="175"/>
        <v>91.814098985785051</v>
      </c>
      <c r="U425" s="319">
        <f t="shared" si="181"/>
        <v>1000000000</v>
      </c>
      <c r="V425" s="319">
        <f t="shared" si="182"/>
        <v>1737805969</v>
      </c>
      <c r="X425" s="345">
        <f t="shared" si="176"/>
        <v>17.075263952554167</v>
      </c>
      <c r="Y425" s="346">
        <f t="shared" si="177"/>
        <v>-9.9948909615260959</v>
      </c>
      <c r="AA425" s="345">
        <f t="shared" si="178"/>
        <v>21.978024953354311</v>
      </c>
      <c r="AB425" s="346">
        <f t="shared" si="179"/>
        <v>-78.191010052688853</v>
      </c>
      <c r="AD425">
        <f t="shared" si="183"/>
        <v>0</v>
      </c>
      <c r="AE425">
        <f t="shared" si="186"/>
        <v>0</v>
      </c>
    </row>
    <row r="426" spans="1:31" x14ac:dyDescent="0.2">
      <c r="A426" s="347">
        <v>41929.75</v>
      </c>
      <c r="B426" s="364">
        <f t="shared" si="180"/>
        <v>41.929749999999999</v>
      </c>
      <c r="C426" s="337">
        <f t="shared" si="161"/>
        <v>4.754750295222804</v>
      </c>
      <c r="D426" s="338">
        <f t="shared" si="162"/>
        <v>1.3588981623143361</v>
      </c>
      <c r="E426" s="338">
        <f t="shared" si="163"/>
        <v>1.0000030664036796</v>
      </c>
      <c r="F426" s="339">
        <f t="shared" si="164"/>
        <v>2.4764473925027318E-3</v>
      </c>
      <c r="G426" s="338">
        <f t="shared" si="165"/>
        <v>1</v>
      </c>
      <c r="H426" s="339">
        <f t="shared" si="166"/>
        <v>0</v>
      </c>
      <c r="I426" s="337">
        <f t="shared" si="167"/>
        <v>79253.784101919824</v>
      </c>
      <c r="J426" s="340">
        <f t="shared" si="168"/>
        <v>1.5707837091008476</v>
      </c>
      <c r="K426" s="348">
        <f t="shared" si="184"/>
        <v>7.3736583777248468</v>
      </c>
      <c r="L426" s="349">
        <f t="shared" si="185"/>
        <v>1.4347592378577045</v>
      </c>
      <c r="M426" s="337">
        <f t="shared" si="169"/>
        <v>1.0007169653685539</v>
      </c>
      <c r="N426" s="340">
        <f t="shared" si="170"/>
        <v>3.7855970846166605E-2</v>
      </c>
      <c r="O426" s="341">
        <f t="shared" si="171"/>
        <v>0.99845046649029212</v>
      </c>
      <c r="P426" s="342">
        <f t="shared" si="172"/>
        <v>9.5067288997446129E-3</v>
      </c>
      <c r="Q426" s="343">
        <f t="shared" si="173"/>
        <v>2.9940767627958724</v>
      </c>
      <c r="R426" s="344">
        <f t="shared" si="174"/>
        <v>-88.224550520246396</v>
      </c>
      <c r="S426" s="346">
        <f t="shared" si="175"/>
        <v>91.775449479753604</v>
      </c>
      <c r="U426" s="319">
        <f t="shared" si="181"/>
        <v>1000000000</v>
      </c>
      <c r="V426" s="319">
        <f t="shared" si="182"/>
        <v>1758103935.0625</v>
      </c>
      <c r="X426" s="345">
        <f t="shared" si="176"/>
        <v>17.074259256850571</v>
      </c>
      <c r="Y426" s="346">
        <f t="shared" si="177"/>
        <v>-9.9626154829703122</v>
      </c>
      <c r="AA426" s="345">
        <f t="shared" si="178"/>
        <v>21.929991469546771</v>
      </c>
      <c r="AB426" s="346">
        <f t="shared" si="179"/>
        <v>-78.261935037276075</v>
      </c>
      <c r="AD426">
        <f t="shared" si="183"/>
        <v>0</v>
      </c>
      <c r="AE426">
        <f t="shared" si="186"/>
        <v>0</v>
      </c>
    </row>
    <row r="427" spans="1:31" x14ac:dyDescent="0.2">
      <c r="A427" s="347">
        <v>42172.5</v>
      </c>
      <c r="B427" s="364">
        <f t="shared" si="180"/>
        <v>42.172499999999999</v>
      </c>
      <c r="C427" s="337">
        <f t="shared" si="161"/>
        <v>4.7810633999216741</v>
      </c>
      <c r="D427" s="338">
        <f t="shared" si="162"/>
        <v>1.3600819903537746</v>
      </c>
      <c r="E427" s="338">
        <f t="shared" si="163"/>
        <v>1.0000031020119566</v>
      </c>
      <c r="F427" s="339">
        <f t="shared" si="164"/>
        <v>2.4907845904420952E-3</v>
      </c>
      <c r="G427" s="338">
        <f t="shared" si="165"/>
        <v>1</v>
      </c>
      <c r="H427" s="339">
        <f t="shared" si="166"/>
        <v>0</v>
      </c>
      <c r="I427" s="337">
        <f t="shared" si="167"/>
        <v>79712.619560936088</v>
      </c>
      <c r="J427" s="340">
        <f t="shared" si="168"/>
        <v>1.5707837817298174</v>
      </c>
      <c r="K427" s="348">
        <f t="shared" si="184"/>
        <v>7.4155648366138083</v>
      </c>
      <c r="L427" s="349">
        <f t="shared" si="185"/>
        <v>1.4355327404438485</v>
      </c>
      <c r="M427" s="337">
        <f t="shared" si="169"/>
        <v>1.0007252880462503</v>
      </c>
      <c r="N427" s="340">
        <f t="shared" si="170"/>
        <v>3.8074924778198259E-2</v>
      </c>
      <c r="O427" s="341">
        <f t="shared" si="171"/>
        <v>0.99843247350864583</v>
      </c>
      <c r="P427" s="342">
        <f t="shared" si="172"/>
        <v>9.5619415807171107E-3</v>
      </c>
      <c r="Q427" s="343">
        <f t="shared" si="173"/>
        <v>2.9453085834121548</v>
      </c>
      <c r="R427" s="344">
        <f t="shared" si="174"/>
        <v>-88.262951727200857</v>
      </c>
      <c r="S427" s="346">
        <f t="shared" si="175"/>
        <v>91.737048272799143</v>
      </c>
      <c r="U427" s="319">
        <f t="shared" si="181"/>
        <v>1000000000</v>
      </c>
      <c r="V427" s="319">
        <f t="shared" si="182"/>
        <v>1778519756.25</v>
      </c>
      <c r="X427" s="345">
        <f t="shared" si="176"/>
        <v>17.073270012843373</v>
      </c>
      <c r="Y427" s="346">
        <f t="shared" si="177"/>
        <v>-9.9308463468521513</v>
      </c>
      <c r="AA427" s="345">
        <f t="shared" si="178"/>
        <v>21.882212534170247</v>
      </c>
      <c r="AB427" s="346">
        <f t="shared" si="179"/>
        <v>-78.332105380348693</v>
      </c>
      <c r="AD427">
        <f t="shared" si="183"/>
        <v>0</v>
      </c>
      <c r="AE427">
        <f t="shared" si="186"/>
        <v>0</v>
      </c>
    </row>
    <row r="428" spans="1:31" x14ac:dyDescent="0.2">
      <c r="A428" s="347">
        <v>42415.25</v>
      </c>
      <c r="B428" s="364">
        <f t="shared" si="180"/>
        <v>42.41525</v>
      </c>
      <c r="C428" s="337">
        <f t="shared" si="161"/>
        <v>4.8073831316816413</v>
      </c>
      <c r="D428" s="338">
        <f t="shared" si="162"/>
        <v>1.3612528574424176</v>
      </c>
      <c r="E428" s="338">
        <f t="shared" si="163"/>
        <v>1.0000031378257896</v>
      </c>
      <c r="F428" s="339">
        <f t="shared" si="164"/>
        <v>2.5051217873574695E-3</v>
      </c>
      <c r="G428" s="338">
        <f t="shared" si="165"/>
        <v>1</v>
      </c>
      <c r="H428" s="339">
        <f t="shared" si="166"/>
        <v>0</v>
      </c>
      <c r="I428" s="337">
        <f t="shared" si="167"/>
        <v>80171.455019952758</v>
      </c>
      <c r="J428" s="340">
        <f t="shared" si="168"/>
        <v>1.5707838535274503</v>
      </c>
      <c r="K428" s="348">
        <f t="shared" si="184"/>
        <v>7.4574756824160531</v>
      </c>
      <c r="L428" s="349">
        <f t="shared" si="185"/>
        <v>1.4362975493489913</v>
      </c>
      <c r="M428" s="337">
        <f t="shared" si="169"/>
        <v>1.0007336586987425</v>
      </c>
      <c r="N428" s="340">
        <f t="shared" si="170"/>
        <v>3.8293875057839183E-2</v>
      </c>
      <c r="O428" s="341">
        <f t="shared" si="171"/>
        <v>0.99841437667764188</v>
      </c>
      <c r="P428" s="342">
        <f t="shared" si="172"/>
        <v>9.6171572812303267E-3</v>
      </c>
      <c r="Q428" s="343">
        <f t="shared" si="173"/>
        <v>2.8968075304895384</v>
      </c>
      <c r="R428" s="344">
        <f t="shared" si="174"/>
        <v>-88.30110835377269</v>
      </c>
      <c r="S428" s="346">
        <f t="shared" si="175"/>
        <v>91.69889164622731</v>
      </c>
      <c r="U428" s="319">
        <f t="shared" si="181"/>
        <v>1000000000</v>
      </c>
      <c r="V428" s="319">
        <f t="shared" si="182"/>
        <v>1799053432.5625</v>
      </c>
      <c r="X428" s="345">
        <f t="shared" si="176"/>
        <v>17.072295863789101</v>
      </c>
      <c r="Y428" s="346">
        <f t="shared" si="177"/>
        <v>-9.8995750650656973</v>
      </c>
      <c r="AA428" s="345">
        <f t="shared" si="178"/>
        <v>21.834685630301905</v>
      </c>
      <c r="AB428" s="346">
        <f t="shared" si="179"/>
        <v>-78.401533288707</v>
      </c>
      <c r="AD428">
        <f t="shared" si="183"/>
        <v>0</v>
      </c>
      <c r="AE428">
        <f t="shared" si="186"/>
        <v>0</v>
      </c>
    </row>
    <row r="429" spans="1:31" x14ac:dyDescent="0.2">
      <c r="A429" s="347">
        <v>42658</v>
      </c>
      <c r="B429" s="364">
        <f t="shared" si="180"/>
        <v>42.658000000000001</v>
      </c>
      <c r="C429" s="337">
        <f t="shared" si="161"/>
        <v>4.8337093822489061</v>
      </c>
      <c r="D429" s="338">
        <f t="shared" si="162"/>
        <v>1.3624109721144602</v>
      </c>
      <c r="E429" s="338">
        <f t="shared" si="163"/>
        <v>1.0000031738451785</v>
      </c>
      <c r="F429" s="339">
        <f t="shared" si="164"/>
        <v>2.5194589832429597E-3</v>
      </c>
      <c r="G429" s="338">
        <f t="shared" si="165"/>
        <v>1</v>
      </c>
      <c r="H429" s="339">
        <f t="shared" si="166"/>
        <v>0</v>
      </c>
      <c r="I429" s="337">
        <f t="shared" si="167"/>
        <v>80630.290478969837</v>
      </c>
      <c r="J429" s="340">
        <f t="shared" si="168"/>
        <v>1.5707839245079387</v>
      </c>
      <c r="K429" s="348">
        <f t="shared" si="184"/>
        <v>7.4993908415819073</v>
      </c>
      <c r="L429" s="349">
        <f t="shared" si="185"/>
        <v>1.4370538094414738</v>
      </c>
      <c r="M429" s="337">
        <f t="shared" si="169"/>
        <v>1.0007420773248268</v>
      </c>
      <c r="N429" s="340">
        <f t="shared" si="170"/>
        <v>3.8512821664188672E-2</v>
      </c>
      <c r="O429" s="341">
        <f t="shared" si="171"/>
        <v>0.99839617599761532</v>
      </c>
      <c r="P429" s="342">
        <f t="shared" si="172"/>
        <v>9.6723760188467539E-3</v>
      </c>
      <c r="Q429" s="343">
        <f t="shared" si="173"/>
        <v>2.8485707751122904</v>
      </c>
      <c r="R429" s="344">
        <f t="shared" si="174"/>
        <v>-88.339024048368955</v>
      </c>
      <c r="S429" s="346">
        <f t="shared" si="175"/>
        <v>91.660975951631045</v>
      </c>
      <c r="U429" s="319">
        <f t="shared" si="181"/>
        <v>1000000000</v>
      </c>
      <c r="V429" s="319">
        <f t="shared" si="182"/>
        <v>1819704964</v>
      </c>
      <c r="X429" s="345">
        <f t="shared" si="176"/>
        <v>17.071336462885714</v>
      </c>
      <c r="Y429" s="346">
        <f t="shared" si="177"/>
        <v>-9.8687933368820513</v>
      </c>
      <c r="AA429" s="345">
        <f t="shared" si="178"/>
        <v>21.787408275828039</v>
      </c>
      <c r="AB429" s="346">
        <f t="shared" si="179"/>
        <v>-78.470230711486892</v>
      </c>
      <c r="AD429">
        <f t="shared" si="183"/>
        <v>0</v>
      </c>
      <c r="AE429">
        <f t="shared" si="186"/>
        <v>0</v>
      </c>
    </row>
    <row r="430" spans="1:31" x14ac:dyDescent="0.2">
      <c r="A430" s="347">
        <v>42906.5</v>
      </c>
      <c r="B430" s="364">
        <f t="shared" si="180"/>
        <v>42.906500000000001</v>
      </c>
      <c r="C430" s="337">
        <f t="shared" si="161"/>
        <v>4.8606658622967576</v>
      </c>
      <c r="D430" s="338">
        <f t="shared" si="162"/>
        <v>1.3635835229718107</v>
      </c>
      <c r="E430" s="338">
        <f t="shared" si="163"/>
        <v>1.0000032109306727</v>
      </c>
      <c r="F430" s="339">
        <f t="shared" si="164"/>
        <v>2.5341357820775363E-3</v>
      </c>
      <c r="G430" s="338">
        <f t="shared" si="165"/>
        <v>1</v>
      </c>
      <c r="H430" s="339">
        <f t="shared" si="166"/>
        <v>0</v>
      </c>
      <c r="I430" s="337">
        <f t="shared" si="167"/>
        <v>81099.99433711957</v>
      </c>
      <c r="J430" s="340">
        <f t="shared" si="168"/>
        <v>1.5707839963378085</v>
      </c>
      <c r="K430" s="348">
        <f t="shared" si="184"/>
        <v>7.5423032345522394</v>
      </c>
      <c r="L430" s="349">
        <f t="shared" si="185"/>
        <v>1.4378192759536643</v>
      </c>
      <c r="M430" s="337">
        <f t="shared" si="169"/>
        <v>1.0007507450525461</v>
      </c>
      <c r="N430" s="340">
        <f t="shared" si="170"/>
        <v>3.8736950614787116E-2</v>
      </c>
      <c r="O430" s="341">
        <f t="shared" si="171"/>
        <v>0.99837743663192535</v>
      </c>
      <c r="P430" s="342">
        <f t="shared" si="172"/>
        <v>9.7289058825252815E-3</v>
      </c>
      <c r="Q430" s="343">
        <f t="shared" si="173"/>
        <v>2.7994622944991998</v>
      </c>
      <c r="R430" s="344">
        <f t="shared" si="174"/>
        <v>-88.377592025756144</v>
      </c>
      <c r="S430" s="346">
        <f t="shared" si="175"/>
        <v>91.622407974243856</v>
      </c>
      <c r="U430" s="319">
        <f t="shared" si="181"/>
        <v>1000000000</v>
      </c>
      <c r="V430" s="319">
        <f t="shared" si="182"/>
        <v>1840967742.25</v>
      </c>
      <c r="X430" s="345">
        <f t="shared" si="176"/>
        <v>17.070369261059774</v>
      </c>
      <c r="Y430" s="346">
        <f t="shared" si="177"/>
        <v>-9.8377810948238782</v>
      </c>
      <c r="AA430" s="345">
        <f t="shared" si="178"/>
        <v>21.739266997040893</v>
      </c>
      <c r="AB430" s="346">
        <f t="shared" si="179"/>
        <v>-78.539810930932262</v>
      </c>
      <c r="AD430">
        <f t="shared" si="183"/>
        <v>0</v>
      </c>
      <c r="AE430">
        <f t="shared" si="186"/>
        <v>0</v>
      </c>
    </row>
    <row r="431" spans="1:31" x14ac:dyDescent="0.2">
      <c r="A431" s="347">
        <v>43155</v>
      </c>
      <c r="B431" s="364">
        <f t="shared" si="180"/>
        <v>43.155000000000001</v>
      </c>
      <c r="C431" s="337">
        <f t="shared" si="161"/>
        <v>4.8876289514350582</v>
      </c>
      <c r="D431" s="338">
        <f t="shared" si="162"/>
        <v>1.3647431384230162</v>
      </c>
      <c r="E431" s="338">
        <f t="shared" si="163"/>
        <v>1.0000032482315759</v>
      </c>
      <c r="F431" s="339">
        <f t="shared" si="164"/>
        <v>2.5488125798203624E-3</v>
      </c>
      <c r="G431" s="338">
        <f t="shared" si="165"/>
        <v>1</v>
      </c>
      <c r="H431" s="339">
        <f t="shared" si="166"/>
        <v>0</v>
      </c>
      <c r="I431" s="337">
        <f t="shared" si="167"/>
        <v>81569.69819526971</v>
      </c>
      <c r="J431" s="340">
        <f t="shared" si="168"/>
        <v>1.5707840673404405</v>
      </c>
      <c r="K431" s="348">
        <f t="shared" si="184"/>
        <v>7.5852199968469831</v>
      </c>
      <c r="L431" s="349">
        <f t="shared" si="185"/>
        <v>1.4385760809693173</v>
      </c>
      <c r="M431" s="337">
        <f t="shared" si="169"/>
        <v>1.0007594630508923</v>
      </c>
      <c r="N431" s="340">
        <f t="shared" si="170"/>
        <v>3.8961075671698063E-2</v>
      </c>
      <c r="O431" s="341">
        <f t="shared" si="171"/>
        <v>0.99835858843993652</v>
      </c>
      <c r="P431" s="342">
        <f t="shared" si="172"/>
        <v>9.7854389661450394E-3</v>
      </c>
      <c r="Q431" s="343">
        <f t="shared" si="173"/>
        <v>2.7506249210291274</v>
      </c>
      <c r="R431" s="344">
        <f t="shared" si="174"/>
        <v>-88.415915040223041</v>
      </c>
      <c r="S431" s="346">
        <f t="shared" si="175"/>
        <v>91.584084959776959</v>
      </c>
      <c r="U431" s="319">
        <f t="shared" si="181"/>
        <v>1000000000</v>
      </c>
      <c r="V431" s="319">
        <f t="shared" si="182"/>
        <v>1862354025</v>
      </c>
      <c r="X431" s="345">
        <f t="shared" si="176"/>
        <v>17.06941680938364</v>
      </c>
      <c r="Y431" s="346">
        <f t="shared" si="177"/>
        <v>-9.807264849473027</v>
      </c>
      <c r="AA431" s="345">
        <f t="shared" si="178"/>
        <v>21.691382075246956</v>
      </c>
      <c r="AB431" s="346">
        <f t="shared" si="179"/>
        <v>-78.608650190750012</v>
      </c>
      <c r="AD431">
        <f t="shared" si="183"/>
        <v>0</v>
      </c>
      <c r="AE431">
        <f t="shared" si="186"/>
        <v>0</v>
      </c>
    </row>
    <row r="432" spans="1:31" x14ac:dyDescent="0.2">
      <c r="A432" s="347">
        <v>43403.5</v>
      </c>
      <c r="B432" s="364">
        <f t="shared" si="180"/>
        <v>43.403500000000001</v>
      </c>
      <c r="C432" s="337">
        <f t="shared" si="161"/>
        <v>4.914598540884934</v>
      </c>
      <c r="D432" s="338">
        <f t="shared" si="162"/>
        <v>1.3658900282783322</v>
      </c>
      <c r="E432" s="338">
        <f t="shared" si="163"/>
        <v>1.0000032857478884</v>
      </c>
      <c r="F432" s="339">
        <f t="shared" si="164"/>
        <v>2.5634893764651147E-3</v>
      </c>
      <c r="G432" s="338">
        <f t="shared" si="165"/>
        <v>1</v>
      </c>
      <c r="H432" s="339">
        <f t="shared" si="166"/>
        <v>0</v>
      </c>
      <c r="I432" s="337">
        <f t="shared" si="167"/>
        <v>82039.402053420257</v>
      </c>
      <c r="J432" s="340">
        <f t="shared" si="168"/>
        <v>1.5707841375300435</v>
      </c>
      <c r="K432" s="348">
        <f t="shared" si="184"/>
        <v>7.6281410547192383</v>
      </c>
      <c r="L432" s="349">
        <f t="shared" si="185"/>
        <v>1.4393243698203422</v>
      </c>
      <c r="M432" s="337">
        <f t="shared" si="169"/>
        <v>1.0007682313185515</v>
      </c>
      <c r="N432" s="340">
        <f t="shared" si="170"/>
        <v>3.9185196812507053E-2</v>
      </c>
      <c r="O432" s="341">
        <f t="shared" si="171"/>
        <v>0.99833963142201521</v>
      </c>
      <c r="P432" s="342">
        <f t="shared" si="172"/>
        <v>9.8419752885566102E-3</v>
      </c>
      <c r="Q432" s="343">
        <f t="shared" si="173"/>
        <v>2.7020557598216728</v>
      </c>
      <c r="R432" s="344">
        <f t="shared" si="174"/>
        <v>-88.453996786717013</v>
      </c>
      <c r="S432" s="346">
        <f t="shared" si="175"/>
        <v>91.546003213282987</v>
      </c>
      <c r="U432" s="319">
        <f t="shared" si="181"/>
        <v>1000000000</v>
      </c>
      <c r="V432" s="319">
        <f t="shared" si="182"/>
        <v>1883863812.25</v>
      </c>
      <c r="X432" s="345">
        <f t="shared" si="176"/>
        <v>17.068478766084233</v>
      </c>
      <c r="Y432" s="346">
        <f t="shared" si="177"/>
        <v>-9.7772362734543243</v>
      </c>
      <c r="AA432" s="345">
        <f t="shared" si="178"/>
        <v>21.643750957338902</v>
      </c>
      <c r="AB432" s="346">
        <f t="shared" si="179"/>
        <v>-78.676760513262664</v>
      </c>
      <c r="AD432">
        <f t="shared" si="183"/>
        <v>0</v>
      </c>
      <c r="AE432">
        <f t="shared" si="186"/>
        <v>0</v>
      </c>
    </row>
    <row r="433" spans="1:31" x14ac:dyDescent="0.2">
      <c r="A433" s="347">
        <v>43652</v>
      </c>
      <c r="B433" s="364">
        <f t="shared" si="180"/>
        <v>43.652000000000001</v>
      </c>
      <c r="C433" s="337">
        <f t="shared" si="161"/>
        <v>4.9415745242163025</v>
      </c>
      <c r="D433" s="338">
        <f t="shared" si="162"/>
        <v>1.3670243979021828</v>
      </c>
      <c r="E433" s="338">
        <f t="shared" si="163"/>
        <v>1.0000033234796097</v>
      </c>
      <c r="F433" s="339">
        <f t="shared" si="164"/>
        <v>2.5781661720054709E-3</v>
      </c>
      <c r="G433" s="338">
        <f t="shared" si="165"/>
        <v>1</v>
      </c>
      <c r="H433" s="339">
        <f t="shared" si="166"/>
        <v>0</v>
      </c>
      <c r="I433" s="337">
        <f t="shared" si="167"/>
        <v>82509.105911571198</v>
      </c>
      <c r="J433" s="340">
        <f t="shared" si="168"/>
        <v>1.5707842069205025</v>
      </c>
      <c r="K433" s="348">
        <f t="shared" si="184"/>
        <v>7.671066336065314</v>
      </c>
      <c r="L433" s="349">
        <f t="shared" si="185"/>
        <v>1.4400642846243292</v>
      </c>
      <c r="M433" s="337">
        <f t="shared" si="169"/>
        <v>1.0007770498542028</v>
      </c>
      <c r="N433" s="340">
        <f t="shared" si="170"/>
        <v>3.940931401480198E-2</v>
      </c>
      <c r="O433" s="341">
        <f t="shared" si="171"/>
        <v>0.99832056557852911</v>
      </c>
      <c r="P433" s="342">
        <f t="shared" si="172"/>
        <v>9.8985148686140789E-3</v>
      </c>
      <c r="Q433" s="343">
        <f t="shared" si="173"/>
        <v>2.6537519612581373</v>
      </c>
      <c r="R433" s="344">
        <f t="shared" si="174"/>
        <v>-88.491840889606749</v>
      </c>
      <c r="S433" s="346">
        <f t="shared" si="175"/>
        <v>91.508159110393251</v>
      </c>
      <c r="U433" s="319">
        <f t="shared" si="181"/>
        <v>1000000000</v>
      </c>
      <c r="V433" s="319">
        <f t="shared" si="182"/>
        <v>1905497104</v>
      </c>
      <c r="X433" s="345">
        <f t="shared" si="176"/>
        <v>17.067554798924064</v>
      </c>
      <c r="Y433" s="346">
        <f t="shared" si="177"/>
        <v>-9.747687223541071</v>
      </c>
      <c r="AA433" s="345">
        <f t="shared" si="178"/>
        <v>21.596371125935544</v>
      </c>
      <c r="AB433" s="346">
        <f t="shared" si="179"/>
        <v>-78.744153666065657</v>
      </c>
      <c r="AD433">
        <f t="shared" si="183"/>
        <v>0</v>
      </c>
      <c r="AE433">
        <f t="shared" si="186"/>
        <v>0</v>
      </c>
    </row>
    <row r="434" spans="1:31" x14ac:dyDescent="0.2">
      <c r="A434" s="347">
        <v>43906</v>
      </c>
      <c r="B434" s="364">
        <f t="shared" si="180"/>
        <v>43.905999999999999</v>
      </c>
      <c r="C434" s="337">
        <f t="shared" si="161"/>
        <v>4.9691540608161739</v>
      </c>
      <c r="D434" s="338">
        <f t="shared" si="162"/>
        <v>1.368171144604353</v>
      </c>
      <c r="E434" s="338">
        <f t="shared" si="163"/>
        <v>1.000003362269053</v>
      </c>
      <c r="F434" s="339">
        <f t="shared" si="164"/>
        <v>2.5931678049309985E-3</v>
      </c>
      <c r="G434" s="338">
        <f t="shared" si="165"/>
        <v>1</v>
      </c>
      <c r="H434" s="339">
        <f t="shared" si="166"/>
        <v>0</v>
      </c>
      <c r="I434" s="337">
        <f t="shared" si="167"/>
        <v>82989.205629762117</v>
      </c>
      <c r="J434" s="340">
        <f t="shared" si="168"/>
        <v>1.570784277035022</v>
      </c>
      <c r="K434" s="348">
        <f t="shared" si="184"/>
        <v>7.7149459652720278</v>
      </c>
      <c r="L434" s="349">
        <f t="shared" si="185"/>
        <v>1.440812066384249</v>
      </c>
      <c r="M434" s="337">
        <f t="shared" si="169"/>
        <v>1.000786115516489</v>
      </c>
      <c r="N434" s="340">
        <f t="shared" si="170"/>
        <v>3.9638387464026065E-2</v>
      </c>
      <c r="O434" s="341">
        <f t="shared" si="171"/>
        <v>0.99830096528984935</v>
      </c>
      <c r="P434" s="342">
        <f t="shared" si="172"/>
        <v>9.956309213934143E-3</v>
      </c>
      <c r="Q434" s="343">
        <f t="shared" si="173"/>
        <v>2.6046503817671423</v>
      </c>
      <c r="R434" s="344">
        <f t="shared" si="174"/>
        <v>-88.530280697934529</v>
      </c>
      <c r="S434" s="346">
        <f t="shared" si="175"/>
        <v>91.469719302065471</v>
      </c>
      <c r="U434" s="319">
        <f t="shared" si="181"/>
        <v>1000000000</v>
      </c>
      <c r="V434" s="319">
        <f t="shared" si="182"/>
        <v>1927736836</v>
      </c>
      <c r="X434" s="345">
        <f t="shared" si="176"/>
        <v>17.066624592457227</v>
      </c>
      <c r="Y434" s="346">
        <f t="shared" si="177"/>
        <v>-9.717971443771944</v>
      </c>
      <c r="AA434" s="345">
        <f t="shared" si="178"/>
        <v>21.548199752911383</v>
      </c>
      <c r="AB434" s="346">
        <f t="shared" si="179"/>
        <v>-78.812309254162557</v>
      </c>
      <c r="AD434">
        <f t="shared" si="183"/>
        <v>0</v>
      </c>
      <c r="AE434">
        <f t="shared" si="186"/>
        <v>0</v>
      </c>
    </row>
    <row r="435" spans="1:31" x14ac:dyDescent="0.2">
      <c r="A435" s="347">
        <v>44160</v>
      </c>
      <c r="B435" s="364">
        <f t="shared" si="180"/>
        <v>44.16</v>
      </c>
      <c r="C435" s="337">
        <f t="shared" si="161"/>
        <v>4.9967400598525149</v>
      </c>
      <c r="D435" s="338">
        <f t="shared" si="162"/>
        <v>1.369305230867401</v>
      </c>
      <c r="E435" s="338">
        <f t="shared" si="163"/>
        <v>1.0000034012835459</v>
      </c>
      <c r="F435" s="339">
        <f t="shared" si="164"/>
        <v>2.608169436689344E-3</v>
      </c>
      <c r="G435" s="338">
        <f t="shared" si="165"/>
        <v>1</v>
      </c>
      <c r="H435" s="339">
        <f t="shared" si="166"/>
        <v>0</v>
      </c>
      <c r="I435" s="337">
        <f t="shared" si="167"/>
        <v>83469.305347953414</v>
      </c>
      <c r="J435" s="340">
        <f t="shared" si="168"/>
        <v>1.5707843463429705</v>
      </c>
      <c r="K435" s="348">
        <f t="shared" si="184"/>
        <v>7.7588298597065561</v>
      </c>
      <c r="L435" s="349">
        <f t="shared" si="185"/>
        <v>1.4415513896555334</v>
      </c>
      <c r="M435" s="337">
        <f t="shared" si="169"/>
        <v>1.0007952336937185</v>
      </c>
      <c r="N435" s="340">
        <f t="shared" si="170"/>
        <v>3.9867456751125109E-2</v>
      </c>
      <c r="O435" s="341">
        <f t="shared" si="171"/>
        <v>0.9982812513058521</v>
      </c>
      <c r="P435" s="342">
        <f t="shared" si="172"/>
        <v>1.0014107002540646E-2</v>
      </c>
      <c r="Q435" s="343">
        <f t="shared" si="173"/>
        <v>2.555820161881285</v>
      </c>
      <c r="R435" s="344">
        <f t="shared" si="174"/>
        <v>-88.568479664900707</v>
      </c>
      <c r="S435" s="346">
        <f t="shared" si="175"/>
        <v>91.431520335099293</v>
      </c>
      <c r="U435" s="319">
        <f t="shared" si="181"/>
        <v>1000000000</v>
      </c>
      <c r="V435" s="319">
        <f t="shared" si="182"/>
        <v>1950105600</v>
      </c>
      <c r="X435" s="345">
        <f t="shared" si="176"/>
        <v>17.065708419349992</v>
      </c>
      <c r="Y435" s="346">
        <f t="shared" si="177"/>
        <v>-9.688740015017915</v>
      </c>
      <c r="AA435" s="345">
        <f t="shared" si="178"/>
        <v>21.500285706132761</v>
      </c>
      <c r="AB435" s="346">
        <f t="shared" si="179"/>
        <v>-78.879739649882794</v>
      </c>
      <c r="AD435">
        <f t="shared" si="183"/>
        <v>0</v>
      </c>
      <c r="AE435">
        <f t="shared" si="186"/>
        <v>0</v>
      </c>
    </row>
    <row r="436" spans="1:31" x14ac:dyDescent="0.2">
      <c r="A436" s="347">
        <v>44414</v>
      </c>
      <c r="B436" s="364">
        <f t="shared" si="180"/>
        <v>44.414000000000001</v>
      </c>
      <c r="C436" s="337">
        <f t="shared" si="161"/>
        <v>5.0243324148796837</v>
      </c>
      <c r="D436" s="338">
        <f t="shared" si="162"/>
        <v>1.3704268623335563</v>
      </c>
      <c r="E436" s="338">
        <f t="shared" si="163"/>
        <v>1.0000034405230884</v>
      </c>
      <c r="F436" s="339">
        <f t="shared" si="164"/>
        <v>2.6231710672737557E-3</v>
      </c>
      <c r="G436" s="338">
        <f t="shared" si="165"/>
        <v>1</v>
      </c>
      <c r="H436" s="339">
        <f t="shared" si="166"/>
        <v>0</v>
      </c>
      <c r="I436" s="337">
        <f t="shared" si="167"/>
        <v>83949.405066145118</v>
      </c>
      <c r="J436" s="340">
        <f t="shared" si="168"/>
        <v>1.5707844148581862</v>
      </c>
      <c r="K436" s="348">
        <f t="shared" si="184"/>
        <v>7.8027179474036652</v>
      </c>
      <c r="L436" s="349">
        <f t="shared" si="185"/>
        <v>1.4422823963528986</v>
      </c>
      <c r="M436" s="337">
        <f t="shared" si="169"/>
        <v>1.0008044043844559</v>
      </c>
      <c r="N436" s="340">
        <f t="shared" si="170"/>
        <v>4.0096521852173404E-2</v>
      </c>
      <c r="O436" s="341">
        <f t="shared" si="171"/>
        <v>0.99826142362693804</v>
      </c>
      <c r="P436" s="342">
        <f t="shared" si="172"/>
        <v>1.0071908254578984E-2</v>
      </c>
      <c r="Q436" s="343">
        <f t="shared" si="173"/>
        <v>2.5072583992371085</v>
      </c>
      <c r="R436" s="344">
        <f t="shared" si="174"/>
        <v>-88.606441442399628</v>
      </c>
      <c r="S436" s="346">
        <f t="shared" si="175"/>
        <v>91.393558557600372</v>
      </c>
      <c r="U436" s="319">
        <f t="shared" si="181"/>
        <v>1000000000</v>
      </c>
      <c r="V436" s="319">
        <f t="shared" si="182"/>
        <v>1972603396</v>
      </c>
      <c r="X436" s="345">
        <f t="shared" si="176"/>
        <v>17.064805953683305</v>
      </c>
      <c r="Y436" s="346">
        <f t="shared" si="177"/>
        <v>-9.6599848055867401</v>
      </c>
      <c r="AA436" s="345">
        <f t="shared" si="178"/>
        <v>21.452626409155265</v>
      </c>
      <c r="AB436" s="346">
        <f t="shared" si="179"/>
        <v>-78.946456636812883</v>
      </c>
      <c r="AD436">
        <f t="shared" si="183"/>
        <v>0</v>
      </c>
      <c r="AE436">
        <f t="shared" si="186"/>
        <v>0</v>
      </c>
    </row>
    <row r="437" spans="1:31" x14ac:dyDescent="0.2">
      <c r="A437" s="347">
        <v>44668</v>
      </c>
      <c r="B437" s="364">
        <f t="shared" si="180"/>
        <v>44.667999999999999</v>
      </c>
      <c r="C437" s="337">
        <f t="shared" si="161"/>
        <v>5.0519310217532922</v>
      </c>
      <c r="D437" s="338">
        <f t="shared" si="162"/>
        <v>1.3715362402782791</v>
      </c>
      <c r="E437" s="338">
        <f t="shared" si="163"/>
        <v>1.0000034799876807</v>
      </c>
      <c r="F437" s="339">
        <f t="shared" si="164"/>
        <v>2.6381726966774807E-3</v>
      </c>
      <c r="G437" s="338">
        <f t="shared" si="165"/>
        <v>1</v>
      </c>
      <c r="H437" s="339">
        <f t="shared" si="166"/>
        <v>0</v>
      </c>
      <c r="I437" s="337">
        <f t="shared" si="167"/>
        <v>84429.50478433723</v>
      </c>
      <c r="J437" s="340">
        <f t="shared" si="168"/>
        <v>1.5707844825941923</v>
      </c>
      <c r="K437" s="348">
        <f t="shared" si="184"/>
        <v>7.8466101580014005</v>
      </c>
      <c r="L437" s="349">
        <f t="shared" si="185"/>
        <v>1.4430052252517116</v>
      </c>
      <c r="M437" s="337">
        <f t="shared" si="169"/>
        <v>1.0008136275872574</v>
      </c>
      <c r="N437" s="340">
        <f t="shared" si="170"/>
        <v>4.0325582743247906E-2</v>
      </c>
      <c r="O437" s="341">
        <f t="shared" si="171"/>
        <v>0.99824148225350939</v>
      </c>
      <c r="P437" s="342">
        <f t="shared" si="172"/>
        <v>1.0129712990198469E-2</v>
      </c>
      <c r="Q437" s="343">
        <f t="shared" si="173"/>
        <v>2.4589622369590325</v>
      </c>
      <c r="R437" s="344">
        <f t="shared" si="174"/>
        <v>-88.644169611981752</v>
      </c>
      <c r="S437" s="346">
        <f t="shared" si="175"/>
        <v>91.355830388018248</v>
      </c>
      <c r="U437" s="319">
        <f t="shared" si="181"/>
        <v>1000000000</v>
      </c>
      <c r="V437" s="319">
        <f t="shared" si="182"/>
        <v>1995230224</v>
      </c>
      <c r="X437" s="345">
        <f t="shared" si="176"/>
        <v>17.063916878628312</v>
      </c>
      <c r="Y437" s="346">
        <f t="shared" si="177"/>
        <v>-9.6316978636396851</v>
      </c>
      <c r="AA437" s="345">
        <f t="shared" si="178"/>
        <v>21.405219321932186</v>
      </c>
      <c r="AB437" s="346">
        <f t="shared" si="179"/>
        <v>-79.012471748342037</v>
      </c>
      <c r="AD437">
        <f t="shared" si="183"/>
        <v>0</v>
      </c>
      <c r="AE437">
        <f t="shared" si="186"/>
        <v>0</v>
      </c>
    </row>
    <row r="438" spans="1:31" x14ac:dyDescent="0.2">
      <c r="A438" s="347">
        <v>44928.25</v>
      </c>
      <c r="B438" s="364">
        <f t="shared" si="180"/>
        <v>44.928249999999998</v>
      </c>
      <c r="C438" s="337">
        <f t="shared" si="161"/>
        <v>5.0802151061475254</v>
      </c>
      <c r="D438" s="338">
        <f t="shared" si="162"/>
        <v>1.3726604124101669</v>
      </c>
      <c r="E438" s="338">
        <f t="shared" si="163"/>
        <v>1.0000035206567748</v>
      </c>
      <c r="F438" s="339">
        <f t="shared" si="164"/>
        <v>2.6535434594313076E-3</v>
      </c>
      <c r="G438" s="338">
        <f t="shared" si="165"/>
        <v>1</v>
      </c>
      <c r="H438" s="339">
        <f t="shared" si="166"/>
        <v>0</v>
      </c>
      <c r="I438" s="337">
        <f t="shared" si="167"/>
        <v>84921.417979847436</v>
      </c>
      <c r="J438" s="340">
        <f t="shared" si="168"/>
        <v>1.5707845512025453</v>
      </c>
      <c r="K438" s="348">
        <f t="shared" si="184"/>
        <v>7.8915865978502495</v>
      </c>
      <c r="L438" s="349">
        <f t="shared" si="185"/>
        <v>1.4437375000901786</v>
      </c>
      <c r="M438" s="337">
        <f t="shared" si="169"/>
        <v>1.0008231322035817</v>
      </c>
      <c r="N438" s="340">
        <f t="shared" si="170"/>
        <v>4.0560275583495932E-2</v>
      </c>
      <c r="O438" s="341">
        <f t="shared" si="171"/>
        <v>0.99822093227176723</v>
      </c>
      <c r="P438" s="342">
        <f t="shared" si="172"/>
        <v>1.0188943720726016E-2</v>
      </c>
      <c r="Q438" s="343">
        <f t="shared" si="173"/>
        <v>2.4097502281847718</v>
      </c>
      <c r="R438" s="344">
        <f t="shared" si="174"/>
        <v>-88.682587504181441</v>
      </c>
      <c r="S438" s="346">
        <f t="shared" si="175"/>
        <v>91.317412495818559</v>
      </c>
      <c r="U438" s="319">
        <f t="shared" si="181"/>
        <v>1000000000</v>
      </c>
      <c r="V438" s="319">
        <f t="shared" si="182"/>
        <v>2018547648.0625</v>
      </c>
      <c r="X438" s="345">
        <f t="shared" si="176"/>
        <v>17.06301949356326</v>
      </c>
      <c r="Y438" s="346">
        <f t="shared" si="177"/>
        <v>-9.6031924461165499</v>
      </c>
      <c r="AA438" s="345">
        <f t="shared" si="178"/>
        <v>21.356904698222976</v>
      </c>
      <c r="AB438" s="346">
        <f t="shared" si="179"/>
        <v>-79.079395058064918</v>
      </c>
      <c r="AD438">
        <f t="shared" si="183"/>
        <v>0</v>
      </c>
      <c r="AE438">
        <f t="shared" si="186"/>
        <v>0</v>
      </c>
    </row>
    <row r="439" spans="1:31" x14ac:dyDescent="0.2">
      <c r="A439" s="347">
        <v>45188.5</v>
      </c>
      <c r="B439" s="364">
        <f t="shared" si="180"/>
        <v>45.188499999999998</v>
      </c>
      <c r="C439" s="337">
        <f t="shared" si="161"/>
        <v>5.1085055396319898</v>
      </c>
      <c r="D439" s="338">
        <f t="shared" si="162"/>
        <v>1.3737721348104788</v>
      </c>
      <c r="E439" s="338">
        <f t="shared" si="163"/>
        <v>1.0000035615621299</v>
      </c>
      <c r="F439" s="339">
        <f t="shared" si="164"/>
        <v>2.6689142209312777E-3</v>
      </c>
      <c r="G439" s="338">
        <f t="shared" si="165"/>
        <v>1</v>
      </c>
      <c r="H439" s="339">
        <f t="shared" si="166"/>
        <v>0</v>
      </c>
      <c r="I439" s="337">
        <f t="shared" si="167"/>
        <v>85413.331175358049</v>
      </c>
      <c r="J439" s="340">
        <f t="shared" si="168"/>
        <v>1.5707846190206387</v>
      </c>
      <c r="K439" s="348">
        <f t="shared" si="184"/>
        <v>7.9365672214134255</v>
      </c>
      <c r="L439" s="349">
        <f t="shared" si="185"/>
        <v>1.4444614749541334</v>
      </c>
      <c r="M439" s="337">
        <f t="shared" si="169"/>
        <v>1.0008326919449249</v>
      </c>
      <c r="N439" s="340">
        <f t="shared" si="170"/>
        <v>4.0794963953198211E-2</v>
      </c>
      <c r="O439" s="341">
        <f t="shared" si="171"/>
        <v>0.99820026293233277</v>
      </c>
      <c r="P439" s="342">
        <f t="shared" si="172"/>
        <v>1.0248178151219464E-2</v>
      </c>
      <c r="Q439" s="343">
        <f t="shared" si="173"/>
        <v>2.3608111216970844</v>
      </c>
      <c r="R439" s="344">
        <f t="shared" si="174"/>
        <v>-88.720767543457498</v>
      </c>
      <c r="S439" s="346">
        <f t="shared" si="175"/>
        <v>91.279232456542502</v>
      </c>
      <c r="U439" s="319">
        <f t="shared" si="181"/>
        <v>1000000000</v>
      </c>
      <c r="V439" s="319">
        <f t="shared" si="182"/>
        <v>2042000532.25</v>
      </c>
      <c r="X439" s="345">
        <f t="shared" si="176"/>
        <v>17.062135520761213</v>
      </c>
      <c r="Y439" s="346">
        <f t="shared" si="177"/>
        <v>-9.5751622806816243</v>
      </c>
      <c r="AA439" s="345">
        <f t="shared" si="178"/>
        <v>21.30884956453734</v>
      </c>
      <c r="AB439" s="346">
        <f t="shared" si="179"/>
        <v>-79.145605262775874</v>
      </c>
      <c r="AD439">
        <f t="shared" si="183"/>
        <v>0</v>
      </c>
      <c r="AE439">
        <f t="shared" si="186"/>
        <v>0</v>
      </c>
    </row>
    <row r="440" spans="1:31" x14ac:dyDescent="0.2">
      <c r="A440" s="347">
        <v>45448.75</v>
      </c>
      <c r="B440" s="364">
        <f t="shared" si="180"/>
        <v>45.448749999999997</v>
      </c>
      <c r="C440" s="337">
        <f t="shared" si="161"/>
        <v>5.1368022173057133</v>
      </c>
      <c r="D440" s="338">
        <f t="shared" si="162"/>
        <v>1.3748716104506717</v>
      </c>
      <c r="E440" s="338">
        <f t="shared" si="163"/>
        <v>1.0000036027037462</v>
      </c>
      <c r="F440" s="339">
        <f t="shared" si="164"/>
        <v>2.6842849811701277E-3</v>
      </c>
      <c r="G440" s="338">
        <f t="shared" si="165"/>
        <v>1</v>
      </c>
      <c r="H440" s="339">
        <f t="shared" si="166"/>
        <v>0</v>
      </c>
      <c r="I440" s="337">
        <f t="shared" si="167"/>
        <v>85905.244370869041</v>
      </c>
      <c r="J440" s="340">
        <f t="shared" si="168"/>
        <v>1.570784686062048</v>
      </c>
      <c r="K440" s="348">
        <f t="shared" si="184"/>
        <v>7.9815519579580361</v>
      </c>
      <c r="L440" s="349">
        <f t="shared" si="185"/>
        <v>1.4451772894163422</v>
      </c>
      <c r="M440" s="337">
        <f t="shared" si="169"/>
        <v>1.0008423068097079</v>
      </c>
      <c r="N440" s="340">
        <f t="shared" si="170"/>
        <v>4.1029647826630607E-2</v>
      </c>
      <c r="O440" s="341">
        <f t="shared" si="171"/>
        <v>0.99817947423564657</v>
      </c>
      <c r="P440" s="342">
        <f t="shared" si="172"/>
        <v>1.03074163033654E-2</v>
      </c>
      <c r="Q440" s="343">
        <f t="shared" si="173"/>
        <v>2.3121419870648263</v>
      </c>
      <c r="R440" s="344">
        <f t="shared" si="174"/>
        <v>-88.758713362834143</v>
      </c>
      <c r="S440" s="346">
        <f t="shared" si="175"/>
        <v>91.241286637165857</v>
      </c>
      <c r="U440" s="319">
        <f t="shared" si="181"/>
        <v>1000000000</v>
      </c>
      <c r="V440" s="319">
        <f t="shared" si="182"/>
        <v>2065588876.5625</v>
      </c>
      <c r="X440" s="345">
        <f t="shared" si="176"/>
        <v>17.061264647179733</v>
      </c>
      <c r="Y440" s="346">
        <f t="shared" si="177"/>
        <v>-9.5475993697084025</v>
      </c>
      <c r="AA440" s="345">
        <f t="shared" si="178"/>
        <v>21.26105130348656</v>
      </c>
      <c r="AB440" s="346">
        <f t="shared" si="179"/>
        <v>-79.211113993125764</v>
      </c>
      <c r="AD440">
        <f t="shared" si="183"/>
        <v>0</v>
      </c>
      <c r="AE440">
        <f t="shared" si="186"/>
        <v>0</v>
      </c>
    </row>
    <row r="441" spans="1:31" x14ac:dyDescent="0.2">
      <c r="A441" s="347">
        <v>45709</v>
      </c>
      <c r="B441" s="364">
        <f t="shared" si="180"/>
        <v>45.709000000000003</v>
      </c>
      <c r="C441" s="337">
        <f t="shared" si="161"/>
        <v>5.1651050365435962</v>
      </c>
      <c r="D441" s="338">
        <f t="shared" si="162"/>
        <v>1.37595903797329</v>
      </c>
      <c r="E441" s="338">
        <f t="shared" si="163"/>
        <v>1.0000036440816238</v>
      </c>
      <c r="F441" s="339">
        <f t="shared" si="164"/>
        <v>2.6996557401405951E-3</v>
      </c>
      <c r="G441" s="338">
        <f t="shared" si="165"/>
        <v>1</v>
      </c>
      <c r="H441" s="339">
        <f t="shared" si="166"/>
        <v>0</v>
      </c>
      <c r="I441" s="337">
        <f t="shared" si="167"/>
        <v>86397.157566380425</v>
      </c>
      <c r="J441" s="340">
        <f t="shared" si="168"/>
        <v>1.5707847523400396</v>
      </c>
      <c r="K441" s="348">
        <f t="shared" si="184"/>
        <v>8.0265407383304872</v>
      </c>
      <c r="L441" s="349">
        <f t="shared" si="185"/>
        <v>1.4458850799542304</v>
      </c>
      <c r="M441" s="337">
        <f t="shared" si="169"/>
        <v>1.0008519767963415</v>
      </c>
      <c r="N441" s="340">
        <f t="shared" si="170"/>
        <v>4.1264327178071915E-2</v>
      </c>
      <c r="O441" s="341">
        <f t="shared" si="171"/>
        <v>0.99815856618215182</v>
      </c>
      <c r="P441" s="342">
        <f t="shared" si="172"/>
        <v>1.0366658198854847E-2</v>
      </c>
      <c r="Q441" s="343">
        <f t="shared" si="173"/>
        <v>2.2637399400008391</v>
      </c>
      <c r="R441" s="344">
        <f t="shared" si="174"/>
        <v>-88.796428524639964</v>
      </c>
      <c r="S441" s="346">
        <f t="shared" si="175"/>
        <v>91.203571475360036</v>
      </c>
      <c r="U441" s="319">
        <f t="shared" si="181"/>
        <v>1000000000</v>
      </c>
      <c r="V441" s="319">
        <f t="shared" si="182"/>
        <v>2089312681</v>
      </c>
      <c r="X441" s="345">
        <f t="shared" si="176"/>
        <v>17.060406568525007</v>
      </c>
      <c r="Y441" s="346">
        <f t="shared" si="177"/>
        <v>-9.5204958929027885</v>
      </c>
      <c r="AA441" s="345">
        <f t="shared" si="178"/>
        <v>21.213507335077296</v>
      </c>
      <c r="AB441" s="346">
        <f t="shared" si="179"/>
        <v>-79.275932631737192</v>
      </c>
      <c r="AD441">
        <f t="shared" si="183"/>
        <v>0</v>
      </c>
      <c r="AE441">
        <f t="shared" si="186"/>
        <v>0</v>
      </c>
    </row>
    <row r="442" spans="1:31" x14ac:dyDescent="0.2">
      <c r="A442" s="347">
        <v>45975.25</v>
      </c>
      <c r="B442" s="364">
        <f t="shared" si="180"/>
        <v>45.975250000000003</v>
      </c>
      <c r="C442" s="337">
        <f t="shared" si="161"/>
        <v>5.1940666212361801</v>
      </c>
      <c r="D442" s="338">
        <f t="shared" si="162"/>
        <v>1.3770592706255584</v>
      </c>
      <c r="E442" s="338">
        <f t="shared" si="163"/>
        <v>1.0000036866579523</v>
      </c>
      <c r="F442" s="339">
        <f t="shared" si="164"/>
        <v>2.7153808668737979E-3</v>
      </c>
      <c r="G442" s="338">
        <f t="shared" si="165"/>
        <v>1</v>
      </c>
      <c r="H442" s="339">
        <f t="shared" si="166"/>
        <v>0</v>
      </c>
      <c r="I442" s="337">
        <f t="shared" si="167"/>
        <v>86900.411700117242</v>
      </c>
      <c r="J442" s="340">
        <f t="shared" si="168"/>
        <v>1.5707848193695524</v>
      </c>
      <c r="K442" s="348">
        <f t="shared" si="184"/>
        <v>8.0725708382578105</v>
      </c>
      <c r="L442" s="349">
        <f t="shared" si="185"/>
        <v>1.4466010240501415</v>
      </c>
      <c r="M442" s="337">
        <f t="shared" si="169"/>
        <v>1.0008619267632135</v>
      </c>
      <c r="N442" s="340">
        <f t="shared" si="170"/>
        <v>4.1504412298082514E-2</v>
      </c>
      <c r="O442" s="341">
        <f t="shared" si="171"/>
        <v>0.99813705258292851</v>
      </c>
      <c r="P442" s="342">
        <f t="shared" si="172"/>
        <v>1.0427269798148321E-2</v>
      </c>
      <c r="Q442" s="343">
        <f t="shared" si="173"/>
        <v>2.2144954302679873</v>
      </c>
      <c r="R442" s="344">
        <f t="shared" si="174"/>
        <v>-88.834778147121881</v>
      </c>
      <c r="S442" s="346">
        <f t="shared" si="175"/>
        <v>91.165221852878119</v>
      </c>
      <c r="U442" s="319">
        <f t="shared" si="181"/>
        <v>1000000000</v>
      </c>
      <c r="V442" s="319">
        <f t="shared" si="182"/>
        <v>2113723612.5625</v>
      </c>
      <c r="X442" s="345">
        <f t="shared" si="176"/>
        <v>17.059541639431423</v>
      </c>
      <c r="Y442" s="346">
        <f t="shared" si="177"/>
        <v>-9.4932350224173145</v>
      </c>
      <c r="AA442" s="345">
        <f t="shared" si="178"/>
        <v>21.165127754438032</v>
      </c>
      <c r="AB442" s="346">
        <f t="shared" si="179"/>
        <v>-79.341543124704557</v>
      </c>
      <c r="AD442">
        <f t="shared" si="183"/>
        <v>0</v>
      </c>
      <c r="AE442">
        <f t="shared" si="186"/>
        <v>0</v>
      </c>
    </row>
    <row r="443" spans="1:31" x14ac:dyDescent="0.2">
      <c r="A443" s="347">
        <v>46241.5</v>
      </c>
      <c r="B443" s="364">
        <f t="shared" si="180"/>
        <v>46.241500000000002</v>
      </c>
      <c r="C443" s="337">
        <f t="shared" si="161"/>
        <v>5.2230344236759452</v>
      </c>
      <c r="D443" s="338">
        <f t="shared" si="162"/>
        <v>1.3781473004425842</v>
      </c>
      <c r="E443" s="338">
        <f t="shared" si="163"/>
        <v>1.0000037294815614</v>
      </c>
      <c r="F443" s="339">
        <f t="shared" si="164"/>
        <v>2.731105992264081E-3</v>
      </c>
      <c r="G443" s="338">
        <f t="shared" si="165"/>
        <v>1</v>
      </c>
      <c r="H443" s="339">
        <f t="shared" si="166"/>
        <v>0</v>
      </c>
      <c r="I443" s="337">
        <f t="shared" si="167"/>
        <v>87403.665833854437</v>
      </c>
      <c r="J443" s="340">
        <f t="shared" si="168"/>
        <v>1.570784885627178</v>
      </c>
      <c r="K443" s="348">
        <f t="shared" si="184"/>
        <v>8.1186050290692826</v>
      </c>
      <c r="L443" s="349">
        <f t="shared" si="185"/>
        <v>1.447308849399515</v>
      </c>
      <c r="M443" s="337">
        <f t="shared" si="169"/>
        <v>1.0008719344194839</v>
      </c>
      <c r="N443" s="340">
        <f t="shared" si="170"/>
        <v>4.1744492630738948E-2</v>
      </c>
      <c r="O443" s="341">
        <f t="shared" si="171"/>
        <v>0.99811541406091886</v>
      </c>
      <c r="P443" s="342">
        <f t="shared" si="172"/>
        <v>1.0487885361321829E-2</v>
      </c>
      <c r="Q443" s="343">
        <f t="shared" si="173"/>
        <v>2.165524501942524</v>
      </c>
      <c r="R443" s="344">
        <f t="shared" si="174"/>
        <v>-88.872893677227026</v>
      </c>
      <c r="S443" s="346">
        <f t="shared" si="175"/>
        <v>91.127106322772974</v>
      </c>
      <c r="U443" s="319">
        <f t="shared" si="181"/>
        <v>1000000000</v>
      </c>
      <c r="V443" s="319">
        <f t="shared" si="182"/>
        <v>2138276322.25</v>
      </c>
      <c r="X443" s="345">
        <f t="shared" si="176"/>
        <v>17.058689484513529</v>
      </c>
      <c r="Y443" s="346">
        <f t="shared" si="177"/>
        <v>-9.4664390033228329</v>
      </c>
      <c r="AA443" s="345">
        <f t="shared" si="178"/>
        <v>21.117008981030459</v>
      </c>
      <c r="AB443" s="346">
        <f t="shared" si="179"/>
        <v>-79.406454673904165</v>
      </c>
      <c r="AD443">
        <f t="shared" si="183"/>
        <v>0</v>
      </c>
      <c r="AE443">
        <f t="shared" si="186"/>
        <v>0</v>
      </c>
    </row>
    <row r="444" spans="1:31" x14ac:dyDescent="0.2">
      <c r="A444" s="347">
        <v>46507.75</v>
      </c>
      <c r="B444" s="364">
        <f t="shared" si="180"/>
        <v>46.507750000000001</v>
      </c>
      <c r="C444" s="337">
        <f t="shared" si="161"/>
        <v>5.2520083409796916</v>
      </c>
      <c r="D444" s="338">
        <f t="shared" si="162"/>
        <v>1.3792233267860614</v>
      </c>
      <c r="E444" s="338">
        <f t="shared" si="163"/>
        <v>1.0000037725524509</v>
      </c>
      <c r="F444" s="339">
        <f t="shared" si="164"/>
        <v>2.7468311163036676E-3</v>
      </c>
      <c r="G444" s="338">
        <f t="shared" si="165"/>
        <v>1</v>
      </c>
      <c r="H444" s="339">
        <f t="shared" si="166"/>
        <v>0</v>
      </c>
      <c r="I444" s="337">
        <f t="shared" si="167"/>
        <v>87906.91996759201</v>
      </c>
      <c r="J444" s="340">
        <f t="shared" si="168"/>
        <v>1.5707849511261736</v>
      </c>
      <c r="K444" s="348">
        <f t="shared" si="184"/>
        <v>8.1646432415687791</v>
      </c>
      <c r="L444" s="349">
        <f t="shared" si="185"/>
        <v>1.4480086926252593</v>
      </c>
      <c r="M444" s="337">
        <f t="shared" si="169"/>
        <v>1.0008819997634213</v>
      </c>
      <c r="N444" s="340">
        <f t="shared" si="170"/>
        <v>4.1984568148509441E-2</v>
      </c>
      <c r="O444" s="341">
        <f t="shared" si="171"/>
        <v>0.99809365061660604</v>
      </c>
      <c r="P444" s="342">
        <f t="shared" si="172"/>
        <v>1.0548504911616047E-2</v>
      </c>
      <c r="Q444" s="343">
        <f t="shared" si="173"/>
        <v>2.1168242104441939</v>
      </c>
      <c r="R444" s="344">
        <f t="shared" si="174"/>
        <v>-88.910778710137194</v>
      </c>
      <c r="S444" s="346">
        <f t="shared" si="175"/>
        <v>91.089221289862806</v>
      </c>
      <c r="U444" s="319">
        <f t="shared" si="181"/>
        <v>1000000000</v>
      </c>
      <c r="V444" s="319">
        <f t="shared" si="182"/>
        <v>2162970810.0625</v>
      </c>
      <c r="X444" s="345">
        <f t="shared" si="176"/>
        <v>17.057849804509843</v>
      </c>
      <c r="Y444" s="346">
        <f t="shared" si="177"/>
        <v>-9.440100006885439</v>
      </c>
      <c r="AA444" s="345">
        <f t="shared" si="178"/>
        <v>21.069148369535817</v>
      </c>
      <c r="AB444" s="346">
        <f t="shared" si="179"/>
        <v>-79.470678703251764</v>
      </c>
      <c r="AD444">
        <f t="shared" si="183"/>
        <v>0</v>
      </c>
      <c r="AE444">
        <f t="shared" si="186"/>
        <v>0</v>
      </c>
    </row>
    <row r="445" spans="1:31" x14ac:dyDescent="0.2">
      <c r="A445" s="347">
        <v>46774</v>
      </c>
      <c r="B445" s="364">
        <f t="shared" si="180"/>
        <v>46.774000000000001</v>
      </c>
      <c r="C445" s="337">
        <f t="shared" si="161"/>
        <v>5.2809882725006005</v>
      </c>
      <c r="D445" s="338">
        <f t="shared" si="162"/>
        <v>1.3802875447541936</v>
      </c>
      <c r="E445" s="338">
        <f t="shared" si="163"/>
        <v>1.0000038158706208</v>
      </c>
      <c r="F445" s="339">
        <f t="shared" si="164"/>
        <v>2.7625562389847805E-3</v>
      </c>
      <c r="G445" s="338">
        <f t="shared" si="165"/>
        <v>1</v>
      </c>
      <c r="H445" s="339">
        <f t="shared" si="166"/>
        <v>0</v>
      </c>
      <c r="I445" s="337">
        <f t="shared" si="167"/>
        <v>88410.174101329962</v>
      </c>
      <c r="J445" s="340">
        <f t="shared" si="168"/>
        <v>1.5707850158794936</v>
      </c>
      <c r="K445" s="348">
        <f t="shared" si="184"/>
        <v>8.2106854081061673</v>
      </c>
      <c r="L445" s="349">
        <f t="shared" si="185"/>
        <v>1.4487006873174606</v>
      </c>
      <c r="M445" s="337">
        <f t="shared" si="169"/>
        <v>1.0008921227932863</v>
      </c>
      <c r="N445" s="340">
        <f t="shared" si="170"/>
        <v>4.2224638823865575E-2</v>
      </c>
      <c r="O445" s="341">
        <f t="shared" si="171"/>
        <v>0.998071762250476</v>
      </c>
      <c r="P445" s="342">
        <f t="shared" si="172"/>
        <v>1.0609128472276613E-2</v>
      </c>
      <c r="Q445" s="343">
        <f t="shared" si="173"/>
        <v>2.0683916577026142</v>
      </c>
      <c r="R445" s="344">
        <f t="shared" si="174"/>
        <v>-88.948436770505239</v>
      </c>
      <c r="S445" s="346">
        <f t="shared" si="175"/>
        <v>91.051563229494761</v>
      </c>
      <c r="U445" s="319">
        <f t="shared" si="181"/>
        <v>1000000000</v>
      </c>
      <c r="V445" s="319">
        <f t="shared" si="182"/>
        <v>2187807076</v>
      </c>
      <c r="X445" s="345">
        <f t="shared" si="176"/>
        <v>17.057022308526349</v>
      </c>
      <c r="Y445" s="346">
        <f t="shared" si="177"/>
        <v>-9.4142103781219841</v>
      </c>
      <c r="AA445" s="345">
        <f t="shared" si="178"/>
        <v>21.02154331277773</v>
      </c>
      <c r="AB445" s="346">
        <f t="shared" si="179"/>
        <v>-79.534226392383289</v>
      </c>
      <c r="AD445">
        <f t="shared" si="183"/>
        <v>0</v>
      </c>
      <c r="AE445">
        <f t="shared" si="186"/>
        <v>0</v>
      </c>
    </row>
    <row r="446" spans="1:31" x14ac:dyDescent="0.2">
      <c r="A446" s="347">
        <v>47046.25</v>
      </c>
      <c r="B446" s="364">
        <f t="shared" si="180"/>
        <v>47.046250000000001</v>
      </c>
      <c r="C446" s="337">
        <f t="shared" si="161"/>
        <v>5.3106273893663509</v>
      </c>
      <c r="D446" s="338">
        <f t="shared" si="162"/>
        <v>1.3813637334779234</v>
      </c>
      <c r="E446" s="338">
        <f t="shared" si="163"/>
        <v>1.0000038604206769</v>
      </c>
      <c r="F446" s="339">
        <f t="shared" si="164"/>
        <v>2.7786357292148801E-3</v>
      </c>
      <c r="G446" s="338">
        <f t="shared" si="165"/>
        <v>1</v>
      </c>
      <c r="H446" s="339">
        <f t="shared" si="166"/>
        <v>0</v>
      </c>
      <c r="I446" s="337">
        <f t="shared" si="167"/>
        <v>88924.769173293374</v>
      </c>
      <c r="J446" s="340">
        <f t="shared" si="168"/>
        <v>1.5707850813341626</v>
      </c>
      <c r="K446" s="348">
        <f t="shared" si="184"/>
        <v>8.2577691643883568</v>
      </c>
      <c r="L446" s="349">
        <f t="shared" si="185"/>
        <v>1.4494002965148192</v>
      </c>
      <c r="M446" s="337">
        <f t="shared" si="169"/>
        <v>1.0009025335964661</v>
      </c>
      <c r="N446" s="340">
        <f t="shared" si="170"/>
        <v>4.2470114506602562E-2</v>
      </c>
      <c r="O446" s="341">
        <f t="shared" si="171"/>
        <v>0.99804925144965351</v>
      </c>
      <c r="P446" s="342">
        <f t="shared" si="172"/>
        <v>1.0671122368853895E-2</v>
      </c>
      <c r="Q446" s="343">
        <f t="shared" si="173"/>
        <v>2.0191415526575818</v>
      </c>
      <c r="R446" s="344">
        <f t="shared" si="174"/>
        <v>-88.986712360633874</v>
      </c>
      <c r="S446" s="346">
        <f t="shared" si="175"/>
        <v>91.013287639366126</v>
      </c>
      <c r="U446" s="319">
        <f t="shared" si="181"/>
        <v>1000000000</v>
      </c>
      <c r="V446" s="319">
        <f t="shared" si="182"/>
        <v>2213349639.0625</v>
      </c>
      <c r="X446" s="345">
        <f t="shared" si="176"/>
        <v>17.056188469127271</v>
      </c>
      <c r="Y446" s="346">
        <f t="shared" si="177"/>
        <v>-9.3881941946452852</v>
      </c>
      <c r="AA446" s="345">
        <f t="shared" si="178"/>
        <v>20.973127047131776</v>
      </c>
      <c r="AB446" s="346">
        <f t="shared" si="179"/>
        <v>-79.59851816598858</v>
      </c>
      <c r="AD446">
        <f t="shared" si="183"/>
        <v>0</v>
      </c>
      <c r="AE446">
        <f t="shared" si="186"/>
        <v>0</v>
      </c>
    </row>
    <row r="447" spans="1:31" x14ac:dyDescent="0.2">
      <c r="A447" s="347">
        <v>47318.5</v>
      </c>
      <c r="B447" s="364">
        <f t="shared" si="180"/>
        <v>47.3185</v>
      </c>
      <c r="C447" s="337">
        <f t="shared" si="161"/>
        <v>5.3402725886280491</v>
      </c>
      <c r="D447" s="338">
        <f t="shared" si="162"/>
        <v>1.3824279750331008</v>
      </c>
      <c r="E447" s="338">
        <f t="shared" si="163"/>
        <v>1.000003905229284</v>
      </c>
      <c r="F447" s="339">
        <f t="shared" si="164"/>
        <v>2.7947152180081447E-3</v>
      </c>
      <c r="G447" s="338">
        <f t="shared" si="165"/>
        <v>1</v>
      </c>
      <c r="H447" s="339">
        <f t="shared" si="166"/>
        <v>0</v>
      </c>
      <c r="I447" s="337">
        <f t="shared" si="167"/>
        <v>89439.364245257166</v>
      </c>
      <c r="J447" s="340">
        <f t="shared" si="168"/>
        <v>1.5707851460356363</v>
      </c>
      <c r="K447" s="348">
        <f t="shared" si="184"/>
        <v>8.3048569166302872</v>
      </c>
      <c r="L447" s="349">
        <f t="shared" si="185"/>
        <v>1.4500919726117381</v>
      </c>
      <c r="M447" s="337">
        <f t="shared" si="169"/>
        <v>1.0009130047110848</v>
      </c>
      <c r="N447" s="340">
        <f t="shared" si="170"/>
        <v>4.2715585068012214E-2</v>
      </c>
      <c r="O447" s="341">
        <f t="shared" si="171"/>
        <v>0.99802661003433157</v>
      </c>
      <c r="P447" s="342">
        <f t="shared" si="172"/>
        <v>1.0733120507757047E-2</v>
      </c>
      <c r="Q447" s="343">
        <f t="shared" si="173"/>
        <v>1.9701654055688702</v>
      </c>
      <c r="R447" s="344">
        <f t="shared" si="174"/>
        <v>-89.024757868164997</v>
      </c>
      <c r="S447" s="346">
        <f t="shared" si="175"/>
        <v>90.975242131835003</v>
      </c>
      <c r="U447" s="319">
        <f t="shared" si="181"/>
        <v>1000000000</v>
      </c>
      <c r="V447" s="319">
        <f t="shared" si="182"/>
        <v>2239040442.25</v>
      </c>
      <c r="X447" s="345">
        <f t="shared" si="176"/>
        <v>17.055366779505896</v>
      </c>
      <c r="Y447" s="346">
        <f t="shared" si="177"/>
        <v>-9.3626322077573949</v>
      </c>
      <c r="AA447" s="345">
        <f t="shared" si="178"/>
        <v>20.924972589664435</v>
      </c>
      <c r="AB447" s="346">
        <f t="shared" si="179"/>
        <v>-79.662125660407597</v>
      </c>
      <c r="AD447">
        <f t="shared" si="183"/>
        <v>0</v>
      </c>
      <c r="AE447">
        <f t="shared" si="186"/>
        <v>0</v>
      </c>
    </row>
    <row r="448" spans="1:31" x14ac:dyDescent="0.2">
      <c r="A448" s="347">
        <v>47590.75</v>
      </c>
      <c r="B448" s="364">
        <f t="shared" si="180"/>
        <v>47.59075</v>
      </c>
      <c r="C448" s="337">
        <f t="shared" si="161"/>
        <v>5.3699237695502786</v>
      </c>
      <c r="D448" s="338">
        <f t="shared" si="162"/>
        <v>1.3834804648953298</v>
      </c>
      <c r="E448" s="338">
        <f t="shared" si="163"/>
        <v>1.000003950296442</v>
      </c>
      <c r="F448" s="339">
        <f t="shared" si="164"/>
        <v>2.8107947053562575E-3</v>
      </c>
      <c r="G448" s="338">
        <f t="shared" si="165"/>
        <v>1</v>
      </c>
      <c r="H448" s="339">
        <f t="shared" si="166"/>
        <v>0</v>
      </c>
      <c r="I448" s="337">
        <f t="shared" si="167"/>
        <v>89953.959317221321</v>
      </c>
      <c r="J448" s="340">
        <f t="shared" si="168"/>
        <v>1.5707852099968411</v>
      </c>
      <c r="K448" s="348">
        <f t="shared" si="184"/>
        <v>8.3519485972450571</v>
      </c>
      <c r="L448" s="349">
        <f t="shared" si="185"/>
        <v>1.4507758491308715</v>
      </c>
      <c r="M448" s="337">
        <f t="shared" si="169"/>
        <v>1.0009235361352498</v>
      </c>
      <c r="N448" s="340">
        <f t="shared" si="170"/>
        <v>4.2961050478673671E-2</v>
      </c>
      <c r="O448" s="341">
        <f t="shared" si="171"/>
        <v>0.99800383800503867</v>
      </c>
      <c r="P448" s="342">
        <f t="shared" si="172"/>
        <v>1.0795122913855228E-2</v>
      </c>
      <c r="Q448" s="343">
        <f t="shared" si="173"/>
        <v>1.9214602626854449</v>
      </c>
      <c r="R448" s="344">
        <f t="shared" si="174"/>
        <v>-89.062576843221535</v>
      </c>
      <c r="S448" s="346">
        <f t="shared" si="175"/>
        <v>90.937423156778465</v>
      </c>
      <c r="U448" s="319">
        <f t="shared" si="181"/>
        <v>1000000000</v>
      </c>
      <c r="V448" s="319">
        <f t="shared" si="182"/>
        <v>2264879485.5625</v>
      </c>
      <c r="X448" s="345">
        <f t="shared" si="176"/>
        <v>17.054556954019866</v>
      </c>
      <c r="Y448" s="346">
        <f t="shared" si="177"/>
        <v>-9.3375167662286795</v>
      </c>
      <c r="AA448" s="345">
        <f t="shared" si="178"/>
        <v>20.877077272267044</v>
      </c>
      <c r="AB448" s="346">
        <f t="shared" si="179"/>
        <v>-79.725060076992847</v>
      </c>
      <c r="AD448">
        <f t="shared" si="183"/>
        <v>0</v>
      </c>
      <c r="AE448">
        <f t="shared" si="186"/>
        <v>0</v>
      </c>
    </row>
    <row r="449" spans="1:31" x14ac:dyDescent="0.2">
      <c r="A449" s="347">
        <v>47863</v>
      </c>
      <c r="B449" s="364">
        <f t="shared" si="180"/>
        <v>47.863</v>
      </c>
      <c r="C449" s="337">
        <f t="shared" si="161"/>
        <v>5.3995808335902229</v>
      </c>
      <c r="D449" s="338">
        <f t="shared" si="162"/>
        <v>1.3845213943510823</v>
      </c>
      <c r="E449" s="338">
        <f t="shared" si="163"/>
        <v>1.0000039956221507</v>
      </c>
      <c r="F449" s="339">
        <f t="shared" si="164"/>
        <v>2.8268741912509062E-3</v>
      </c>
      <c r="G449" s="338">
        <f t="shared" si="165"/>
        <v>1</v>
      </c>
      <c r="H449" s="339">
        <f t="shared" si="166"/>
        <v>0</v>
      </c>
      <c r="I449" s="337">
        <f t="shared" si="167"/>
        <v>90468.554389185854</v>
      </c>
      <c r="J449" s="340">
        <f t="shared" si="168"/>
        <v>1.5707852732304093</v>
      </c>
      <c r="K449" s="348">
        <f t="shared" si="184"/>
        <v>8.3990441401559828</v>
      </c>
      <c r="L449" s="349">
        <f t="shared" si="185"/>
        <v>1.4514520566296536</v>
      </c>
      <c r="M449" s="337">
        <f t="shared" si="169"/>
        <v>1.0009341278670576</v>
      </c>
      <c r="N449" s="340">
        <f t="shared" si="170"/>
        <v>4.320651070916981E-2</v>
      </c>
      <c r="O449" s="341">
        <f t="shared" si="171"/>
        <v>0.99798093536230703</v>
      </c>
      <c r="P449" s="342">
        <f t="shared" si="172"/>
        <v>1.0857129612023153E-2</v>
      </c>
      <c r="Q449" s="343">
        <f t="shared" si="173"/>
        <v>1.8730232170270564</v>
      </c>
      <c r="R449" s="344">
        <f t="shared" si="174"/>
        <v>-89.100172765785004</v>
      </c>
      <c r="S449" s="346">
        <f t="shared" si="175"/>
        <v>90.899827234214996</v>
      </c>
      <c r="U449" s="319">
        <f t="shared" si="181"/>
        <v>1000000000</v>
      </c>
      <c r="V449" s="319">
        <f t="shared" si="182"/>
        <v>2290866769</v>
      </c>
      <c r="X449" s="345">
        <f t="shared" si="176"/>
        <v>17.053758715013167</v>
      </c>
      <c r="Y449" s="346">
        <f t="shared" si="177"/>
        <v>-9.3128403887074818</v>
      </c>
      <c r="AA449" s="345">
        <f t="shared" si="178"/>
        <v>20.829438465615361</v>
      </c>
      <c r="AB449" s="346">
        <f t="shared" si="179"/>
        <v>-79.787332377077533</v>
      </c>
      <c r="AD449">
        <f t="shared" si="183"/>
        <v>0</v>
      </c>
      <c r="AE449">
        <f t="shared" si="186"/>
        <v>0</v>
      </c>
    </row>
    <row r="450" spans="1:31" x14ac:dyDescent="0.2">
      <c r="A450" s="347">
        <v>48141.75</v>
      </c>
      <c r="B450" s="364">
        <f t="shared" si="180"/>
        <v>48.141750000000002</v>
      </c>
      <c r="C450" s="337">
        <f t="shared" si="161"/>
        <v>5.4299519582518272</v>
      </c>
      <c r="D450" s="338">
        <f t="shared" si="162"/>
        <v>1.3855753938907593</v>
      </c>
      <c r="E450" s="338">
        <f t="shared" si="163"/>
        <v>1.0000040422979</v>
      </c>
      <c r="F450" s="339">
        <f t="shared" si="164"/>
        <v>2.843337575202345E-3</v>
      </c>
      <c r="G450" s="338">
        <f t="shared" si="165"/>
        <v>1</v>
      </c>
      <c r="H450" s="339">
        <f t="shared" si="166"/>
        <v>0</v>
      </c>
      <c r="I450" s="337">
        <f t="shared" si="167"/>
        <v>90995.435477561288</v>
      </c>
      <c r="J450" s="340">
        <f t="shared" si="168"/>
        <v>1.5707853372326754</v>
      </c>
      <c r="K450" s="348">
        <f t="shared" si="184"/>
        <v>8.4472680288115463</v>
      </c>
      <c r="L450" s="349">
        <f t="shared" si="185"/>
        <v>1.452136596123438</v>
      </c>
      <c r="M450" s="337">
        <f t="shared" si="169"/>
        <v>1.0009450349602875</v>
      </c>
      <c r="N450" s="340">
        <f t="shared" si="170"/>
        <v>4.3457825932969055E-2</v>
      </c>
      <c r="O450" s="341">
        <f t="shared" si="171"/>
        <v>0.99795735058862833</v>
      </c>
      <c r="P450" s="342">
        <f t="shared" si="172"/>
        <v>1.0920621200214361E-2</v>
      </c>
      <c r="Q450" s="343">
        <f t="shared" si="173"/>
        <v>1.8237045184887668</v>
      </c>
      <c r="R450" s="344">
        <f t="shared" si="174"/>
        <v>-89.138438753488941</v>
      </c>
      <c r="S450" s="346">
        <f t="shared" si="175"/>
        <v>90.861561246511059</v>
      </c>
      <c r="U450" s="319">
        <f t="shared" si="181"/>
        <v>1000000000</v>
      </c>
      <c r="V450" s="319">
        <f t="shared" si="182"/>
        <v>2317628093.0625</v>
      </c>
      <c r="X450" s="345">
        <f t="shared" si="176"/>
        <v>17.05295314082446</v>
      </c>
      <c r="Y450" s="346">
        <f t="shared" si="177"/>
        <v>-9.2880221334860664</v>
      </c>
      <c r="AA450" s="345">
        <f t="shared" si="178"/>
        <v>20.780925341265771</v>
      </c>
      <c r="AB450" s="346">
        <f t="shared" si="179"/>
        <v>-79.850416620002861</v>
      </c>
      <c r="AD450">
        <f t="shared" si="183"/>
        <v>0</v>
      </c>
      <c r="AE450">
        <f t="shared" si="186"/>
        <v>0</v>
      </c>
    </row>
    <row r="451" spans="1:31" x14ac:dyDescent="0.2">
      <c r="A451" s="347">
        <v>48420.5</v>
      </c>
      <c r="B451" s="364">
        <f t="shared" si="180"/>
        <v>48.420499999999997</v>
      </c>
      <c r="C451" s="337">
        <f t="shared" si="161"/>
        <v>5.4603290480207152</v>
      </c>
      <c r="D451" s="338">
        <f t="shared" si="162"/>
        <v>1.3866176672848507</v>
      </c>
      <c r="E451" s="338">
        <f t="shared" si="163"/>
        <v>1.0000040892446935</v>
      </c>
      <c r="F451" s="339">
        <f t="shared" si="164"/>
        <v>2.859800957612446E-3</v>
      </c>
      <c r="G451" s="338">
        <f t="shared" si="165"/>
        <v>1</v>
      </c>
      <c r="H451" s="339">
        <f t="shared" si="166"/>
        <v>0</v>
      </c>
      <c r="I451" s="337">
        <f t="shared" si="167"/>
        <v>91522.316565937086</v>
      </c>
      <c r="J451" s="340">
        <f t="shared" si="168"/>
        <v>1.5707854004980377</v>
      </c>
      <c r="K451" s="348">
        <f t="shared" si="184"/>
        <v>8.4954958308695261</v>
      </c>
      <c r="L451" s="349">
        <f t="shared" si="185"/>
        <v>1.4528133638516907</v>
      </c>
      <c r="M451" s="337">
        <f t="shared" si="169"/>
        <v>1.0009560052711668</v>
      </c>
      <c r="N451" s="340">
        <f t="shared" si="170"/>
        <v>4.3709135663894685E-2</v>
      </c>
      <c r="O451" s="341">
        <f t="shared" si="171"/>
        <v>0.99793362889137516</v>
      </c>
      <c r="P451" s="342">
        <f t="shared" si="172"/>
        <v>1.0984117340663117E-2</v>
      </c>
      <c r="Q451" s="343">
        <f t="shared" si="173"/>
        <v>1.7746608501392895</v>
      </c>
      <c r="R451" s="344">
        <f t="shared" si="174"/>
        <v>-89.176478075878393</v>
      </c>
      <c r="S451" s="346">
        <f t="shared" si="175"/>
        <v>90.823521924121607</v>
      </c>
      <c r="U451" s="319">
        <f t="shared" si="181"/>
        <v>1000000000</v>
      </c>
      <c r="V451" s="319">
        <f t="shared" si="182"/>
        <v>2344544820.25</v>
      </c>
      <c r="X451" s="345">
        <f t="shared" si="176"/>
        <v>17.052159148399383</v>
      </c>
      <c r="Y451" s="346">
        <f t="shared" si="177"/>
        <v>-9.2636488106895474</v>
      </c>
      <c r="AA451" s="345">
        <f t="shared" si="178"/>
        <v>20.732675665341375</v>
      </c>
      <c r="AB451" s="346">
        <f t="shared" si="179"/>
        <v>-79.912829265188861</v>
      </c>
      <c r="AD451">
        <f t="shared" si="183"/>
        <v>0</v>
      </c>
      <c r="AE451">
        <f t="shared" si="186"/>
        <v>0</v>
      </c>
    </row>
    <row r="452" spans="1:31" x14ac:dyDescent="0.2">
      <c r="A452" s="347">
        <v>48699.25</v>
      </c>
      <c r="B452" s="364">
        <f t="shared" si="180"/>
        <v>48.699249999999999</v>
      </c>
      <c r="C452" s="337">
        <f t="shared" si="161"/>
        <v>5.4907120038919137</v>
      </c>
      <c r="D452" s="338">
        <f t="shared" si="162"/>
        <v>1.3876484069103705</v>
      </c>
      <c r="E452" s="338">
        <f t="shared" si="163"/>
        <v>1.0000041364625309</v>
      </c>
      <c r="F452" s="339">
        <f t="shared" si="164"/>
        <v>2.8762643384722853E-3</v>
      </c>
      <c r="G452" s="338">
        <f t="shared" si="165"/>
        <v>1</v>
      </c>
      <c r="H452" s="339">
        <f t="shared" si="166"/>
        <v>0</v>
      </c>
      <c r="I452" s="337">
        <f t="shared" si="167"/>
        <v>92049.197654313248</v>
      </c>
      <c r="J452" s="340">
        <f t="shared" si="168"/>
        <v>1.5707854630391496</v>
      </c>
      <c r="K452" s="348">
        <f t="shared" si="184"/>
        <v>8.5437274800585676</v>
      </c>
      <c r="L452" s="349">
        <f t="shared" si="185"/>
        <v>1.4534824908103099</v>
      </c>
      <c r="M452" s="337">
        <f t="shared" si="169"/>
        <v>1.0009670387976171</v>
      </c>
      <c r="N452" s="340">
        <f t="shared" si="170"/>
        <v>4.3960439870384102E-2</v>
      </c>
      <c r="O452" s="341">
        <f t="shared" si="171"/>
        <v>0.99790977027112804</v>
      </c>
      <c r="P452" s="342">
        <f t="shared" si="172"/>
        <v>1.1047618060087007E-2</v>
      </c>
      <c r="Q452" s="343">
        <f t="shared" si="173"/>
        <v>1.7258892379277229</v>
      </c>
      <c r="R452" s="344">
        <f t="shared" si="174"/>
        <v>-89.21429425028019</v>
      </c>
      <c r="S452" s="346">
        <f t="shared" si="175"/>
        <v>90.78570574971981</v>
      </c>
      <c r="U452" s="319">
        <f t="shared" si="181"/>
        <v>1000000000</v>
      </c>
      <c r="V452" s="319">
        <f t="shared" si="182"/>
        <v>2371616950.5625</v>
      </c>
      <c r="X452" s="345">
        <f t="shared" si="176"/>
        <v>17.051376464035449</v>
      </c>
      <c r="Y452" s="346">
        <f t="shared" si="177"/>
        <v>-9.2397129137223697</v>
      </c>
      <c r="AA452" s="345">
        <f t="shared" si="178"/>
        <v>20.684686737493742</v>
      </c>
      <c r="AB452" s="346">
        <f t="shared" si="179"/>
        <v>-79.974581336557833</v>
      </c>
      <c r="AD452">
        <f t="shared" si="183"/>
        <v>0</v>
      </c>
      <c r="AE452">
        <f t="shared" si="186"/>
        <v>0</v>
      </c>
    </row>
    <row r="453" spans="1:31" x14ac:dyDescent="0.2">
      <c r="A453" s="347">
        <v>48978</v>
      </c>
      <c r="B453" s="364">
        <f t="shared" si="180"/>
        <v>48.978000000000002</v>
      </c>
      <c r="C453" s="337">
        <f t="shared" si="161"/>
        <v>5.5211007290208602</v>
      </c>
      <c r="D453" s="338">
        <f t="shared" si="162"/>
        <v>1.3886678010081395</v>
      </c>
      <c r="E453" s="338">
        <f t="shared" si="163"/>
        <v>1.0000041839514124</v>
      </c>
      <c r="F453" s="339">
        <f t="shared" si="164"/>
        <v>2.8927277177729382E-3</v>
      </c>
      <c r="G453" s="338">
        <f t="shared" si="165"/>
        <v>1</v>
      </c>
      <c r="H453" s="339">
        <f t="shared" si="166"/>
        <v>0</v>
      </c>
      <c r="I453" s="337">
        <f t="shared" si="167"/>
        <v>92576.078742689759</v>
      </c>
      <c r="J453" s="340">
        <f t="shared" si="168"/>
        <v>1.5707855248683773</v>
      </c>
      <c r="K453" s="348">
        <f t="shared" si="184"/>
        <v>8.5919629115901657</v>
      </c>
      <c r="L453" s="349">
        <f t="shared" si="185"/>
        <v>1.454144105081262</v>
      </c>
      <c r="M453" s="337">
        <f t="shared" si="169"/>
        <v>1.0009781355375476</v>
      </c>
      <c r="N453" s="340">
        <f t="shared" si="170"/>
        <v>4.4211738520878896E-2</v>
      </c>
      <c r="O453" s="341">
        <f t="shared" si="171"/>
        <v>0.99788577472847173</v>
      </c>
      <c r="P453" s="342">
        <f t="shared" si="172"/>
        <v>1.1111123385209868E-2</v>
      </c>
      <c r="Q453" s="343">
        <f t="shared" si="173"/>
        <v>1.6773867550691008</v>
      </c>
      <c r="R453" s="344">
        <f t="shared" si="174"/>
        <v>-89.251890723974867</v>
      </c>
      <c r="S453" s="346">
        <f t="shared" si="175"/>
        <v>90.748109276025133</v>
      </c>
      <c r="U453" s="319">
        <f t="shared" si="181"/>
        <v>1000000000</v>
      </c>
      <c r="V453" s="319">
        <f t="shared" si="182"/>
        <v>2398844484</v>
      </c>
      <c r="X453" s="345">
        <f t="shared" si="176"/>
        <v>17.050604821692087</v>
      </c>
      <c r="Y453" s="346">
        <f t="shared" si="177"/>
        <v>-9.2162071029288128</v>
      </c>
      <c r="AA453" s="345">
        <f t="shared" si="178"/>
        <v>20.636955896978478</v>
      </c>
      <c r="AB453" s="346">
        <f t="shared" si="179"/>
        <v>-80.035683621046061</v>
      </c>
      <c r="AD453">
        <f t="shared" si="183"/>
        <v>0</v>
      </c>
      <c r="AE453">
        <f t="shared" si="186"/>
        <v>0</v>
      </c>
    </row>
    <row r="454" spans="1:31" x14ac:dyDescent="0.2">
      <c r="A454" s="347">
        <v>49263.25</v>
      </c>
      <c r="B454" s="364">
        <f t="shared" si="180"/>
        <v>49.263249999999999</v>
      </c>
      <c r="C454" s="337">
        <f t="shared" si="161"/>
        <v>5.55220394395098</v>
      </c>
      <c r="D454" s="338">
        <f t="shared" si="162"/>
        <v>1.3896994124448674</v>
      </c>
      <c r="E454" s="338">
        <f t="shared" si="163"/>
        <v>1.0000042328282561</v>
      </c>
      <c r="F454" s="339">
        <f t="shared" si="164"/>
        <v>2.9095749948777729E-3</v>
      </c>
      <c r="G454" s="338">
        <f t="shared" si="165"/>
        <v>1</v>
      </c>
      <c r="H454" s="339">
        <f t="shared" si="166"/>
        <v>0</v>
      </c>
      <c r="I454" s="337">
        <f t="shared" si="167"/>
        <v>93115.245847477228</v>
      </c>
      <c r="J454" s="340">
        <f t="shared" si="168"/>
        <v>1.5707855874149925</v>
      </c>
      <c r="K454" s="348">
        <f t="shared" si="184"/>
        <v>8.6413269651034241</v>
      </c>
      <c r="L454" s="349">
        <f t="shared" si="185"/>
        <v>1.4548135002773019</v>
      </c>
      <c r="M454" s="337">
        <f t="shared" si="169"/>
        <v>1.000989556475067</v>
      </c>
      <c r="N454" s="340">
        <f t="shared" si="170"/>
        <v>4.4468891265458527E-2</v>
      </c>
      <c r="O454" s="341">
        <f t="shared" si="171"/>
        <v>0.99786107790026202</v>
      </c>
      <c r="P454" s="342">
        <f t="shared" si="172"/>
        <v>1.1176114347929608E-2</v>
      </c>
      <c r="Q454" s="343">
        <f t="shared" si="173"/>
        <v>1.6280288836882093</v>
      </c>
      <c r="R454" s="344">
        <f t="shared" si="174"/>
        <v>-89.290139966488738</v>
      </c>
      <c r="S454" s="346">
        <f t="shared" si="175"/>
        <v>90.709860033511262</v>
      </c>
      <c r="U454" s="319">
        <f t="shared" si="181"/>
        <v>1000000000</v>
      </c>
      <c r="V454" s="319">
        <f t="shared" si="182"/>
        <v>2426867800.5625</v>
      </c>
      <c r="X454" s="345">
        <f t="shared" si="176"/>
        <v>17.049826347352649</v>
      </c>
      <c r="Y454" s="346">
        <f t="shared" si="177"/>
        <v>-9.192590933954099</v>
      </c>
      <c r="AA454" s="345">
        <f t="shared" si="178"/>
        <v>20.588376499937024</v>
      </c>
      <c r="AB454" s="346">
        <f t="shared" si="179"/>
        <v>-80.097549032534644</v>
      </c>
      <c r="AD454">
        <f t="shared" si="183"/>
        <v>0</v>
      </c>
      <c r="AE454">
        <f t="shared" si="186"/>
        <v>0</v>
      </c>
    </row>
    <row r="455" spans="1:31" x14ac:dyDescent="0.2">
      <c r="A455" s="347">
        <v>49548.5</v>
      </c>
      <c r="B455" s="364">
        <f t="shared" si="180"/>
        <v>49.548499999999997</v>
      </c>
      <c r="C455" s="337">
        <f t="shared" si="161"/>
        <v>5.5833130018233081</v>
      </c>
      <c r="D455" s="338">
        <f t="shared" si="162"/>
        <v>1.3907195291087795</v>
      </c>
      <c r="E455" s="338">
        <f t="shared" si="163"/>
        <v>1.0000042819889317</v>
      </c>
      <c r="F455" s="339">
        <f t="shared" si="164"/>
        <v>2.9264222703309487E-3</v>
      </c>
      <c r="G455" s="338">
        <f t="shared" si="165"/>
        <v>1</v>
      </c>
      <c r="H455" s="339">
        <f t="shared" si="166"/>
        <v>0</v>
      </c>
      <c r="I455" s="337">
        <f t="shared" si="167"/>
        <v>93654.412952265033</v>
      </c>
      <c r="J455" s="340">
        <f t="shared" si="168"/>
        <v>1.5707856492414478</v>
      </c>
      <c r="K455" s="348">
        <f t="shared" si="184"/>
        <v>8.6906948467194898</v>
      </c>
      <c r="L455" s="349">
        <f t="shared" si="185"/>
        <v>1.4554752907082522</v>
      </c>
      <c r="M455" s="337">
        <f t="shared" si="169"/>
        <v>1.0010010436040444</v>
      </c>
      <c r="N455" s="340">
        <f t="shared" si="170"/>
        <v>4.4726038125056981E-2</v>
      </c>
      <c r="O455" s="341">
        <f t="shared" si="171"/>
        <v>0.99783623769082186</v>
      </c>
      <c r="P455" s="342">
        <f t="shared" si="172"/>
        <v>1.124111019028973E-2</v>
      </c>
      <c r="Q455" s="343">
        <f t="shared" si="173"/>
        <v>1.5789467854971142</v>
      </c>
      <c r="R455" s="344">
        <f t="shared" si="174"/>
        <v>-89.328166229208094</v>
      </c>
      <c r="S455" s="346">
        <f t="shared" si="175"/>
        <v>90.671833770791906</v>
      </c>
      <c r="U455" s="319">
        <f t="shared" si="181"/>
        <v>1000000000</v>
      </c>
      <c r="V455" s="319">
        <f t="shared" si="182"/>
        <v>2455053852.25</v>
      </c>
      <c r="X455" s="345">
        <f t="shared" si="176"/>
        <v>17.049058895803284</v>
      </c>
      <c r="Y455" s="346">
        <f t="shared" si="177"/>
        <v>-9.1694101074769989</v>
      </c>
      <c r="AA455" s="345">
        <f t="shared" si="178"/>
        <v>20.540061853295292</v>
      </c>
      <c r="AB455" s="346">
        <f t="shared" si="179"/>
        <v>-80.158756121731088</v>
      </c>
      <c r="AD455">
        <f t="shared" si="183"/>
        <v>0</v>
      </c>
      <c r="AE455">
        <f t="shared" si="186"/>
        <v>0</v>
      </c>
    </row>
    <row r="456" spans="1:31" x14ac:dyDescent="0.2">
      <c r="A456" s="347">
        <v>49833.75</v>
      </c>
      <c r="B456" s="364">
        <f t="shared" si="180"/>
        <v>49.833750000000002</v>
      </c>
      <c r="C456" s="337">
        <f t="shared" si="161"/>
        <v>5.6144278055121379</v>
      </c>
      <c r="D456" s="338">
        <f t="shared" si="162"/>
        <v>1.3917283399688014</v>
      </c>
      <c r="E456" s="338">
        <f t="shared" si="163"/>
        <v>1.000004331433439</v>
      </c>
      <c r="F456" s="339">
        <f t="shared" si="164"/>
        <v>2.9432695441229035E-3</v>
      </c>
      <c r="G456" s="338">
        <f t="shared" si="165"/>
        <v>1</v>
      </c>
      <c r="H456" s="339">
        <f t="shared" si="166"/>
        <v>0</v>
      </c>
      <c r="I456" s="337">
        <f t="shared" si="167"/>
        <v>94193.580057053201</v>
      </c>
      <c r="J456" s="340">
        <f t="shared" si="168"/>
        <v>1.5707857103601097</v>
      </c>
      <c r="K456" s="348">
        <f t="shared" si="184"/>
        <v>8.7400664915697526</v>
      </c>
      <c r="L456" s="349">
        <f t="shared" si="185"/>
        <v>1.4561296046648287</v>
      </c>
      <c r="M456" s="337">
        <f t="shared" si="169"/>
        <v>1.001012596922201</v>
      </c>
      <c r="N456" s="340">
        <f t="shared" si="170"/>
        <v>4.4983179065870023E-2</v>
      </c>
      <c r="O456" s="341">
        <f t="shared" si="171"/>
        <v>0.99781125410078897</v>
      </c>
      <c r="P456" s="342">
        <f t="shared" si="172"/>
        <v>1.1306110940948064E-2</v>
      </c>
      <c r="Q456" s="343">
        <f t="shared" si="173"/>
        <v>1.5301374715508835</v>
      </c>
      <c r="R456" s="344">
        <f t="shared" si="174"/>
        <v>-89.365972989152482</v>
      </c>
      <c r="S456" s="346">
        <f t="shared" si="175"/>
        <v>90.634027010847518</v>
      </c>
      <c r="U456" s="319">
        <f t="shared" si="181"/>
        <v>1000000000</v>
      </c>
      <c r="V456" s="319">
        <f t="shared" si="182"/>
        <v>2483402639.0625</v>
      </c>
      <c r="X456" s="345">
        <f t="shared" si="176"/>
        <v>17.048302205240336</v>
      </c>
      <c r="Y456" s="346">
        <f t="shared" si="177"/>
        <v>-9.1466572717526606</v>
      </c>
      <c r="AA456" s="345">
        <f t="shared" si="178"/>
        <v>20.492009229912014</v>
      </c>
      <c r="AB456" s="346">
        <f t="shared" si="179"/>
        <v>-80.219315717399809</v>
      </c>
      <c r="AD456">
        <f t="shared" si="183"/>
        <v>0</v>
      </c>
      <c r="AE456">
        <f t="shared" si="186"/>
        <v>0</v>
      </c>
    </row>
    <row r="457" spans="1:31" x14ac:dyDescent="0.2">
      <c r="A457" s="347">
        <v>50119</v>
      </c>
      <c r="B457" s="364">
        <f t="shared" si="180"/>
        <v>50.119</v>
      </c>
      <c r="C457" s="337">
        <f t="shared" si="161"/>
        <v>5.6455482600152065</v>
      </c>
      <c r="D457" s="338">
        <f t="shared" si="162"/>
        <v>1.3927260299203841</v>
      </c>
      <c r="E457" s="338">
        <f t="shared" si="163"/>
        <v>1.0000043811617783</v>
      </c>
      <c r="F457" s="339">
        <f t="shared" si="164"/>
        <v>2.9601168162440728E-3</v>
      </c>
      <c r="G457" s="338">
        <f t="shared" si="165"/>
        <v>1</v>
      </c>
      <c r="H457" s="339">
        <f t="shared" si="166"/>
        <v>0</v>
      </c>
      <c r="I457" s="337">
        <f t="shared" si="167"/>
        <v>94732.747161841718</v>
      </c>
      <c r="J457" s="340">
        <f t="shared" si="168"/>
        <v>1.5707857707830635</v>
      </c>
      <c r="K457" s="348">
        <f t="shared" si="184"/>
        <v>8.7894418362382183</v>
      </c>
      <c r="L457" s="349">
        <f t="shared" si="185"/>
        <v>1.4567765675809541</v>
      </c>
      <c r="M457" s="337">
        <f t="shared" si="169"/>
        <v>1.0010242164272449</v>
      </c>
      <c r="N457" s="340">
        <f t="shared" si="170"/>
        <v>4.5240314054098119E-2</v>
      </c>
      <c r="O457" s="341">
        <f t="shared" si="171"/>
        <v>0.99778612713080417</v>
      </c>
      <c r="P457" s="342">
        <f t="shared" si="172"/>
        <v>1.1371116628569466E-2</v>
      </c>
      <c r="Q457" s="343">
        <f t="shared" si="173"/>
        <v>1.481598000551601</v>
      </c>
      <c r="R457" s="344">
        <f t="shared" si="174"/>
        <v>-89.403563653615308</v>
      </c>
      <c r="S457" s="346">
        <f t="shared" si="175"/>
        <v>90.596436346384692</v>
      </c>
      <c r="U457" s="319">
        <f t="shared" si="181"/>
        <v>1000000000</v>
      </c>
      <c r="V457" s="319">
        <f t="shared" si="182"/>
        <v>2511914161</v>
      </c>
      <c r="X457" s="345">
        <f t="shared" si="176"/>
        <v>17.047556021193738</v>
      </c>
      <c r="Y457" s="346">
        <f t="shared" si="177"/>
        <v>-9.124325238702518</v>
      </c>
      <c r="AA457" s="345">
        <f t="shared" si="178"/>
        <v>20.444215942959332</v>
      </c>
      <c r="AB457" s="346">
        <f t="shared" si="179"/>
        <v>-80.279238414912797</v>
      </c>
      <c r="AD457">
        <f t="shared" si="183"/>
        <v>0</v>
      </c>
      <c r="AE457">
        <f t="shared" si="186"/>
        <v>0</v>
      </c>
    </row>
    <row r="458" spans="1:31" x14ac:dyDescent="0.2">
      <c r="A458" s="347">
        <v>50410.75</v>
      </c>
      <c r="B458" s="364">
        <f t="shared" si="180"/>
        <v>50.41075</v>
      </c>
      <c r="C458" s="337">
        <f t="shared" si="161"/>
        <v>5.6773836057893208</v>
      </c>
      <c r="D458" s="338">
        <f t="shared" si="162"/>
        <v>1.3937351389070691</v>
      </c>
      <c r="E458" s="338">
        <f t="shared" si="163"/>
        <v>1.0000044323168857</v>
      </c>
      <c r="F458" s="339">
        <f t="shared" si="164"/>
        <v>2.9773479859040298E-3</v>
      </c>
      <c r="G458" s="338">
        <f t="shared" si="165"/>
        <v>1</v>
      </c>
      <c r="H458" s="339">
        <f t="shared" si="166"/>
        <v>0</v>
      </c>
      <c r="I458" s="337">
        <f t="shared" si="167"/>
        <v>95284.200283041195</v>
      </c>
      <c r="J458" s="340">
        <f t="shared" si="168"/>
        <v>1.5707858318755181</v>
      </c>
      <c r="K458" s="348">
        <f t="shared" si="184"/>
        <v>8.8399460609361658</v>
      </c>
      <c r="L458" s="349">
        <f t="shared" si="185"/>
        <v>1.4574307964759996</v>
      </c>
      <c r="M458" s="337">
        <f t="shared" si="169"/>
        <v>1.0010361691702589</v>
      </c>
      <c r="N458" s="340">
        <f t="shared" si="170"/>
        <v>4.5503302191922598E-2</v>
      </c>
      <c r="O458" s="341">
        <f t="shared" si="171"/>
        <v>0.99776027927451849</v>
      </c>
      <c r="P458" s="342">
        <f t="shared" si="172"/>
        <v>1.1437608739552402E-2</v>
      </c>
      <c r="Q458" s="343">
        <f t="shared" si="173"/>
        <v>1.4322285788001088</v>
      </c>
      <c r="R458" s="344">
        <f t="shared" si="174"/>
        <v>-89.441790839874955</v>
      </c>
      <c r="S458" s="346">
        <f t="shared" si="175"/>
        <v>90.558209160125045</v>
      </c>
      <c r="U458" s="319">
        <f t="shared" si="181"/>
        <v>1000000000</v>
      </c>
      <c r="V458" s="319">
        <f t="shared" si="182"/>
        <v>2541243715.5625</v>
      </c>
      <c r="X458" s="345">
        <f t="shared" si="176"/>
        <v>17.04680344438858</v>
      </c>
      <c r="Y458" s="346">
        <f t="shared" si="177"/>
        <v>-9.1019122948544613</v>
      </c>
      <c r="AA458" s="345">
        <f t="shared" si="178"/>
        <v>20.395599098012998</v>
      </c>
      <c r="AB458" s="346">
        <f t="shared" si="179"/>
        <v>-80.339878545020511</v>
      </c>
      <c r="AD458">
        <f t="shared" si="183"/>
        <v>0</v>
      </c>
      <c r="AE458">
        <f t="shared" si="186"/>
        <v>0</v>
      </c>
    </row>
    <row r="459" spans="1:31" x14ac:dyDescent="0.2">
      <c r="A459" s="347">
        <v>50702.5</v>
      </c>
      <c r="B459" s="364">
        <f t="shared" si="180"/>
        <v>50.702500000000001</v>
      </c>
      <c r="C459" s="337">
        <f t="shared" si="161"/>
        <v>5.7092246683707994</v>
      </c>
      <c r="D459" s="338">
        <f t="shared" si="162"/>
        <v>1.3947329930454884</v>
      </c>
      <c r="E459" s="338">
        <f t="shared" si="163"/>
        <v>1.0000044837689075</v>
      </c>
      <c r="F459" s="339">
        <f t="shared" si="164"/>
        <v>2.9945791537959541E-3</v>
      </c>
      <c r="G459" s="338">
        <f t="shared" si="165"/>
        <v>1</v>
      </c>
      <c r="H459" s="339">
        <f t="shared" si="166"/>
        <v>0</v>
      </c>
      <c r="I459" s="337">
        <f t="shared" si="167"/>
        <v>95835.65340424102</v>
      </c>
      <c r="J459" s="340">
        <f t="shared" si="168"/>
        <v>1.5707858922649018</v>
      </c>
      <c r="K459" s="348">
        <f t="shared" si="184"/>
        <v>8.8904540262790768</v>
      </c>
      <c r="L459" s="349">
        <f t="shared" si="185"/>
        <v>1.4580775921058202</v>
      </c>
      <c r="M459" s="337">
        <f t="shared" si="169"/>
        <v>1.0010481911460418</v>
      </c>
      <c r="N459" s="340">
        <f t="shared" si="170"/>
        <v>4.576628403128228E-2</v>
      </c>
      <c r="O459" s="341">
        <f t="shared" si="171"/>
        <v>0.9977342814307939</v>
      </c>
      <c r="P459" s="342">
        <f t="shared" si="172"/>
        <v>1.150410607573755E-2</v>
      </c>
      <c r="Q459" s="343">
        <f t="shared" si="173"/>
        <v>1.3831353624297027</v>
      </c>
      <c r="R459" s="344">
        <f t="shared" si="174"/>
        <v>-89.479798963879958</v>
      </c>
      <c r="S459" s="346">
        <f t="shared" si="175"/>
        <v>90.520201036120042</v>
      </c>
      <c r="U459" s="319">
        <f t="shared" si="181"/>
        <v>1000000000</v>
      </c>
      <c r="V459" s="319">
        <f t="shared" si="182"/>
        <v>2570743506.25</v>
      </c>
      <c r="X459" s="345">
        <f t="shared" si="176"/>
        <v>17.046061342357177</v>
      </c>
      <c r="Y459" s="346">
        <f t="shared" si="177"/>
        <v>-9.0799248445738154</v>
      </c>
      <c r="AA459" s="345">
        <f t="shared" si="178"/>
        <v>20.347247983673988</v>
      </c>
      <c r="AB459" s="346">
        <f t="shared" si="179"/>
        <v>-80.399874119306119</v>
      </c>
      <c r="AD459">
        <f t="shared" si="183"/>
        <v>0</v>
      </c>
      <c r="AE459">
        <f t="shared" si="186"/>
        <v>0</v>
      </c>
    </row>
    <row r="460" spans="1:31" x14ac:dyDescent="0.2">
      <c r="A460" s="347">
        <v>50994.25</v>
      </c>
      <c r="B460" s="364">
        <f t="shared" si="180"/>
        <v>50.994250000000001</v>
      </c>
      <c r="C460" s="337">
        <f t="shared" si="161"/>
        <v>5.7410713526401711</v>
      </c>
      <c r="D460" s="338">
        <f t="shared" si="162"/>
        <v>1.3957197776293588</v>
      </c>
      <c r="E460" s="338">
        <f t="shared" si="163"/>
        <v>1.000004535517844</v>
      </c>
      <c r="F460" s="339">
        <f t="shared" si="164"/>
        <v>3.0118103199096129E-3</v>
      </c>
      <c r="G460" s="338">
        <f t="shared" si="165"/>
        <v>1</v>
      </c>
      <c r="H460" s="339">
        <f t="shared" si="166"/>
        <v>0</v>
      </c>
      <c r="I460" s="337">
        <f t="shared" si="167"/>
        <v>96387.106525441181</v>
      </c>
      <c r="J460" s="340">
        <f t="shared" si="168"/>
        <v>1.5707859519632821</v>
      </c>
      <c r="K460" s="348">
        <f t="shared" si="184"/>
        <v>8.9409656688736767</v>
      </c>
      <c r="L460" s="349">
        <f t="shared" si="185"/>
        <v>1.4587170799064515</v>
      </c>
      <c r="M460" s="337">
        <f t="shared" si="169"/>
        <v>1.0010602823520993</v>
      </c>
      <c r="N460" s="340">
        <f t="shared" si="170"/>
        <v>4.6029259536029377E-2</v>
      </c>
      <c r="O460" s="341">
        <f t="shared" si="171"/>
        <v>0.99770813360032828</v>
      </c>
      <c r="P460" s="342">
        <f t="shared" si="172"/>
        <v>1.157060866781739E-2</v>
      </c>
      <c r="Q460" s="343">
        <f t="shared" si="173"/>
        <v>1.3343153527481655</v>
      </c>
      <c r="R460" s="344">
        <f t="shared" si="174"/>
        <v>-89.517591455602229</v>
      </c>
      <c r="S460" s="346">
        <f t="shared" si="175"/>
        <v>90.482408544397771</v>
      </c>
      <c r="U460" s="319">
        <f t="shared" si="181"/>
        <v>1000000000</v>
      </c>
      <c r="V460" s="319">
        <f t="shared" si="182"/>
        <v>2600413533.0625</v>
      </c>
      <c r="X460" s="345">
        <f t="shared" si="176"/>
        <v>17.0453294650804</v>
      </c>
      <c r="Y460" s="346">
        <f t="shared" si="177"/>
        <v>-9.0583556995254622</v>
      </c>
      <c r="AA460" s="345">
        <f t="shared" si="178"/>
        <v>20.299159851269231</v>
      </c>
      <c r="AB460" s="346">
        <f t="shared" si="179"/>
        <v>-80.459235756076751</v>
      </c>
      <c r="AD460">
        <f t="shared" si="183"/>
        <v>0</v>
      </c>
      <c r="AE460">
        <f t="shared" si="186"/>
        <v>0</v>
      </c>
    </row>
    <row r="461" spans="1:31" x14ac:dyDescent="0.2">
      <c r="A461" s="347">
        <v>51286</v>
      </c>
      <c r="B461" s="364">
        <f t="shared" si="180"/>
        <v>51.286000000000001</v>
      </c>
      <c r="C461" s="337">
        <f t="shared" ref="C461:C524" si="187">SQRT(1+(A461/pole1)^2)</f>
        <v>5.7729235655602871</v>
      </c>
      <c r="D461" s="338">
        <f t="shared" ref="D461:D524" si="188">ATAN(A461/pole1)</f>
        <v>1.3966956739502709</v>
      </c>
      <c r="E461" s="338">
        <f t="shared" ref="E461:E524" si="189">SQRT(1+(A461/Zero1)^2)</f>
        <v>1.0000045875636947</v>
      </c>
      <c r="F461" s="339">
        <f t="shared" ref="F461:F524" si="190">ATAN(A461/Zero1)</f>
        <v>3.0290414842347752E-3</v>
      </c>
      <c r="G461" s="338">
        <f t="shared" ref="G461:G524" si="191">IF(VIN_nom&gt;Vout, 1, SQRT(1+(A461/z_RHP)^2))</f>
        <v>1</v>
      </c>
      <c r="H461" s="339">
        <f t="shared" ref="H461:H524" si="192">IF(VIN_nom&gt;Vout, 0, -ATAN(A461/z_RHP))</f>
        <v>0</v>
      </c>
      <c r="I461" s="337">
        <f t="shared" ref="I461:I524" si="193">SQRT(1+(A461/Pole2)^2)</f>
        <v>96938.559646641705</v>
      </c>
      <c r="J461" s="340">
        <f t="shared" ref="J461:J524" si="194">ATAN(A461/Pole2)</f>
        <v>1.5707860109824514</v>
      </c>
      <c r="K461" s="348">
        <f t="shared" si="184"/>
        <v>8.9914809267466325</v>
      </c>
      <c r="L461" s="349">
        <f t="shared" si="185"/>
        <v>1.4593493825192845</v>
      </c>
      <c r="M461" s="337">
        <f t="shared" ref="M461:M524" si="195">SQRT(1+(A461/pole4)^2)</f>
        <v>1.0010724427859228</v>
      </c>
      <c r="N461" s="340">
        <f t="shared" ref="N461:N524" si="196">ATAN(A461/pole4)</f>
        <v>4.6292228670021356E-2</v>
      </c>
      <c r="O461" s="341">
        <f t="shared" ref="O461:O524" si="197">SQRT((1-(V461/pterm2))^2+(A461/pterm1)^2)</f>
        <v>0.9976818357838243</v>
      </c>
      <c r="P461" s="342">
        <f t="shared" ref="P461:P524" si="198">IF((ATAN((A461/pterm1)/(1-A461^2/pterm2))&gt;0),ATAN((A461/pterm1)/(1-A461^2/pterm2)),PI()+ATAN((A461/pterm1)/(1-A461^2/pterm2)))</f>
        <v>1.1637116546492271E-2</v>
      </c>
      <c r="Q461" s="343">
        <f t="shared" ref="Q461:Q524" si="199">20*LOG10(((E461*K461*G461)/(C461*I461*O461*M461))*Adc)</f>
        <v>1.2857655989816243</v>
      </c>
      <c r="R461" s="344">
        <f t="shared" ref="R461:R524" si="200">((F461+L461+H461)-(D461+J461+P461+N461))*radconv</f>
        <v>-89.555171675815117</v>
      </c>
      <c r="S461" s="346">
        <f t="shared" ref="S461:S524" si="201">IF(R461&gt;0,R461,R461+180)</f>
        <v>90.444828324184883</v>
      </c>
      <c r="U461" s="319">
        <f t="shared" si="181"/>
        <v>1000000000</v>
      </c>
      <c r="V461" s="319">
        <f t="shared" si="182"/>
        <v>2630253796</v>
      </c>
      <c r="X461" s="345">
        <f t="shared" ref="X461:X524" si="202">20*LOG10((K461/(I461*M461))*AEA)</f>
        <v>17.044607569543491</v>
      </c>
      <c r="Y461" s="346">
        <f t="shared" ref="Y461:Y524" si="203">(L461-(J461+N461))*radconv</f>
        <v>-9.0371978314801211</v>
      </c>
      <c r="AA461" s="345">
        <f t="shared" ref="AA461:AA524" si="204">20*LOG10((E461*G461/(C461*O461))*Acs*Am)</f>
        <v>20.251331993039603</v>
      </c>
      <c r="AB461" s="346">
        <f t="shared" ref="AB461:AB524" si="205">(F461+H461-(D461+P461))*radconv</f>
        <v>-80.517973844335003</v>
      </c>
      <c r="AD461">
        <f t="shared" si="183"/>
        <v>0</v>
      </c>
      <c r="AE461">
        <f t="shared" si="186"/>
        <v>0</v>
      </c>
    </row>
    <row r="462" spans="1:31" x14ac:dyDescent="0.2">
      <c r="A462" s="347">
        <v>51584.75</v>
      </c>
      <c r="B462" s="364">
        <f t="shared" ref="B462:B525" si="206">A462/1000</f>
        <v>51.58475</v>
      </c>
      <c r="C462" s="337">
        <f t="shared" si="187"/>
        <v>5.8055456473997777</v>
      </c>
      <c r="D462" s="338">
        <f t="shared" si="188"/>
        <v>1.3976838871080175</v>
      </c>
      <c r="E462" s="338">
        <f t="shared" si="189"/>
        <v>1.0000046411659747</v>
      </c>
      <c r="F462" s="339">
        <f t="shared" si="190"/>
        <v>3.0466860765168673E-3</v>
      </c>
      <c r="G462" s="338">
        <f t="shared" si="191"/>
        <v>1</v>
      </c>
      <c r="H462" s="339">
        <f t="shared" si="192"/>
        <v>0</v>
      </c>
      <c r="I462" s="337">
        <f t="shared" si="193"/>
        <v>97503.243862438627</v>
      </c>
      <c r="J462" s="340">
        <f t="shared" si="194"/>
        <v>1.5707860707258634</v>
      </c>
      <c r="K462" s="348">
        <f t="shared" si="184"/>
        <v>9.0432118876642491</v>
      </c>
      <c r="L462" s="349">
        <f t="shared" si="185"/>
        <v>1.4599895354630665</v>
      </c>
      <c r="M462" s="337">
        <f t="shared" si="195"/>
        <v>1.0010849667233406</v>
      </c>
      <c r="N462" s="340">
        <f t="shared" si="196"/>
        <v>4.6561500620909073E-2</v>
      </c>
      <c r="O462" s="341">
        <f t="shared" si="197"/>
        <v>0.99765475157357342</v>
      </c>
      <c r="P462" s="342">
        <f t="shared" si="198"/>
        <v>1.1705225668788217E-2</v>
      </c>
      <c r="Q462" s="343">
        <f t="shared" si="199"/>
        <v>1.2363280111023516</v>
      </c>
      <c r="R462" s="344">
        <f t="shared" si="200"/>
        <v>-89.593437031092833</v>
      </c>
      <c r="S462" s="346">
        <f t="shared" si="201"/>
        <v>90.406562968907167</v>
      </c>
      <c r="U462" s="319">
        <f t="shared" ref="U462:U525" si="207">IF(Q462&lt;0,A462,1000000000)</f>
        <v>1000000000</v>
      </c>
      <c r="V462" s="319">
        <f t="shared" ref="V462:V525" si="208">A462^2</f>
        <v>2660986432.5625</v>
      </c>
      <c r="X462" s="345">
        <f t="shared" si="202"/>
        <v>17.043878450584348</v>
      </c>
      <c r="Y462" s="346">
        <f t="shared" si="203"/>
        <v>-9.0159513389067349</v>
      </c>
      <c r="AA462" s="345">
        <f t="shared" si="204"/>
        <v>20.20262352411947</v>
      </c>
      <c r="AB462" s="346">
        <f t="shared" si="205"/>
        <v>-80.577485692186087</v>
      </c>
      <c r="AD462">
        <f t="shared" ref="AD462:AD525" si="209">SUM((Q463&lt;0)*(Q462&gt;0))*A462</f>
        <v>0</v>
      </c>
      <c r="AE462">
        <f t="shared" si="186"/>
        <v>0</v>
      </c>
    </row>
    <row r="463" spans="1:31" x14ac:dyDescent="0.2">
      <c r="A463" s="347">
        <v>51883.5</v>
      </c>
      <c r="B463" s="364">
        <f t="shared" si="206"/>
        <v>51.883499999999998</v>
      </c>
      <c r="C463" s="337">
        <f t="shared" si="187"/>
        <v>5.8381733353710699</v>
      </c>
      <c r="D463" s="338">
        <f t="shared" si="188"/>
        <v>1.3986610555951107</v>
      </c>
      <c r="E463" s="338">
        <f t="shared" si="189"/>
        <v>1.0000046950795878</v>
      </c>
      <c r="F463" s="339">
        <f t="shared" si="190"/>
        <v>3.0643306669018949E-3</v>
      </c>
      <c r="G463" s="338">
        <f t="shared" si="191"/>
        <v>1</v>
      </c>
      <c r="H463" s="339">
        <f t="shared" si="192"/>
        <v>0</v>
      </c>
      <c r="I463" s="337">
        <f t="shared" si="193"/>
        <v>98067.928078235898</v>
      </c>
      <c r="J463" s="340">
        <f t="shared" si="194"/>
        <v>1.5707861297812591</v>
      </c>
      <c r="K463" s="348">
        <f t="shared" si="184"/>
        <v>9.0949465122940705</v>
      </c>
      <c r="L463" s="349">
        <f t="shared" si="185"/>
        <v>1.4606224059222324</v>
      </c>
      <c r="M463" s="337">
        <f t="shared" si="195"/>
        <v>1.0010975632449908</v>
      </c>
      <c r="N463" s="340">
        <f t="shared" si="196"/>
        <v>4.6830765814977637E-2</v>
      </c>
      <c r="O463" s="341">
        <f t="shared" si="197"/>
        <v>0.99762751009517192</v>
      </c>
      <c r="P463" s="342">
        <f t="shared" si="198"/>
        <v>1.1773340399586935E-2</v>
      </c>
      <c r="Q463" s="343">
        <f t="shared" si="199"/>
        <v>1.1871676905992328</v>
      </c>
      <c r="R463" s="344">
        <f t="shared" si="200"/>
        <v>-89.631486723883199</v>
      </c>
      <c r="S463" s="346">
        <f t="shared" si="201"/>
        <v>90.368513276116801</v>
      </c>
      <c r="U463" s="319">
        <f t="shared" si="207"/>
        <v>1000000000</v>
      </c>
      <c r="V463" s="319">
        <f t="shared" si="208"/>
        <v>2691897572.25</v>
      </c>
      <c r="X463" s="345">
        <f t="shared" si="202"/>
        <v>17.043159303859447</v>
      </c>
      <c r="Y463" s="346">
        <f t="shared" si="203"/>
        <v>-8.9951216754090542</v>
      </c>
      <c r="AA463" s="345">
        <f t="shared" si="204"/>
        <v>20.154182350341252</v>
      </c>
      <c r="AB463" s="346">
        <f t="shared" si="205"/>
        <v>-80.636365048474133</v>
      </c>
      <c r="AD463">
        <f t="shared" si="209"/>
        <v>0</v>
      </c>
      <c r="AE463">
        <f t="shared" si="186"/>
        <v>0</v>
      </c>
    </row>
    <row r="464" spans="1:31" x14ac:dyDescent="0.2">
      <c r="A464" s="347">
        <v>52182.25</v>
      </c>
      <c r="B464" s="364">
        <f t="shared" si="206"/>
        <v>52.182250000000003</v>
      </c>
      <c r="C464" s="337">
        <f t="shared" si="187"/>
        <v>5.8708065360039798</v>
      </c>
      <c r="D464" s="338">
        <f t="shared" si="188"/>
        <v>1.3996273617069317</v>
      </c>
      <c r="E464" s="338">
        <f t="shared" si="189"/>
        <v>1.0000047493045339</v>
      </c>
      <c r="F464" s="339">
        <f t="shared" si="190"/>
        <v>3.0819752553788711E-3</v>
      </c>
      <c r="G464" s="338">
        <f t="shared" si="191"/>
        <v>1</v>
      </c>
      <c r="H464" s="339">
        <f t="shared" si="192"/>
        <v>0</v>
      </c>
      <c r="I464" s="337">
        <f t="shared" si="193"/>
        <v>98632.612294033519</v>
      </c>
      <c r="J464" s="340">
        <f t="shared" si="194"/>
        <v>1.5707861881604555</v>
      </c>
      <c r="K464" s="348">
        <f t="shared" si="184"/>
        <v>9.1466847384690588</v>
      </c>
      <c r="L464" s="349">
        <f t="shared" si="185"/>
        <v>1.4612481169656024</v>
      </c>
      <c r="M464" s="337">
        <f t="shared" si="195"/>
        <v>1.0011102323481333</v>
      </c>
      <c r="N464" s="340">
        <f t="shared" si="196"/>
        <v>4.7100024213437383E-2</v>
      </c>
      <c r="O464" s="341">
        <f t="shared" si="197"/>
        <v>0.99760011134938709</v>
      </c>
      <c r="P464" s="342">
        <f t="shared" si="198"/>
        <v>1.1841460771877988E-2</v>
      </c>
      <c r="Q464" s="343">
        <f t="shared" si="199"/>
        <v>1.1382816188996874</v>
      </c>
      <c r="R464" s="344">
        <f t="shared" si="200"/>
        <v>-89.669324147963536</v>
      </c>
      <c r="S464" s="346">
        <f t="shared" si="201"/>
        <v>90.330675852036464</v>
      </c>
      <c r="U464" s="319">
        <f t="shared" si="207"/>
        <v>1000000000</v>
      </c>
      <c r="V464" s="319">
        <f t="shared" si="208"/>
        <v>2722987215.0625</v>
      </c>
      <c r="X464" s="345">
        <f t="shared" si="202"/>
        <v>17.042449889773415</v>
      </c>
      <c r="Y464" s="346">
        <f t="shared" si="203"/>
        <v>-8.9747017881176525</v>
      </c>
      <c r="AA464" s="345">
        <f t="shared" si="204"/>
        <v>20.106005692727734</v>
      </c>
      <c r="AB464" s="346">
        <f t="shared" si="205"/>
        <v>-80.694622359845894</v>
      </c>
      <c r="AD464">
        <f t="shared" si="209"/>
        <v>0</v>
      </c>
      <c r="AE464">
        <f t="shared" si="186"/>
        <v>0</v>
      </c>
    </row>
    <row r="465" spans="1:31" x14ac:dyDescent="0.2">
      <c r="A465" s="347">
        <v>52481</v>
      </c>
      <c r="B465" s="364">
        <f t="shared" si="206"/>
        <v>52.481000000000002</v>
      </c>
      <c r="C465" s="337">
        <f t="shared" si="187"/>
        <v>5.9034451578794558</v>
      </c>
      <c r="D465" s="338">
        <f t="shared" si="188"/>
        <v>1.4005829837895734</v>
      </c>
      <c r="E465" s="338">
        <f t="shared" si="189"/>
        <v>1.0000048038408129</v>
      </c>
      <c r="F465" s="339">
        <f t="shared" si="190"/>
        <v>3.099619841936809E-3</v>
      </c>
      <c r="G465" s="338">
        <f t="shared" si="191"/>
        <v>1</v>
      </c>
      <c r="H465" s="339">
        <f t="shared" si="192"/>
        <v>0</v>
      </c>
      <c r="I465" s="337">
        <f t="shared" si="193"/>
        <v>99197.29650983146</v>
      </c>
      <c r="J465" s="340">
        <f t="shared" si="194"/>
        <v>1.5707862458750006</v>
      </c>
      <c r="K465" s="348">
        <f t="shared" si="184"/>
        <v>9.1984265054165686</v>
      </c>
      <c r="L465" s="349">
        <f t="shared" si="185"/>
        <v>1.4618667889156303</v>
      </c>
      <c r="M465" s="337">
        <f t="shared" si="195"/>
        <v>1.0011229740300132</v>
      </c>
      <c r="N465" s="340">
        <f t="shared" si="196"/>
        <v>4.7369275777504528E-2</v>
      </c>
      <c r="O465" s="341">
        <f t="shared" si="197"/>
        <v>0.99757255533699096</v>
      </c>
      <c r="P465" s="342">
        <f t="shared" si="198"/>
        <v>1.1909586818659796E-2</v>
      </c>
      <c r="Q465" s="343">
        <f t="shared" si="199"/>
        <v>1.0896668258357876</v>
      </c>
      <c r="R465" s="344">
        <f t="shared" si="200"/>
        <v>-89.706952628174349</v>
      </c>
      <c r="S465" s="346">
        <f t="shared" si="201"/>
        <v>90.293047371825651</v>
      </c>
      <c r="U465" s="319">
        <f t="shared" si="207"/>
        <v>1000000000</v>
      </c>
      <c r="V465" s="319">
        <f t="shared" si="208"/>
        <v>2754255361</v>
      </c>
      <c r="X465" s="345">
        <f t="shared" si="202"/>
        <v>17.041749975451697</v>
      </c>
      <c r="Y465" s="346">
        <f t="shared" si="203"/>
        <v>-8.9546847815032553</v>
      </c>
      <c r="AA465" s="345">
        <f t="shared" si="204"/>
        <v>20.058090813985558</v>
      </c>
      <c r="AB465" s="346">
        <f t="shared" si="205"/>
        <v>-80.752267846671117</v>
      </c>
      <c r="AD465">
        <f t="shared" si="209"/>
        <v>0</v>
      </c>
      <c r="AE465">
        <f t="shared" si="186"/>
        <v>0</v>
      </c>
    </row>
    <row r="466" spans="1:31" x14ac:dyDescent="0.2">
      <c r="A466" s="347">
        <v>52786.5</v>
      </c>
      <c r="B466" s="364">
        <f t="shared" si="206"/>
        <v>52.786499999999997</v>
      </c>
      <c r="C466" s="337">
        <f t="shared" si="187"/>
        <v>5.9368267346176005</v>
      </c>
      <c r="D466" s="338">
        <f t="shared" si="188"/>
        <v>1.4015493302801978</v>
      </c>
      <c r="E466" s="338">
        <f t="shared" si="189"/>
        <v>1.0000048599312561</v>
      </c>
      <c r="F466" s="339">
        <f t="shared" si="190"/>
        <v>3.1176630907975324E-3</v>
      </c>
      <c r="G466" s="338">
        <f t="shared" si="191"/>
        <v>1</v>
      </c>
      <c r="H466" s="339">
        <f t="shared" si="192"/>
        <v>0</v>
      </c>
      <c r="I466" s="337">
        <f t="shared" si="193"/>
        <v>99774.739281133123</v>
      </c>
      <c r="J466" s="340">
        <f t="shared" si="194"/>
        <v>1.5707863042179677</v>
      </c>
      <c r="K466" s="348">
        <f t="shared" si="184"/>
        <v>9.2513409329837657</v>
      </c>
      <c r="L466" s="349">
        <f t="shared" si="185"/>
        <v>1.4624922823445703</v>
      </c>
      <c r="M466" s="337">
        <f t="shared" si="195"/>
        <v>1.0011360786534225</v>
      </c>
      <c r="N466" s="340">
        <f t="shared" si="196"/>
        <v>4.7644603741546894E-2</v>
      </c>
      <c r="O466" s="341">
        <f t="shared" si="197"/>
        <v>0.99754421408423066</v>
      </c>
      <c r="P466" s="342">
        <f t="shared" si="198"/>
        <v>1.1979258017680249E-2</v>
      </c>
      <c r="Q466" s="343">
        <f t="shared" si="199"/>
        <v>1.0402311199925434</v>
      </c>
      <c r="R466" s="344">
        <f t="shared" si="200"/>
        <v>-89.745218606863119</v>
      </c>
      <c r="S466" s="346">
        <f t="shared" si="201"/>
        <v>90.254781393136881</v>
      </c>
      <c r="U466" s="319">
        <f t="shared" si="207"/>
        <v>1000000000</v>
      </c>
      <c r="V466" s="319">
        <f t="shared" si="208"/>
        <v>2786414582.25</v>
      </c>
      <c r="X466" s="345">
        <f t="shared" si="202"/>
        <v>17.041043835479734</v>
      </c>
      <c r="Y466" s="346">
        <f t="shared" si="203"/>
        <v>-8.9346251210162446</v>
      </c>
      <c r="AA466" s="345">
        <f t="shared" si="204"/>
        <v>20.009361248114281</v>
      </c>
      <c r="AB466" s="346">
        <f t="shared" si="205"/>
        <v>-80.81059348584688</v>
      </c>
      <c r="AD466">
        <f t="shared" si="209"/>
        <v>0</v>
      </c>
      <c r="AE466">
        <f t="shared" si="186"/>
        <v>0</v>
      </c>
    </row>
    <row r="467" spans="1:31" x14ac:dyDescent="0.2">
      <c r="A467" s="347">
        <v>53092</v>
      </c>
      <c r="B467" s="364">
        <f t="shared" si="206"/>
        <v>53.091999999999999</v>
      </c>
      <c r="C467" s="337">
        <f t="shared" si="187"/>
        <v>5.9702137933166881</v>
      </c>
      <c r="D467" s="338">
        <f t="shared" si="188"/>
        <v>1.4025048695102249</v>
      </c>
      <c r="E467" s="338">
        <f t="shared" si="189"/>
        <v>1.0000049163472597</v>
      </c>
      <c r="F467" s="339">
        <f t="shared" si="190"/>
        <v>3.1357063376282841E-3</v>
      </c>
      <c r="G467" s="338">
        <f t="shared" si="191"/>
        <v>1</v>
      </c>
      <c r="H467" s="339">
        <f t="shared" si="192"/>
        <v>0</v>
      </c>
      <c r="I467" s="337">
        <f t="shared" si="193"/>
        <v>100352.18205243511</v>
      </c>
      <c r="J467" s="340">
        <f t="shared" si="194"/>
        <v>1.5707863618895048</v>
      </c>
      <c r="K467" s="348">
        <f t="shared" si="184"/>
        <v>9.3042589388943373</v>
      </c>
      <c r="L467" s="349">
        <f t="shared" si="185"/>
        <v>1.4631106610209403</v>
      </c>
      <c r="M467" s="337">
        <f t="shared" si="195"/>
        <v>1.0011492591664504</v>
      </c>
      <c r="N467" s="340">
        <f t="shared" si="196"/>
        <v>4.7919924476863669E-2</v>
      </c>
      <c r="O467" s="341">
        <f t="shared" si="197"/>
        <v>0.99751570837961434</v>
      </c>
      <c r="P467" s="342">
        <f t="shared" si="198"/>
        <v>1.2048935220329808E-2</v>
      </c>
      <c r="Q467" s="343">
        <f t="shared" si="199"/>
        <v>0.9910729584951159</v>
      </c>
      <c r="R467" s="344">
        <f t="shared" si="200"/>
        <v>-89.783272911879195</v>
      </c>
      <c r="S467" s="346">
        <f t="shared" si="201"/>
        <v>90.216727088120805</v>
      </c>
      <c r="U467" s="319">
        <f t="shared" si="207"/>
        <v>1000000000</v>
      </c>
      <c r="V467" s="319">
        <f t="shared" si="208"/>
        <v>2818760464</v>
      </c>
      <c r="X467" s="345">
        <f t="shared" si="202"/>
        <v>17.040347157418704</v>
      </c>
      <c r="Y467" s="346">
        <f t="shared" si="203"/>
        <v>-8.9149726531786619</v>
      </c>
      <c r="AA467" s="345">
        <f t="shared" si="204"/>
        <v>19.960899764677873</v>
      </c>
      <c r="AB467" s="346">
        <f t="shared" si="205"/>
        <v>-80.868300258700543</v>
      </c>
      <c r="AD467">
        <f t="shared" si="209"/>
        <v>0</v>
      </c>
      <c r="AE467">
        <f t="shared" si="186"/>
        <v>0</v>
      </c>
    </row>
    <row r="468" spans="1:31" x14ac:dyDescent="0.2">
      <c r="A468" s="347">
        <v>53397.5</v>
      </c>
      <c r="B468" s="364">
        <f t="shared" si="206"/>
        <v>53.397500000000001</v>
      </c>
      <c r="C468" s="337">
        <f t="shared" si="187"/>
        <v>6.0036062425184156</v>
      </c>
      <c r="D468" s="338">
        <f t="shared" si="188"/>
        <v>1.40344978005208</v>
      </c>
      <c r="E468" s="338">
        <f t="shared" si="189"/>
        <v>1.0000049730888239</v>
      </c>
      <c r="F468" s="339">
        <f t="shared" si="190"/>
        <v>3.1537495824173157E-3</v>
      </c>
      <c r="G468" s="338">
        <f t="shared" si="191"/>
        <v>1</v>
      </c>
      <c r="H468" s="339">
        <f t="shared" si="192"/>
        <v>0</v>
      </c>
      <c r="I468" s="337">
        <f t="shared" si="193"/>
        <v>100929.62482373745</v>
      </c>
      <c r="J468" s="340">
        <f t="shared" si="194"/>
        <v>1.5707864189011365</v>
      </c>
      <c r="K468" s="348">
        <f t="shared" si="184"/>
        <v>9.3571804624380768</v>
      </c>
      <c r="L468" s="349">
        <f t="shared" si="185"/>
        <v>1.4637220451847437</v>
      </c>
      <c r="M468" s="337">
        <f t="shared" si="195"/>
        <v>1.0011625155660997</v>
      </c>
      <c r="N468" s="340">
        <f t="shared" si="196"/>
        <v>4.8195237942001708E-2</v>
      </c>
      <c r="O468" s="341">
        <f t="shared" si="197"/>
        <v>0.99748703822398266</v>
      </c>
      <c r="P468" s="342">
        <f t="shared" si="198"/>
        <v>1.2118618461923624E-2</v>
      </c>
      <c r="Q468" s="343">
        <f t="shared" si="199"/>
        <v>0.94218931577516107</v>
      </c>
      <c r="R468" s="344">
        <f t="shared" si="200"/>
        <v>-89.821118885733497</v>
      </c>
      <c r="S468" s="346">
        <f t="shared" si="201"/>
        <v>90.178881114266503</v>
      </c>
      <c r="U468" s="319">
        <f t="shared" si="207"/>
        <v>1000000000</v>
      </c>
      <c r="V468" s="319">
        <f t="shared" si="208"/>
        <v>2851293006.25</v>
      </c>
      <c r="X468" s="345">
        <f t="shared" si="202"/>
        <v>17.039659712621866</v>
      </c>
      <c r="Y468" s="346">
        <f t="shared" si="203"/>
        <v>-8.8957204870309941</v>
      </c>
      <c r="AA468" s="345">
        <f t="shared" si="204"/>
        <v>19.912703566754764</v>
      </c>
      <c r="AB468" s="346">
        <f t="shared" si="205"/>
        <v>-80.925398398702484</v>
      </c>
      <c r="AD468">
        <f t="shared" si="209"/>
        <v>0</v>
      </c>
      <c r="AE468">
        <f t="shared" si="186"/>
        <v>0</v>
      </c>
    </row>
    <row r="469" spans="1:31" x14ac:dyDescent="0.2">
      <c r="A469" s="347">
        <v>53703</v>
      </c>
      <c r="B469" s="364">
        <f t="shared" si="206"/>
        <v>53.703000000000003</v>
      </c>
      <c r="C469" s="337">
        <f t="shared" si="187"/>
        <v>6.0370039927734034</v>
      </c>
      <c r="D469" s="338">
        <f t="shared" si="188"/>
        <v>1.4043842366034944</v>
      </c>
      <c r="E469" s="338">
        <f t="shared" si="189"/>
        <v>1.0000050301559482</v>
      </c>
      <c r="F469" s="339">
        <f t="shared" si="190"/>
        <v>3.1717928251528797E-3</v>
      </c>
      <c r="G469" s="338">
        <f t="shared" si="191"/>
        <v>1</v>
      </c>
      <c r="H469" s="339">
        <f t="shared" si="192"/>
        <v>0</v>
      </c>
      <c r="I469" s="337">
        <f t="shared" si="193"/>
        <v>101507.06759504011</v>
      </c>
      <c r="J469" s="340">
        <f t="shared" si="194"/>
        <v>1.5707864752641243</v>
      </c>
      <c r="K469" s="348">
        <f t="shared" si="184"/>
        <v>9.4101054442664953</v>
      </c>
      <c r="L469" s="349">
        <f t="shared" si="185"/>
        <v>1.464326552392121</v>
      </c>
      <c r="M469" s="337">
        <f t="shared" si="195"/>
        <v>1.001175847849356</v>
      </c>
      <c r="N469" s="340">
        <f t="shared" si="196"/>
        <v>4.8470544095514496E-2</v>
      </c>
      <c r="O469" s="341">
        <f t="shared" si="197"/>
        <v>0.99745820361818061</v>
      </c>
      <c r="P469" s="342">
        <f t="shared" si="198"/>
        <v>1.2188307777786768E-2</v>
      </c>
      <c r="Q469" s="343">
        <f t="shared" si="199"/>
        <v>0.89357721488008846</v>
      </c>
      <c r="R469" s="344">
        <f t="shared" si="200"/>
        <v>-89.858759802693143</v>
      </c>
      <c r="S469" s="346">
        <f t="shared" si="201"/>
        <v>90.141240197306857</v>
      </c>
      <c r="U469" s="319">
        <f t="shared" si="207"/>
        <v>1000000000</v>
      </c>
      <c r="V469" s="319">
        <f t="shared" si="208"/>
        <v>2884012209</v>
      </c>
      <c r="X469" s="345">
        <f t="shared" si="202"/>
        <v>17.038981278855513</v>
      </c>
      <c r="Y469" s="346">
        <f t="shared" si="203"/>
        <v>-8.8768618853730761</v>
      </c>
      <c r="AA469" s="345">
        <f t="shared" si="204"/>
        <v>19.86476989962604</v>
      </c>
      <c r="AB469" s="346">
        <f t="shared" si="205"/>
        <v>-80.981897917320069</v>
      </c>
      <c r="AD469">
        <f t="shared" si="209"/>
        <v>0</v>
      </c>
      <c r="AE469">
        <f t="shared" si="186"/>
        <v>0</v>
      </c>
    </row>
    <row r="470" spans="1:31" x14ac:dyDescent="0.2">
      <c r="A470" s="347">
        <v>54015.75</v>
      </c>
      <c r="B470" s="364">
        <f t="shared" si="206"/>
        <v>54.015749999999997</v>
      </c>
      <c r="C470" s="337">
        <f t="shared" si="187"/>
        <v>6.0711997245732725</v>
      </c>
      <c r="D470" s="338">
        <f t="shared" si="188"/>
        <v>1.4053302186604337</v>
      </c>
      <c r="E470" s="338">
        <f t="shared" si="189"/>
        <v>1.0000050889146068</v>
      </c>
      <c r="F470" s="339">
        <f t="shared" si="190"/>
        <v>3.1902642605439045E-3</v>
      </c>
      <c r="G470" s="338">
        <f t="shared" si="191"/>
        <v>1</v>
      </c>
      <c r="H470" s="339">
        <f t="shared" si="192"/>
        <v>0</v>
      </c>
      <c r="I470" s="337">
        <f t="shared" si="193"/>
        <v>102098.21400003195</v>
      </c>
      <c r="J470" s="340">
        <f t="shared" si="194"/>
        <v>1.57078653230427</v>
      </c>
      <c r="K470" s="348">
        <f t="shared" si="184"/>
        <v>9.4642899417258057</v>
      </c>
      <c r="L470" s="349">
        <f t="shared" si="185"/>
        <v>1.4649384018173679</v>
      </c>
      <c r="M470" s="337">
        <f t="shared" si="195"/>
        <v>1.0011895751319273</v>
      </c>
      <c r="N470" s="340">
        <f t="shared" si="196"/>
        <v>4.875237608389045E-2</v>
      </c>
      <c r="O470" s="341">
        <f t="shared" si="197"/>
        <v>0.99742851437182034</v>
      </c>
      <c r="P470" s="342">
        <f t="shared" si="198"/>
        <v>1.2259657260851748E-2</v>
      </c>
      <c r="Q470" s="343">
        <f t="shared" si="199"/>
        <v>0.84408969794861921</v>
      </c>
      <c r="R470" s="344">
        <f t="shared" si="200"/>
        <v>-89.897084932916485</v>
      </c>
      <c r="S470" s="346">
        <f t="shared" si="201"/>
        <v>90.102915067083515</v>
      </c>
      <c r="U470" s="319">
        <f t="shared" si="207"/>
        <v>1000000000</v>
      </c>
      <c r="V470" s="319">
        <f t="shared" si="208"/>
        <v>2917701248.0625</v>
      </c>
      <c r="X470" s="345">
        <f t="shared" si="202"/>
        <v>17.038295853597024</v>
      </c>
      <c r="Y470" s="346">
        <f t="shared" si="203"/>
        <v>-8.8579565472126518</v>
      </c>
      <c r="AA470" s="345">
        <f t="shared" si="204"/>
        <v>19.815967807953065</v>
      </c>
      <c r="AB470" s="346">
        <f t="shared" si="205"/>
        <v>-81.039128385703805</v>
      </c>
      <c r="AD470">
        <f t="shared" si="209"/>
        <v>0</v>
      </c>
      <c r="AE470">
        <f t="shared" si="186"/>
        <v>0</v>
      </c>
    </row>
    <row r="471" spans="1:31" x14ac:dyDescent="0.2">
      <c r="A471" s="347">
        <v>54328.5</v>
      </c>
      <c r="B471" s="364">
        <f t="shared" si="206"/>
        <v>54.328499999999998</v>
      </c>
      <c r="C471" s="337">
        <f t="shared" si="187"/>
        <v>6.1054008285185413</v>
      </c>
      <c r="D471" s="338">
        <f t="shared" si="188"/>
        <v>1.4062656031824756</v>
      </c>
      <c r="E471" s="338">
        <f t="shared" si="189"/>
        <v>1.0000051480144612</v>
      </c>
      <c r="F471" s="339">
        <f t="shared" si="190"/>
        <v>3.2087356937579247E-3</v>
      </c>
      <c r="G471" s="338">
        <f t="shared" si="191"/>
        <v>1</v>
      </c>
      <c r="H471" s="339">
        <f t="shared" si="192"/>
        <v>0</v>
      </c>
      <c r="I471" s="337">
        <f t="shared" si="193"/>
        <v>102689.36040502411</v>
      </c>
      <c r="J471" s="340">
        <f t="shared" si="194"/>
        <v>1.5707865886876957</v>
      </c>
      <c r="K471" s="348">
        <f t="shared" ref="K471:K534" si="210">SQRT(1+(A471/Zero2)^2)</f>
        <v>9.5184779418952434</v>
      </c>
      <c r="L471" s="349">
        <f t="shared" ref="L471:L534" si="211">ATAN(A471/Zero2)</f>
        <v>1.4655432850386771</v>
      </c>
      <c r="M471" s="337">
        <f t="shared" si="195"/>
        <v>1.0012033819360713</v>
      </c>
      <c r="N471" s="340">
        <f t="shared" si="196"/>
        <v>4.903420032160679E-2</v>
      </c>
      <c r="O471" s="341">
        <f t="shared" si="197"/>
        <v>0.99739865277915485</v>
      </c>
      <c r="P471" s="342">
        <f t="shared" si="198"/>
        <v>1.2331013184865038E-2</v>
      </c>
      <c r="Q471" s="343">
        <f t="shared" si="199"/>
        <v>0.79488060183511267</v>
      </c>
      <c r="R471" s="344">
        <f t="shared" si="200"/>
        <v>-89.935201890658021</v>
      </c>
      <c r="S471" s="346">
        <f t="shared" si="201"/>
        <v>90.064798109341979</v>
      </c>
      <c r="U471" s="319">
        <f t="shared" si="207"/>
        <v>1000000000</v>
      </c>
      <c r="V471" s="319">
        <f t="shared" si="208"/>
        <v>2951585912.25</v>
      </c>
      <c r="X471" s="345">
        <f t="shared" si="202"/>
        <v>17.037619420471295</v>
      </c>
      <c r="Y471" s="346">
        <f t="shared" si="203"/>
        <v>-8.8394498614301824</v>
      </c>
      <c r="AA471" s="345">
        <f t="shared" si="204"/>
        <v>19.767435144965287</v>
      </c>
      <c r="AB471" s="346">
        <f t="shared" si="205"/>
        <v>-81.095752029227867</v>
      </c>
      <c r="AD471">
        <f t="shared" si="209"/>
        <v>0</v>
      </c>
      <c r="AE471">
        <f t="shared" si="186"/>
        <v>0</v>
      </c>
    </row>
    <row r="472" spans="1:31" x14ac:dyDescent="0.2">
      <c r="A472" s="347">
        <v>54641.25</v>
      </c>
      <c r="B472" s="364">
        <f t="shared" si="206"/>
        <v>54.641249999999999</v>
      </c>
      <c r="C472" s="337">
        <f t="shared" si="187"/>
        <v>6.1396072148314946</v>
      </c>
      <c r="D472" s="338">
        <f t="shared" si="188"/>
        <v>1.4071905656492145</v>
      </c>
      <c r="E472" s="338">
        <f t="shared" si="189"/>
        <v>1.000005207455511</v>
      </c>
      <c r="F472" s="339">
        <f t="shared" si="190"/>
        <v>3.2272071247823352E-3</v>
      </c>
      <c r="G472" s="338">
        <f t="shared" si="191"/>
        <v>1</v>
      </c>
      <c r="H472" s="339">
        <f t="shared" si="192"/>
        <v>0</v>
      </c>
      <c r="I472" s="337">
        <f t="shared" si="193"/>
        <v>103280.5068100166</v>
      </c>
      <c r="J472" s="340">
        <f t="shared" si="194"/>
        <v>1.5707866444256779</v>
      </c>
      <c r="K472" s="348">
        <f t="shared" si="210"/>
        <v>9.5726693852914462</v>
      </c>
      <c r="L472" s="349">
        <f t="shared" si="211"/>
        <v>1.4661413199178814</v>
      </c>
      <c r="M472" s="337">
        <f t="shared" si="195"/>
        <v>1.0012172682584979</v>
      </c>
      <c r="N472" s="340">
        <f t="shared" si="196"/>
        <v>4.9316016764217374E-2</v>
      </c>
      <c r="O472" s="341">
        <f t="shared" si="197"/>
        <v>0.99736861884110761</v>
      </c>
      <c r="P472" s="342">
        <f t="shared" si="198"/>
        <v>1.2402375587759536E-2</v>
      </c>
      <c r="Q472" s="343">
        <f t="shared" si="199"/>
        <v>0.74594688430905443</v>
      </c>
      <c r="R472" s="344">
        <f t="shared" si="200"/>
        <v>-89.973113977446104</v>
      </c>
      <c r="S472" s="346">
        <f t="shared" si="201"/>
        <v>90.026886022553896</v>
      </c>
      <c r="U472" s="319">
        <f t="shared" si="207"/>
        <v>1000000000</v>
      </c>
      <c r="V472" s="319">
        <f t="shared" si="208"/>
        <v>2985666201.5625</v>
      </c>
      <c r="X472" s="345">
        <f t="shared" si="202"/>
        <v>17.036951760558647</v>
      </c>
      <c r="Y472" s="346">
        <f t="shared" si="203"/>
        <v>-8.8213350731395792</v>
      </c>
      <c r="AA472" s="345">
        <f t="shared" si="204"/>
        <v>19.719169087351872</v>
      </c>
      <c r="AB472" s="346">
        <f t="shared" si="205"/>
        <v>-81.151778904306539</v>
      </c>
      <c r="AD472">
        <f t="shared" si="209"/>
        <v>0</v>
      </c>
      <c r="AE472">
        <f t="shared" si="186"/>
        <v>0</v>
      </c>
    </row>
    <row r="473" spans="1:31" x14ac:dyDescent="0.2">
      <c r="A473" s="347">
        <v>54954</v>
      </c>
      <c r="B473" s="364">
        <f t="shared" si="206"/>
        <v>54.954000000000001</v>
      </c>
      <c r="C473" s="337">
        <f t="shared" si="187"/>
        <v>6.1738187957103765</v>
      </c>
      <c r="D473" s="338">
        <f t="shared" si="188"/>
        <v>1.4081052777228751</v>
      </c>
      <c r="E473" s="338">
        <f t="shared" si="189"/>
        <v>1.0000052672377564</v>
      </c>
      <c r="F473" s="339">
        <f t="shared" si="190"/>
        <v>3.2456785536045325E-3</v>
      </c>
      <c r="G473" s="338">
        <f t="shared" si="191"/>
        <v>1</v>
      </c>
      <c r="H473" s="339">
        <f t="shared" si="192"/>
        <v>0</v>
      </c>
      <c r="I473" s="337">
        <f t="shared" si="193"/>
        <v>103871.6532150094</v>
      </c>
      <c r="J473" s="340">
        <f t="shared" si="194"/>
        <v>1.570786699529237</v>
      </c>
      <c r="K473" s="348">
        <f t="shared" si="210"/>
        <v>9.6268642137666802</v>
      </c>
      <c r="L473" s="349">
        <f t="shared" si="211"/>
        <v>1.4667326216826295</v>
      </c>
      <c r="M473" s="337">
        <f t="shared" si="195"/>
        <v>1.0012312340958984</v>
      </c>
      <c r="N473" s="340">
        <f t="shared" si="196"/>
        <v>4.9597825367283466E-2</v>
      </c>
      <c r="O473" s="341">
        <f t="shared" si="197"/>
        <v>0.99733841255860711</v>
      </c>
      <c r="P473" s="342">
        <f t="shared" si="198"/>
        <v>1.2473744507479297E-2</v>
      </c>
      <c r="Q473" s="343">
        <f t="shared" si="199"/>
        <v>0.69728555217243693</v>
      </c>
      <c r="R473" s="344">
        <f t="shared" si="200"/>
        <v>-90.010824427003683</v>
      </c>
      <c r="S473" s="346">
        <f t="shared" si="201"/>
        <v>89.989175572996317</v>
      </c>
      <c r="U473" s="319">
        <f t="shared" si="207"/>
        <v>1000000000</v>
      </c>
      <c r="V473" s="319">
        <f t="shared" si="208"/>
        <v>3019942116</v>
      </c>
      <c r="X473" s="345">
        <f t="shared" si="202"/>
        <v>17.036292661085625</v>
      </c>
      <c r="Y473" s="346">
        <f t="shared" si="203"/>
        <v>-8.8036055783681491</v>
      </c>
      <c r="AA473" s="345">
        <f t="shared" si="204"/>
        <v>19.671166854688281</v>
      </c>
      <c r="AB473" s="346">
        <f t="shared" si="205"/>
        <v>-81.207218848635563</v>
      </c>
      <c r="AD473">
        <f t="shared" si="209"/>
        <v>0</v>
      </c>
      <c r="AE473">
        <f t="shared" si="186"/>
        <v>0</v>
      </c>
    </row>
    <row r="474" spans="1:31" x14ac:dyDescent="0.2">
      <c r="A474" s="347">
        <v>55274</v>
      </c>
      <c r="B474" s="364">
        <f t="shared" si="206"/>
        <v>55.274000000000001</v>
      </c>
      <c r="C474" s="337">
        <f t="shared" si="187"/>
        <v>6.2088287378300482</v>
      </c>
      <c r="D474" s="338">
        <f t="shared" si="188"/>
        <v>1.409030759730749</v>
      </c>
      <c r="E474" s="338">
        <f t="shared" si="189"/>
        <v>1.0000053287589925</v>
      </c>
      <c r="F474" s="339">
        <f t="shared" si="190"/>
        <v>3.2645781747272038E-3</v>
      </c>
      <c r="G474" s="338">
        <f t="shared" si="191"/>
        <v>1</v>
      </c>
      <c r="H474" s="339">
        <f t="shared" si="192"/>
        <v>0</v>
      </c>
      <c r="I474" s="337">
        <f t="shared" si="193"/>
        <v>104476.50325369141</v>
      </c>
      <c r="J474" s="340">
        <f t="shared" si="194"/>
        <v>1.5707867552647548</v>
      </c>
      <c r="K474" s="348">
        <f t="shared" si="210"/>
        <v>9.682318801617404</v>
      </c>
      <c r="L474" s="349">
        <f t="shared" si="211"/>
        <v>1.4673307791341375</v>
      </c>
      <c r="M474" s="337">
        <f t="shared" si="195"/>
        <v>1.0012456059795052</v>
      </c>
      <c r="N474" s="340">
        <f t="shared" si="196"/>
        <v>4.9886158543161481E-2</v>
      </c>
      <c r="O474" s="341">
        <f t="shared" si="197"/>
        <v>0.99730732766795416</v>
      </c>
      <c r="P474" s="342">
        <f t="shared" si="198"/>
        <v>1.2546774647357666E-2</v>
      </c>
      <c r="Q474" s="343">
        <f t="shared" si="199"/>
        <v>0.6477750379020103</v>
      </c>
      <c r="R474" s="344">
        <f t="shared" si="200"/>
        <v>-90.049203660407244</v>
      </c>
      <c r="S474" s="346">
        <f t="shared" si="201"/>
        <v>89.950796339592756</v>
      </c>
      <c r="U474" s="319">
        <f t="shared" si="207"/>
        <v>1000000000</v>
      </c>
      <c r="V474" s="319">
        <f t="shared" si="208"/>
        <v>3055215076</v>
      </c>
      <c r="X474" s="345">
        <f t="shared" si="202"/>
        <v>17.035626927433228</v>
      </c>
      <c r="Y474" s="346">
        <f t="shared" si="203"/>
        <v>-8.7858571483735162</v>
      </c>
      <c r="AA474" s="345">
        <f t="shared" si="204"/>
        <v>19.622322074070247</v>
      </c>
      <c r="AB474" s="346">
        <f t="shared" si="205"/>
        <v>-81.263346512033735</v>
      </c>
      <c r="AD474">
        <f t="shared" si="209"/>
        <v>0</v>
      </c>
      <c r="AE474">
        <f t="shared" ref="AE474:AE537" si="212">IF(AD474&gt;0,S474,0)</f>
        <v>0</v>
      </c>
    </row>
    <row r="475" spans="1:31" x14ac:dyDescent="0.2">
      <c r="A475" s="347">
        <v>55594</v>
      </c>
      <c r="B475" s="364">
        <f t="shared" si="206"/>
        <v>55.594000000000001</v>
      </c>
      <c r="C475" s="337">
        <f t="shared" si="187"/>
        <v>6.2438439382772248</v>
      </c>
      <c r="D475" s="338">
        <f t="shared" si="188"/>
        <v>1.4099458623908401</v>
      </c>
      <c r="E475" s="338">
        <f t="shared" si="189"/>
        <v>1.000005390637426</v>
      </c>
      <c r="F475" s="339">
        <f t="shared" si="190"/>
        <v>3.2834777935176799E-3</v>
      </c>
      <c r="G475" s="338">
        <f t="shared" si="191"/>
        <v>1</v>
      </c>
      <c r="H475" s="339">
        <f t="shared" si="192"/>
        <v>0</v>
      </c>
      <c r="I475" s="337">
        <f t="shared" si="193"/>
        <v>105081.35329237374</v>
      </c>
      <c r="J475" s="340">
        <f t="shared" si="194"/>
        <v>1.5707868103586433</v>
      </c>
      <c r="K475" s="348">
        <f t="shared" si="210"/>
        <v>9.7377768142704202</v>
      </c>
      <c r="L475" s="349">
        <f t="shared" si="211"/>
        <v>1.4679221236130848</v>
      </c>
      <c r="M475" s="337">
        <f t="shared" si="195"/>
        <v>1.0012600611002935</v>
      </c>
      <c r="N475" s="340">
        <f t="shared" si="196"/>
        <v>5.017448341771772E-2</v>
      </c>
      <c r="O475" s="341">
        <f t="shared" si="197"/>
        <v>0.99727606235182764</v>
      </c>
      <c r="P475" s="342">
        <f t="shared" si="198"/>
        <v>1.2619811690106519E-2</v>
      </c>
      <c r="Q475" s="343">
        <f t="shared" si="199"/>
        <v>0.59854349693876019</v>
      </c>
      <c r="R475" s="344">
        <f t="shared" si="200"/>
        <v>-90.087378438807733</v>
      </c>
      <c r="S475" s="346">
        <f t="shared" si="201"/>
        <v>89.912621561192267</v>
      </c>
      <c r="U475" s="319">
        <f t="shared" si="207"/>
        <v>1000000000</v>
      </c>
      <c r="V475" s="319">
        <f t="shared" si="208"/>
        <v>3090692836</v>
      </c>
      <c r="X475" s="345">
        <f t="shared" si="202"/>
        <v>17.034969723865913</v>
      </c>
      <c r="Y475" s="346">
        <f t="shared" si="203"/>
        <v>-8.7684985605596353</v>
      </c>
      <c r="AA475" s="345">
        <f t="shared" si="204"/>
        <v>19.573747736674314</v>
      </c>
      <c r="AB475" s="346">
        <f t="shared" si="205"/>
        <v>-81.318879878248111</v>
      </c>
      <c r="AD475">
        <f t="shared" si="209"/>
        <v>0</v>
      </c>
      <c r="AE475">
        <f t="shared" si="212"/>
        <v>0</v>
      </c>
    </row>
    <row r="476" spans="1:31" x14ac:dyDescent="0.2">
      <c r="A476" s="347">
        <v>55914</v>
      </c>
      <c r="B476" s="364">
        <f t="shared" si="206"/>
        <v>55.914000000000001</v>
      </c>
      <c r="C476" s="337">
        <f t="shared" si="187"/>
        <v>6.2788643090799185</v>
      </c>
      <c r="D476" s="338">
        <f t="shared" si="188"/>
        <v>1.4108507578300089</v>
      </c>
      <c r="E476" s="338">
        <f t="shared" si="189"/>
        <v>1.0000054528730569</v>
      </c>
      <c r="F476" s="339">
        <f t="shared" si="190"/>
        <v>3.3023774099624607E-3</v>
      </c>
      <c r="G476" s="338">
        <f t="shared" si="191"/>
        <v>1</v>
      </c>
      <c r="H476" s="339">
        <f t="shared" si="192"/>
        <v>0</v>
      </c>
      <c r="I476" s="337">
        <f t="shared" si="193"/>
        <v>105686.2033310564</v>
      </c>
      <c r="J476" s="340">
        <f t="shared" si="194"/>
        <v>1.5707868648219192</v>
      </c>
      <c r="K476" s="348">
        <f t="shared" si="210"/>
        <v>9.7932381935429174</v>
      </c>
      <c r="L476" s="349">
        <f t="shared" si="211"/>
        <v>1.4685067704526771</v>
      </c>
      <c r="M476" s="337">
        <f t="shared" si="195"/>
        <v>1.0012745994546581</v>
      </c>
      <c r="N476" s="340">
        <f t="shared" si="196"/>
        <v>5.0462799943375131E-2</v>
      </c>
      <c r="O476" s="341">
        <f t="shared" si="197"/>
        <v>0.99724461661124009</v>
      </c>
      <c r="P476" s="342">
        <f t="shared" si="198"/>
        <v>1.2692855676407079E-2</v>
      </c>
      <c r="Q476" s="343">
        <f t="shared" si="199"/>
        <v>0.54958787578816459</v>
      </c>
      <c r="R476" s="344">
        <f t="shared" si="200"/>
        <v>-90.125352016478871</v>
      </c>
      <c r="S476" s="346">
        <f t="shared" si="201"/>
        <v>89.874647983521129</v>
      </c>
      <c r="U476" s="319">
        <f t="shared" si="207"/>
        <v>1000000000</v>
      </c>
      <c r="V476" s="319">
        <f t="shared" si="208"/>
        <v>3126375396</v>
      </c>
      <c r="X476" s="345">
        <f t="shared" si="202"/>
        <v>17.034320841133543</v>
      </c>
      <c r="Y476" s="346">
        <f t="shared" si="203"/>
        <v>-8.7515232047258245</v>
      </c>
      <c r="AA476" s="345">
        <f t="shared" si="204"/>
        <v>19.525440998256091</v>
      </c>
      <c r="AB476" s="346">
        <f t="shared" si="205"/>
        <v>-81.373828811753043</v>
      </c>
      <c r="AD476">
        <f t="shared" si="209"/>
        <v>0</v>
      </c>
      <c r="AE476">
        <f t="shared" si="212"/>
        <v>0</v>
      </c>
    </row>
    <row r="477" spans="1:31" x14ac:dyDescent="0.2">
      <c r="A477" s="347">
        <v>56234</v>
      </c>
      <c r="B477" s="364">
        <f t="shared" si="206"/>
        <v>56.234000000000002</v>
      </c>
      <c r="C477" s="337">
        <f t="shared" si="187"/>
        <v>6.3138897642050615</v>
      </c>
      <c r="D477" s="338">
        <f t="shared" si="188"/>
        <v>1.4117456144234273</v>
      </c>
      <c r="E477" s="338">
        <f t="shared" si="189"/>
        <v>1.0000055154658853</v>
      </c>
      <c r="F477" s="339">
        <f t="shared" si="190"/>
        <v>3.321277024048044E-3</v>
      </c>
      <c r="G477" s="338">
        <f t="shared" si="191"/>
        <v>1</v>
      </c>
      <c r="H477" s="339">
        <f t="shared" si="192"/>
        <v>0</v>
      </c>
      <c r="I477" s="337">
        <f t="shared" si="193"/>
        <v>106291.05336973935</v>
      </c>
      <c r="J477" s="340">
        <f t="shared" si="194"/>
        <v>1.5707869186653476</v>
      </c>
      <c r="K477" s="348">
        <f t="shared" si="210"/>
        <v>9.84870288255917</v>
      </c>
      <c r="L477" s="349">
        <f t="shared" si="211"/>
        <v>1.4690848324065955</v>
      </c>
      <c r="M477" s="337">
        <f t="shared" si="195"/>
        <v>1.0012892210389737</v>
      </c>
      <c r="N477" s="340">
        <f t="shared" si="196"/>
        <v>5.0751108072565006E-2</v>
      </c>
      <c r="O477" s="341">
        <f t="shared" si="197"/>
        <v>0.9972129904472099</v>
      </c>
      <c r="P477" s="342">
        <f t="shared" si="198"/>
        <v>1.2765906646953104E-2</v>
      </c>
      <c r="Q477" s="343">
        <f t="shared" si="199"/>
        <v>0.50090517028867665</v>
      </c>
      <c r="R477" s="344">
        <f t="shared" si="200"/>
        <v>-90.163127580520936</v>
      </c>
      <c r="S477" s="346">
        <f t="shared" si="201"/>
        <v>89.836872419479064</v>
      </c>
      <c r="U477" s="319">
        <f t="shared" si="207"/>
        <v>1000000000</v>
      </c>
      <c r="V477" s="319">
        <f t="shared" si="208"/>
        <v>3162262756</v>
      </c>
      <c r="X477" s="345">
        <f t="shared" si="202"/>
        <v>17.033680075863224</v>
      </c>
      <c r="Y477" s="346">
        <f t="shared" si="203"/>
        <v>-8.7349246184533484</v>
      </c>
      <c r="AA477" s="345">
        <f t="shared" si="204"/>
        <v>19.477399058026919</v>
      </c>
      <c r="AB477" s="346">
        <f t="shared" si="205"/>
        <v>-81.428202962067601</v>
      </c>
      <c r="AD477">
        <f t="shared" si="209"/>
        <v>0</v>
      </c>
      <c r="AE477">
        <f t="shared" si="212"/>
        <v>0</v>
      </c>
    </row>
    <row r="478" spans="1:31" x14ac:dyDescent="0.2">
      <c r="A478" s="347">
        <v>56561.5</v>
      </c>
      <c r="B478" s="364">
        <f t="shared" si="206"/>
        <v>56.561500000000002</v>
      </c>
      <c r="C478" s="337">
        <f t="shared" si="187"/>
        <v>6.3497413051015759</v>
      </c>
      <c r="D478" s="338">
        <f t="shared" si="188"/>
        <v>1.4126512215582974</v>
      </c>
      <c r="E478" s="338">
        <f t="shared" si="189"/>
        <v>1.0000055798955865</v>
      </c>
      <c r="F478" s="339">
        <f t="shared" si="190"/>
        <v>3.3406195953818844E-3</v>
      </c>
      <c r="G478" s="338">
        <f t="shared" si="191"/>
        <v>1</v>
      </c>
      <c r="H478" s="339">
        <f t="shared" si="192"/>
        <v>0</v>
      </c>
      <c r="I478" s="337">
        <f t="shared" si="193"/>
        <v>106910.07958120425</v>
      </c>
      <c r="J478" s="340">
        <f t="shared" si="194"/>
        <v>1.5707869731399005</v>
      </c>
      <c r="K478" s="348">
        <f t="shared" si="210"/>
        <v>9.9054708942178475</v>
      </c>
      <c r="L478" s="349">
        <f t="shared" si="211"/>
        <v>1.4696697395219442</v>
      </c>
      <c r="M478" s="337">
        <f t="shared" si="195"/>
        <v>1.00130427149173</v>
      </c>
      <c r="N478" s="340">
        <f t="shared" si="196"/>
        <v>5.1046164679940616E-2</v>
      </c>
      <c r="O478" s="341">
        <f t="shared" si="197"/>
        <v>0.99718043623002039</v>
      </c>
      <c r="P478" s="342">
        <f t="shared" si="198"/>
        <v>1.2840677023802916E-2</v>
      </c>
      <c r="Q478" s="343">
        <f t="shared" si="199"/>
        <v>0.45136096495809802</v>
      </c>
      <c r="R478" s="344">
        <f t="shared" si="200"/>
        <v>-90.201586736978996</v>
      </c>
      <c r="S478" s="346">
        <f t="shared" si="201"/>
        <v>89.798413263021004</v>
      </c>
      <c r="U478" s="319">
        <f t="shared" si="207"/>
        <v>1000000000</v>
      </c>
      <c r="V478" s="319">
        <f t="shared" si="208"/>
        <v>3199203282.25</v>
      </c>
      <c r="X478" s="345">
        <f t="shared" si="202"/>
        <v>17.03303249146596</v>
      </c>
      <c r="Y478" s="346">
        <f t="shared" si="203"/>
        <v>-8.7183205287997616</v>
      </c>
      <c r="AA478" s="345">
        <f t="shared" si="204"/>
        <v>19.428502437093606</v>
      </c>
      <c r="AB478" s="346">
        <f t="shared" si="205"/>
        <v>-81.483266208179259</v>
      </c>
      <c r="AD478">
        <f t="shared" si="209"/>
        <v>0</v>
      </c>
      <c r="AE478">
        <f t="shared" si="212"/>
        <v>0</v>
      </c>
    </row>
    <row r="479" spans="1:31" x14ac:dyDescent="0.2">
      <c r="A479" s="347">
        <v>56889</v>
      </c>
      <c r="B479" s="364">
        <f t="shared" si="206"/>
        <v>56.889000000000003</v>
      </c>
      <c r="C479" s="337">
        <f t="shared" si="187"/>
        <v>6.3855979950974167</v>
      </c>
      <c r="D479" s="338">
        <f t="shared" si="188"/>
        <v>1.4135466590108559</v>
      </c>
      <c r="E479" s="338">
        <f t="shared" si="189"/>
        <v>1.0000056446994245</v>
      </c>
      <c r="F479" s="339">
        <f t="shared" si="190"/>
        <v>3.3599621642160294E-3</v>
      </c>
      <c r="G479" s="338">
        <f t="shared" si="191"/>
        <v>1</v>
      </c>
      <c r="H479" s="339">
        <f t="shared" si="192"/>
        <v>0</v>
      </c>
      <c r="I479" s="337">
        <f t="shared" si="193"/>
        <v>107529.10579266946</v>
      </c>
      <c r="J479" s="340">
        <f t="shared" si="194"/>
        <v>1.5707870269872526</v>
      </c>
      <c r="K479" s="348">
        <f t="shared" si="210"/>
        <v>9.9622422560780617</v>
      </c>
      <c r="L479" s="349">
        <f t="shared" si="211"/>
        <v>1.4702479804678525</v>
      </c>
      <c r="M479" s="337">
        <f t="shared" si="195"/>
        <v>1.0013194091138109</v>
      </c>
      <c r="N479" s="340">
        <f t="shared" si="196"/>
        <v>5.1341212391861756E-2</v>
      </c>
      <c r="O479" s="341">
        <f t="shared" si="197"/>
        <v>0.99714769303510775</v>
      </c>
      <c r="P479" s="342">
        <f t="shared" si="198"/>
        <v>1.2915454802408032E-2</v>
      </c>
      <c r="Q479" s="343">
        <f t="shared" si="199"/>
        <v>0.40209640490327692</v>
      </c>
      <c r="R479" s="344">
        <f t="shared" si="200"/>
        <v>-90.239845035560464</v>
      </c>
      <c r="S479" s="346">
        <f t="shared" si="201"/>
        <v>89.760154964439536</v>
      </c>
      <c r="U479" s="319">
        <f t="shared" si="207"/>
        <v>1000000000</v>
      </c>
      <c r="V479" s="319">
        <f t="shared" si="208"/>
        <v>3236358321</v>
      </c>
      <c r="X479" s="345">
        <f t="shared" si="202"/>
        <v>17.032392996483782</v>
      </c>
      <c r="Y479" s="346">
        <f t="shared" si="203"/>
        <v>-8.7020978369131079</v>
      </c>
      <c r="AA479" s="345">
        <f t="shared" si="204"/>
        <v>19.37987737202096</v>
      </c>
      <c r="AB479" s="346">
        <f t="shared" si="205"/>
        <v>-81.537747198647338</v>
      </c>
      <c r="AD479">
        <f t="shared" si="209"/>
        <v>0</v>
      </c>
      <c r="AE479">
        <f t="shared" si="212"/>
        <v>0</v>
      </c>
    </row>
    <row r="480" spans="1:31" x14ac:dyDescent="0.2">
      <c r="A480" s="347">
        <v>57216.5</v>
      </c>
      <c r="B480" s="364">
        <f t="shared" si="206"/>
        <v>57.216500000000003</v>
      </c>
      <c r="C480" s="337">
        <f t="shared" si="187"/>
        <v>6.4214597479366553</v>
      </c>
      <c r="D480" s="338">
        <f t="shared" si="188"/>
        <v>1.4144320957160528</v>
      </c>
      <c r="E480" s="338">
        <f t="shared" si="189"/>
        <v>1.0000057098773998</v>
      </c>
      <c r="F480" s="339">
        <f t="shared" si="190"/>
        <v>3.3793047305360068E-3</v>
      </c>
      <c r="G480" s="338">
        <f t="shared" si="191"/>
        <v>1</v>
      </c>
      <c r="H480" s="339">
        <f t="shared" si="192"/>
        <v>0</v>
      </c>
      <c r="I480" s="337">
        <f t="shared" si="193"/>
        <v>108148.132004135</v>
      </c>
      <c r="J480" s="340">
        <f t="shared" si="194"/>
        <v>1.5707870802181738</v>
      </c>
      <c r="K480" s="348">
        <f t="shared" si="210"/>
        <v>10.01901691118946</v>
      </c>
      <c r="L480" s="349">
        <f t="shared" si="211"/>
        <v>1.4708196681796428</v>
      </c>
      <c r="M480" s="337">
        <f t="shared" si="195"/>
        <v>1.001334633901263</v>
      </c>
      <c r="N480" s="340">
        <f t="shared" si="196"/>
        <v>5.1636251157363373E-2</v>
      </c>
      <c r="O480" s="341">
        <f t="shared" si="197"/>
        <v>0.99711476086358342</v>
      </c>
      <c r="P480" s="342">
        <f t="shared" si="198"/>
        <v>1.2990240026432327E-2</v>
      </c>
      <c r="Q480" s="343">
        <f t="shared" si="199"/>
        <v>0.3531084235205037</v>
      </c>
      <c r="R480" s="344">
        <f t="shared" si="200"/>
        <v>-90.277905685007198</v>
      </c>
      <c r="S480" s="346">
        <f t="shared" si="201"/>
        <v>89.722094314992802</v>
      </c>
      <c r="U480" s="319">
        <f t="shared" si="207"/>
        <v>1000000000</v>
      </c>
      <c r="V480" s="319">
        <f t="shared" si="208"/>
        <v>3273727872.25</v>
      </c>
      <c r="X480" s="345">
        <f t="shared" si="202"/>
        <v>17.031761390770679</v>
      </c>
      <c r="Y480" s="346">
        <f t="shared" si="203"/>
        <v>-8.6862500697730436</v>
      </c>
      <c r="AA480" s="345">
        <f t="shared" si="204"/>
        <v>19.331520996351294</v>
      </c>
      <c r="AB480" s="346">
        <f t="shared" si="205"/>
        <v>-81.591655615234146</v>
      </c>
      <c r="AD480">
        <f t="shared" si="209"/>
        <v>0</v>
      </c>
      <c r="AE480">
        <f t="shared" si="212"/>
        <v>0</v>
      </c>
    </row>
    <row r="481" spans="1:31" x14ac:dyDescent="0.2">
      <c r="A481" s="347">
        <v>57544</v>
      </c>
      <c r="B481" s="364">
        <f t="shared" si="206"/>
        <v>57.543999999999997</v>
      </c>
      <c r="C481" s="337">
        <f t="shared" si="187"/>
        <v>6.4573264792674614</v>
      </c>
      <c r="D481" s="338">
        <f t="shared" si="188"/>
        <v>1.4153076969190155</v>
      </c>
      <c r="E481" s="338">
        <f t="shared" si="189"/>
        <v>1.0000057754295117</v>
      </c>
      <c r="F481" s="339">
        <f t="shared" si="190"/>
        <v>3.3986472943273436E-3</v>
      </c>
      <c r="G481" s="338">
        <f t="shared" si="191"/>
        <v>1</v>
      </c>
      <c r="H481" s="339">
        <f t="shared" si="192"/>
        <v>0</v>
      </c>
      <c r="I481" s="337">
        <f t="shared" si="193"/>
        <v>108767.15821560082</v>
      </c>
      <c r="J481" s="340">
        <f t="shared" si="194"/>
        <v>1.570787132843189</v>
      </c>
      <c r="K481" s="348">
        <f t="shared" si="210"/>
        <v>10.075794803882037</v>
      </c>
      <c r="L481" s="349">
        <f t="shared" si="211"/>
        <v>1.4713849130643966</v>
      </c>
      <c r="M481" s="337">
        <f t="shared" si="195"/>
        <v>1.0013499458501103</v>
      </c>
      <c r="N481" s="340">
        <f t="shared" si="196"/>
        <v>5.1931280925489716E-2</v>
      </c>
      <c r="O481" s="341">
        <f t="shared" si="197"/>
        <v>0.99708163971656516</v>
      </c>
      <c r="P481" s="342">
        <f t="shared" si="198"/>
        <v>1.3065032739553771E-2</v>
      </c>
      <c r="Q481" s="343">
        <f t="shared" si="199"/>
        <v>0.30439400387828724</v>
      </c>
      <c r="R481" s="344">
        <f t="shared" si="200"/>
        <v>-90.315771827494657</v>
      </c>
      <c r="S481" s="346">
        <f t="shared" si="201"/>
        <v>89.684228172505343</v>
      </c>
      <c r="U481" s="319">
        <f t="shared" si="207"/>
        <v>1000000000</v>
      </c>
      <c r="V481" s="319">
        <f t="shared" si="208"/>
        <v>3311311936</v>
      </c>
      <c r="X481" s="345">
        <f t="shared" si="202"/>
        <v>17.031137479805849</v>
      </c>
      <c r="Y481" s="346">
        <f t="shared" si="203"/>
        <v>-8.6707708992032408</v>
      </c>
      <c r="AA481" s="345">
        <f t="shared" si="204"/>
        <v>19.283430487673904</v>
      </c>
      <c r="AB481" s="346">
        <f t="shared" si="205"/>
        <v>-81.645000928291438</v>
      </c>
      <c r="AD481">
        <f t="shared" si="209"/>
        <v>0</v>
      </c>
      <c r="AE481">
        <f t="shared" si="212"/>
        <v>0</v>
      </c>
    </row>
    <row r="482" spans="1:31" x14ac:dyDescent="0.2">
      <c r="A482" s="347">
        <v>57879</v>
      </c>
      <c r="B482" s="364">
        <f t="shared" si="206"/>
        <v>57.878999999999998</v>
      </c>
      <c r="C482" s="337">
        <f t="shared" si="187"/>
        <v>6.4940196509428443</v>
      </c>
      <c r="D482" s="338">
        <f t="shared" si="188"/>
        <v>1.4161933426216331</v>
      </c>
      <c r="E482" s="338">
        <f t="shared" si="189"/>
        <v>1.0000058428699043</v>
      </c>
      <c r="F482" s="339">
        <f t="shared" si="190"/>
        <v>3.418432814963564E-3</v>
      </c>
      <c r="G482" s="338">
        <f t="shared" si="191"/>
        <v>1</v>
      </c>
      <c r="H482" s="339">
        <f t="shared" si="192"/>
        <v>0</v>
      </c>
      <c r="I482" s="337">
        <f t="shared" si="193"/>
        <v>109400.36059984863</v>
      </c>
      <c r="J482" s="340">
        <f t="shared" si="194"/>
        <v>1.5707871860572014</v>
      </c>
      <c r="K482" s="348">
        <f t="shared" si="210"/>
        <v>10.133876246572148</v>
      </c>
      <c r="L482" s="349">
        <f t="shared" si="211"/>
        <v>1.471956549177172</v>
      </c>
      <c r="M482" s="337">
        <f t="shared" si="195"/>
        <v>1.0013656986284507</v>
      </c>
      <c r="N482" s="340">
        <f t="shared" si="196"/>
        <v>5.223305773860288E-2</v>
      </c>
      <c r="O482" s="341">
        <f t="shared" si="197"/>
        <v>0.99704756455459742</v>
      </c>
      <c r="P482" s="342">
        <f t="shared" si="198"/>
        <v>1.3141546056768996E-2</v>
      </c>
      <c r="Q482" s="343">
        <f t="shared" si="199"/>
        <v>0.25484392325950322</v>
      </c>
      <c r="R482" s="344">
        <f t="shared" si="200"/>
        <v>-90.354307101772974</v>
      </c>
      <c r="S482" s="346">
        <f t="shared" si="201"/>
        <v>89.645692898227026</v>
      </c>
      <c r="U482" s="319">
        <f t="shared" si="207"/>
        <v>1000000000</v>
      </c>
      <c r="V482" s="319">
        <f t="shared" si="208"/>
        <v>3349978641</v>
      </c>
      <c r="X482" s="345">
        <f t="shared" si="202"/>
        <v>17.030507044802651</v>
      </c>
      <c r="Y482" s="346">
        <f t="shared" si="203"/>
        <v>-8.6553121491908946</v>
      </c>
      <c r="AA482" s="345">
        <f t="shared" si="204"/>
        <v>19.23451084205832</v>
      </c>
      <c r="AB482" s="346">
        <f t="shared" si="205"/>
        <v>-81.698994952582055</v>
      </c>
      <c r="AD482">
        <f t="shared" si="209"/>
        <v>0</v>
      </c>
      <c r="AE482">
        <f t="shared" si="212"/>
        <v>0</v>
      </c>
    </row>
    <row r="483" spans="1:31" x14ac:dyDescent="0.2">
      <c r="A483" s="347">
        <v>58214</v>
      </c>
      <c r="B483" s="364">
        <f t="shared" si="206"/>
        <v>58.213999999999999</v>
      </c>
      <c r="C483" s="337">
        <f t="shared" si="187"/>
        <v>6.5307178590806707</v>
      </c>
      <c r="D483" s="338">
        <f t="shared" si="188"/>
        <v>1.4170690355475035</v>
      </c>
      <c r="E483" s="338">
        <f t="shared" si="189"/>
        <v>1.000005910701766</v>
      </c>
      <c r="F483" s="339">
        <f t="shared" si="190"/>
        <v>3.4382183329233684E-3</v>
      </c>
      <c r="G483" s="338">
        <f t="shared" si="191"/>
        <v>1</v>
      </c>
      <c r="H483" s="339">
        <f t="shared" si="192"/>
        <v>0</v>
      </c>
      <c r="I483" s="337">
        <f t="shared" si="193"/>
        <v>110033.56298409673</v>
      </c>
      <c r="J483" s="340">
        <f t="shared" si="194"/>
        <v>1.5707872386587598</v>
      </c>
      <c r="K483" s="348">
        <f t="shared" si="210"/>
        <v>10.191960962944576</v>
      </c>
      <c r="L483" s="349">
        <f t="shared" si="211"/>
        <v>1.4725216698824657</v>
      </c>
      <c r="M483" s="337">
        <f t="shared" si="195"/>
        <v>1.0013815425975352</v>
      </c>
      <c r="N483" s="340">
        <f t="shared" si="196"/>
        <v>5.2534825029705079E-2</v>
      </c>
      <c r="O483" s="341">
        <f t="shared" si="197"/>
        <v>0.99701329166504993</v>
      </c>
      <c r="P483" s="342">
        <f t="shared" si="198"/>
        <v>1.3218067302515894E-2</v>
      </c>
      <c r="Q483" s="343">
        <f t="shared" si="199"/>
        <v>0.20557384632528083</v>
      </c>
      <c r="R483" s="344">
        <f t="shared" si="200"/>
        <v>-90.392645303062153</v>
      </c>
      <c r="S483" s="346">
        <f t="shared" si="201"/>
        <v>89.607354696937847</v>
      </c>
      <c r="U483" s="319">
        <f t="shared" si="207"/>
        <v>1000000000</v>
      </c>
      <c r="V483" s="319">
        <f t="shared" si="208"/>
        <v>3388869796</v>
      </c>
      <c r="X483" s="345">
        <f t="shared" si="202"/>
        <v>17.02988426650591</v>
      </c>
      <c r="Y483" s="346">
        <f t="shared" si="203"/>
        <v>-8.6402261238674125</v>
      </c>
      <c r="AA483" s="345">
        <f t="shared" si="204"/>
        <v>19.185863543420844</v>
      </c>
      <c r="AB483" s="346">
        <f t="shared" si="205"/>
        <v>-81.75241917919476</v>
      </c>
      <c r="AD483">
        <f t="shared" si="209"/>
        <v>0</v>
      </c>
      <c r="AE483">
        <f t="shared" si="212"/>
        <v>0</v>
      </c>
    </row>
    <row r="484" spans="1:31" x14ac:dyDescent="0.2">
      <c r="A484" s="347">
        <v>58549</v>
      </c>
      <c r="B484" s="364">
        <f t="shared" si="206"/>
        <v>58.548999999999999</v>
      </c>
      <c r="C484" s="337">
        <f t="shared" si="187"/>
        <v>6.5674210192509292</v>
      </c>
      <c r="D484" s="338">
        <f t="shared" si="188"/>
        <v>1.4179349412106199</v>
      </c>
      <c r="E484" s="338">
        <f t="shared" si="189"/>
        <v>1.0000059789250966</v>
      </c>
      <c r="F484" s="339">
        <f t="shared" si="190"/>
        <v>3.4580038481912662E-3</v>
      </c>
      <c r="G484" s="338">
        <f t="shared" si="191"/>
        <v>1</v>
      </c>
      <c r="H484" s="339">
        <f t="shared" si="192"/>
        <v>0</v>
      </c>
      <c r="I484" s="337">
        <f t="shared" si="193"/>
        <v>110666.76536834512</v>
      </c>
      <c r="J484" s="340">
        <f t="shared" si="194"/>
        <v>1.5707872906583773</v>
      </c>
      <c r="K484" s="348">
        <f t="shared" si="210"/>
        <v>10.250048897345653</v>
      </c>
      <c r="L484" s="349">
        <f t="shared" si="211"/>
        <v>1.4730803855863912</v>
      </c>
      <c r="M484" s="337">
        <f t="shared" si="195"/>
        <v>1.0013974777530357</v>
      </c>
      <c r="N484" s="340">
        <f t="shared" si="196"/>
        <v>5.2836582744289609E-2</v>
      </c>
      <c r="O484" s="341">
        <f t="shared" si="197"/>
        <v>0.9969788210491406</v>
      </c>
      <c r="P484" s="342">
        <f t="shared" si="198"/>
        <v>1.329459652358872E-2</v>
      </c>
      <c r="Q484" s="343">
        <f t="shared" si="199"/>
        <v>0.1565806986227819</v>
      </c>
      <c r="R484" s="344">
        <f t="shared" si="200"/>
        <v>-90.430789588972573</v>
      </c>
      <c r="S484" s="346">
        <f t="shared" si="201"/>
        <v>89.569210411027427</v>
      </c>
      <c r="U484" s="319">
        <f t="shared" si="207"/>
        <v>1000000000</v>
      </c>
      <c r="V484" s="319">
        <f t="shared" si="208"/>
        <v>3427985401</v>
      </c>
      <c r="X484" s="345">
        <f t="shared" si="202"/>
        <v>17.029268953788748</v>
      </c>
      <c r="Y484" s="346">
        <f t="shared" si="203"/>
        <v>-8.6255064949078051</v>
      </c>
      <c r="AA484" s="345">
        <f t="shared" si="204"/>
        <v>19.137485708435499</v>
      </c>
      <c r="AB484" s="346">
        <f t="shared" si="205"/>
        <v>-81.805283094064748</v>
      </c>
      <c r="AD484">
        <f t="shared" si="209"/>
        <v>0</v>
      </c>
      <c r="AE484">
        <f t="shared" si="212"/>
        <v>0</v>
      </c>
    </row>
    <row r="485" spans="1:31" x14ac:dyDescent="0.2">
      <c r="A485" s="347">
        <v>58884</v>
      </c>
      <c r="B485" s="364">
        <f t="shared" si="206"/>
        <v>58.884</v>
      </c>
      <c r="C485" s="337">
        <f t="shared" si="187"/>
        <v>6.6041290488892548</v>
      </c>
      <c r="D485" s="338">
        <f t="shared" si="188"/>
        <v>1.4187912215044947</v>
      </c>
      <c r="E485" s="338">
        <f t="shared" si="189"/>
        <v>1.000006047539896</v>
      </c>
      <c r="F485" s="339">
        <f t="shared" si="190"/>
        <v>3.4777893607517677E-3</v>
      </c>
      <c r="G485" s="338">
        <f t="shared" si="191"/>
        <v>1</v>
      </c>
      <c r="H485" s="339">
        <f t="shared" si="192"/>
        <v>0</v>
      </c>
      <c r="I485" s="337">
        <f t="shared" si="193"/>
        <v>111299.96775259383</v>
      </c>
      <c r="J485" s="340">
        <f t="shared" si="194"/>
        <v>1.5707873420663274</v>
      </c>
      <c r="K485" s="348">
        <f t="shared" si="210"/>
        <v>10.308139995373145</v>
      </c>
      <c r="L485" s="349">
        <f t="shared" si="211"/>
        <v>1.4736328042225086</v>
      </c>
      <c r="M485" s="337">
        <f t="shared" si="195"/>
        <v>1.0014135040905985</v>
      </c>
      <c r="N485" s="340">
        <f t="shared" si="196"/>
        <v>5.3138330827860229E-2</v>
      </c>
      <c r="O485" s="341">
        <f t="shared" si="197"/>
        <v>0.99694415270809489</v>
      </c>
      <c r="P485" s="342">
        <f t="shared" si="198"/>
        <v>1.337113376679752E-2</v>
      </c>
      <c r="Q485" s="343">
        <f t="shared" si="199"/>
        <v>0.10786145559628549</v>
      </c>
      <c r="R485" s="344">
        <f t="shared" si="200"/>
        <v>-90.468743051330804</v>
      </c>
      <c r="S485" s="346">
        <f t="shared" si="201"/>
        <v>89.531256948669196</v>
      </c>
      <c r="U485" s="319">
        <f t="shared" si="207"/>
        <v>1000000000</v>
      </c>
      <c r="V485" s="319">
        <f t="shared" si="208"/>
        <v>3467325456</v>
      </c>
      <c r="X485" s="345">
        <f t="shared" si="202"/>
        <v>17.028660920896737</v>
      </c>
      <c r="Y485" s="346">
        <f t="shared" si="203"/>
        <v>-8.6111470756408224</v>
      </c>
      <c r="AA485" s="345">
        <f t="shared" si="204"/>
        <v>19.089374498301016</v>
      </c>
      <c r="AB485" s="346">
        <f t="shared" si="205"/>
        <v>-81.857595975689975</v>
      </c>
      <c r="AD485">
        <f t="shared" si="209"/>
        <v>0</v>
      </c>
      <c r="AE485">
        <f t="shared" si="212"/>
        <v>0</v>
      </c>
    </row>
    <row r="486" spans="1:31" x14ac:dyDescent="0.2">
      <c r="A486" s="347">
        <v>59227</v>
      </c>
      <c r="B486" s="364">
        <f t="shared" si="206"/>
        <v>59.226999999999997</v>
      </c>
      <c r="C486" s="337">
        <f t="shared" si="187"/>
        <v>6.6417186491557088</v>
      </c>
      <c r="D486" s="338">
        <f t="shared" si="188"/>
        <v>1.4196581427533286</v>
      </c>
      <c r="E486" s="338">
        <f t="shared" si="189"/>
        <v>1.0000061181988611</v>
      </c>
      <c r="F486" s="339">
        <f t="shared" si="190"/>
        <v>3.4980473603431327E-3</v>
      </c>
      <c r="G486" s="338">
        <f t="shared" si="191"/>
        <v>1</v>
      </c>
      <c r="H486" s="339">
        <f t="shared" si="192"/>
        <v>0</v>
      </c>
      <c r="I486" s="337">
        <f t="shared" si="193"/>
        <v>111948.29138780996</v>
      </c>
      <c r="J486" s="340">
        <f t="shared" si="194"/>
        <v>1.5707873940993851</v>
      </c>
      <c r="K486" s="348">
        <f t="shared" si="210"/>
        <v>10.367621565817926</v>
      </c>
      <c r="L486" s="349">
        <f t="shared" si="211"/>
        <v>1.474192000711074</v>
      </c>
      <c r="M486" s="337">
        <f t="shared" si="195"/>
        <v>1.0014300076163838</v>
      </c>
      <c r="N486" s="340">
        <f t="shared" si="196"/>
        <v>5.3447274800160621E-2</v>
      </c>
      <c r="O486" s="341">
        <f t="shared" si="197"/>
        <v>0.9969084516034471</v>
      </c>
      <c r="P486" s="342">
        <f t="shared" si="198"/>
        <v>1.344950712575446E-2</v>
      </c>
      <c r="Q486" s="343">
        <f t="shared" si="199"/>
        <v>5.8259454844620494E-2</v>
      </c>
      <c r="R486" s="344">
        <f t="shared" si="200"/>
        <v>-90.507408313200003</v>
      </c>
      <c r="S486" s="346">
        <f t="shared" si="201"/>
        <v>89.492591686799997</v>
      </c>
      <c r="U486" s="319">
        <f t="shared" si="207"/>
        <v>1000000000</v>
      </c>
      <c r="V486" s="319">
        <f t="shared" si="208"/>
        <v>3507837529</v>
      </c>
      <c r="X486" s="345">
        <f t="shared" si="202"/>
        <v>17.028045721948139</v>
      </c>
      <c r="Y486" s="346">
        <f t="shared" si="203"/>
        <v>-8.5968116439045321</v>
      </c>
      <c r="AA486" s="345">
        <f t="shared" si="204"/>
        <v>19.040387696497948</v>
      </c>
      <c r="AB486" s="346">
        <f t="shared" si="205"/>
        <v>-81.910596669295472</v>
      </c>
      <c r="AD486">
        <f t="shared" si="209"/>
        <v>0</v>
      </c>
      <c r="AE486">
        <f t="shared" si="212"/>
        <v>0</v>
      </c>
    </row>
    <row r="487" spans="1:31" x14ac:dyDescent="0.2">
      <c r="A487" s="347">
        <v>59570</v>
      </c>
      <c r="B487" s="364">
        <f t="shared" si="206"/>
        <v>59.57</v>
      </c>
      <c r="C487" s="337">
        <f t="shared" si="187"/>
        <v>6.6793131848368281</v>
      </c>
      <c r="D487" s="338">
        <f t="shared" si="188"/>
        <v>1.4205153057022777</v>
      </c>
      <c r="E487" s="338">
        <f t="shared" si="189"/>
        <v>1.0000061892682151</v>
      </c>
      <c r="F487" s="339">
        <f t="shared" si="190"/>
        <v>3.5183053570633834E-3</v>
      </c>
      <c r="G487" s="338">
        <f t="shared" si="191"/>
        <v>1</v>
      </c>
      <c r="H487" s="339">
        <f t="shared" si="192"/>
        <v>0</v>
      </c>
      <c r="I487" s="337">
        <f t="shared" si="193"/>
        <v>112596.6150230264</v>
      </c>
      <c r="J487" s="340">
        <f t="shared" si="194"/>
        <v>1.5707874455332369</v>
      </c>
      <c r="K487" s="348">
        <f t="shared" si="210"/>
        <v>10.427106341237135</v>
      </c>
      <c r="L487" s="349">
        <f t="shared" si="211"/>
        <v>1.4747448171391029</v>
      </c>
      <c r="M487" s="337">
        <f t="shared" si="195"/>
        <v>1.0014466067218806</v>
      </c>
      <c r="N487" s="340">
        <f t="shared" si="196"/>
        <v>5.3756208560375163E-2</v>
      </c>
      <c r="O487" s="341">
        <f t="shared" si="197"/>
        <v>0.99687254321993779</v>
      </c>
      <c r="P487" s="342">
        <f t="shared" si="198"/>
        <v>1.3527888993936935E-2</v>
      </c>
      <c r="Q487" s="343">
        <f t="shared" si="199"/>
        <v>8.9383355218888485E-3</v>
      </c>
      <c r="R487" s="344">
        <f t="shared" si="200"/>
        <v>-90.545879884477984</v>
      </c>
      <c r="S487" s="346">
        <f t="shared" si="201"/>
        <v>89.454120115522016</v>
      </c>
      <c r="U487" s="319">
        <f t="shared" si="207"/>
        <v>1000000000</v>
      </c>
      <c r="V487" s="319">
        <f t="shared" si="208"/>
        <v>3548584900</v>
      </c>
      <c r="X487" s="345">
        <f t="shared" si="202"/>
        <v>17.027437777043144</v>
      </c>
      <c r="Y487" s="346">
        <f t="shared" si="203"/>
        <v>-8.5828411432690483</v>
      </c>
      <c r="AA487" s="345">
        <f t="shared" si="204"/>
        <v>18.991674522080213</v>
      </c>
      <c r="AB487" s="346">
        <f t="shared" si="205"/>
        <v>-81.963038741208919</v>
      </c>
      <c r="AD487">
        <f t="shared" si="209"/>
        <v>59570</v>
      </c>
      <c r="AE487">
        <f t="shared" si="212"/>
        <v>89.454120115522016</v>
      </c>
    </row>
    <row r="488" spans="1:31" x14ac:dyDescent="0.2">
      <c r="A488" s="347">
        <v>59913</v>
      </c>
      <c r="B488" s="364">
        <f t="shared" si="206"/>
        <v>59.912999999999997</v>
      </c>
      <c r="C488" s="337">
        <f t="shared" si="187"/>
        <v>6.7169125730621166</v>
      </c>
      <c r="D488" s="338">
        <f t="shared" si="188"/>
        <v>1.4213628729537424</v>
      </c>
      <c r="E488" s="338">
        <f t="shared" si="189"/>
        <v>1.0000062607479581</v>
      </c>
      <c r="F488" s="339">
        <f t="shared" si="190"/>
        <v>3.5385633508958933E-3</v>
      </c>
      <c r="G488" s="338">
        <f t="shared" si="191"/>
        <v>1</v>
      </c>
      <c r="H488" s="339">
        <f t="shared" si="192"/>
        <v>0</v>
      </c>
      <c r="I488" s="337">
        <f t="shared" si="193"/>
        <v>113244.93865824313</v>
      </c>
      <c r="J488" s="340">
        <f t="shared" si="194"/>
        <v>1.5707874963781745</v>
      </c>
      <c r="K488" s="348">
        <f t="shared" si="210"/>
        <v>10.48659426709051</v>
      </c>
      <c r="L488" s="349">
        <f t="shared" si="211"/>
        <v>1.4752913617434431</v>
      </c>
      <c r="M488" s="337">
        <f t="shared" si="195"/>
        <v>1.001463301402336</v>
      </c>
      <c r="N488" s="340">
        <f t="shared" si="196"/>
        <v>5.4065132050043797E-2</v>
      </c>
      <c r="O488" s="341">
        <f t="shared" si="197"/>
        <v>0.99683642755890567</v>
      </c>
      <c r="P488" s="342">
        <f t="shared" si="198"/>
        <v>1.3606279421641335E-2</v>
      </c>
      <c r="Q488" s="343">
        <f t="shared" si="199"/>
        <v>-4.0104993093595775E-2</v>
      </c>
      <c r="R488" s="344">
        <f t="shared" si="200"/>
        <v>-90.584160880204266</v>
      </c>
      <c r="S488" s="346">
        <f t="shared" si="201"/>
        <v>89.415839119795734</v>
      </c>
      <c r="U488" s="319">
        <f t="shared" si="207"/>
        <v>59913</v>
      </c>
      <c r="V488" s="319">
        <f t="shared" si="208"/>
        <v>3589567569</v>
      </c>
      <c r="X488" s="345">
        <f t="shared" si="202"/>
        <v>17.026836903152802</v>
      </c>
      <c r="Y488" s="346">
        <f t="shared" si="203"/>
        <v>-8.5692293694599559</v>
      </c>
      <c r="AA488" s="345">
        <f t="shared" si="204"/>
        <v>18.943232067355069</v>
      </c>
      <c r="AB488" s="346">
        <f t="shared" si="205"/>
        <v>-82.014931510744333</v>
      </c>
      <c r="AD488">
        <f t="shared" si="209"/>
        <v>0</v>
      </c>
      <c r="AE488">
        <f t="shared" si="212"/>
        <v>0</v>
      </c>
    </row>
    <row r="489" spans="1:31" x14ac:dyDescent="0.2">
      <c r="A489" s="347">
        <v>60256</v>
      </c>
      <c r="B489" s="364">
        <f t="shared" si="206"/>
        <v>60.256</v>
      </c>
      <c r="C489" s="337">
        <f t="shared" si="187"/>
        <v>6.7545167327957163</v>
      </c>
      <c r="D489" s="338">
        <f t="shared" si="188"/>
        <v>1.4222010035449733</v>
      </c>
      <c r="E489" s="338">
        <f t="shared" si="189"/>
        <v>1.0000063326380899</v>
      </c>
      <c r="F489" s="339">
        <f t="shared" si="190"/>
        <v>3.5588213418240354E-3</v>
      </c>
      <c r="G489" s="338">
        <f t="shared" si="191"/>
        <v>1</v>
      </c>
      <c r="H489" s="339">
        <f t="shared" si="192"/>
        <v>0</v>
      </c>
      <c r="I489" s="337">
        <f t="shared" si="193"/>
        <v>113893.26229346014</v>
      </c>
      <c r="J489" s="340">
        <f t="shared" si="194"/>
        <v>1.5707875466442549</v>
      </c>
      <c r="K489" s="348">
        <f t="shared" si="210"/>
        <v>10.546085290065534</v>
      </c>
      <c r="L489" s="349">
        <f t="shared" si="211"/>
        <v>1.4758317403338463</v>
      </c>
      <c r="M489" s="337">
        <f t="shared" si="195"/>
        <v>1.0014800916529707</v>
      </c>
      <c r="N489" s="340">
        <f t="shared" si="196"/>
        <v>5.4374045210718189E-2</v>
      </c>
      <c r="O489" s="341">
        <f t="shared" si="197"/>
        <v>0.99680010462169766</v>
      </c>
      <c r="P489" s="342">
        <f t="shared" si="198"/>
        <v>1.3684678459181822E-2</v>
      </c>
      <c r="Q489" s="343">
        <f t="shared" si="199"/>
        <v>-8.887357142067405E-2</v>
      </c>
      <c r="R489" s="344">
        <f t="shared" si="200"/>
        <v>-90.622254350201089</v>
      </c>
      <c r="S489" s="346">
        <f t="shared" si="201"/>
        <v>89.377745649798911</v>
      </c>
      <c r="U489" s="319">
        <f t="shared" si="207"/>
        <v>60256</v>
      </c>
      <c r="V489" s="319">
        <f t="shared" si="208"/>
        <v>3630785536</v>
      </c>
      <c r="X489" s="345">
        <f t="shared" si="202"/>
        <v>17.026242922398435</v>
      </c>
      <c r="Y489" s="346">
        <f t="shared" si="203"/>
        <v>-8.5559702572524206</v>
      </c>
      <c r="AA489" s="345">
        <f t="shared" si="204"/>
        <v>18.895057469782362</v>
      </c>
      <c r="AB489" s="346">
        <f t="shared" si="205"/>
        <v>-82.066284092948692</v>
      </c>
      <c r="AD489">
        <f t="shared" si="209"/>
        <v>0</v>
      </c>
      <c r="AE489">
        <f t="shared" si="212"/>
        <v>0</v>
      </c>
    </row>
    <row r="490" spans="1:31" x14ac:dyDescent="0.2">
      <c r="A490" s="347">
        <v>60607</v>
      </c>
      <c r="B490" s="364">
        <f t="shared" si="206"/>
        <v>60.606999999999999</v>
      </c>
      <c r="C490" s="337">
        <f t="shared" si="187"/>
        <v>6.7930028145458605</v>
      </c>
      <c r="D490" s="338">
        <f t="shared" si="188"/>
        <v>1.4230490752839928</v>
      </c>
      <c r="E490" s="338">
        <f t="shared" si="189"/>
        <v>1.0000064066298175</v>
      </c>
      <c r="F490" s="339">
        <f t="shared" si="190"/>
        <v>3.5795518193123925E-3</v>
      </c>
      <c r="G490" s="338">
        <f t="shared" si="191"/>
        <v>1</v>
      </c>
      <c r="H490" s="339">
        <f t="shared" si="192"/>
        <v>0</v>
      </c>
      <c r="I490" s="337">
        <f t="shared" si="193"/>
        <v>114556.70717964461</v>
      </c>
      <c r="J490" s="340">
        <f t="shared" si="194"/>
        <v>1.5707875974937091</v>
      </c>
      <c r="K490" s="348">
        <f t="shared" si="210"/>
        <v>10.606967010715055</v>
      </c>
      <c r="L490" s="349">
        <f t="shared" si="211"/>
        <v>1.4763784470109473</v>
      </c>
      <c r="M490" s="337">
        <f t="shared" si="195"/>
        <v>1.0014973724476712</v>
      </c>
      <c r="N490" s="340">
        <f t="shared" si="196"/>
        <v>5.4690152588935101E-2</v>
      </c>
      <c r="O490" s="341">
        <f t="shared" si="197"/>
        <v>0.99676271991949517</v>
      </c>
      <c r="P490" s="342">
        <f t="shared" si="198"/>
        <v>1.3764915011611353E-2</v>
      </c>
      <c r="Q490" s="343">
        <f t="shared" si="199"/>
        <v>-0.1384982924572899</v>
      </c>
      <c r="R490" s="344">
        <f t="shared" si="200"/>
        <v>-90.661045275439491</v>
      </c>
      <c r="S490" s="346">
        <f t="shared" si="201"/>
        <v>89.338954724560509</v>
      </c>
      <c r="U490" s="319">
        <f t="shared" si="207"/>
        <v>60607</v>
      </c>
      <c r="V490" s="319">
        <f t="shared" si="208"/>
        <v>3673208449</v>
      </c>
      <c r="X490" s="345">
        <f t="shared" si="202"/>
        <v>17.025642043676491</v>
      </c>
      <c r="Y490" s="346">
        <f t="shared" si="203"/>
        <v>-8.5427608041117136</v>
      </c>
      <c r="AA490" s="345">
        <f t="shared" si="204"/>
        <v>18.846033627467687</v>
      </c>
      <c r="AB490" s="346">
        <f t="shared" si="205"/>
        <v>-82.118284471327769</v>
      </c>
      <c r="AD490">
        <f t="shared" si="209"/>
        <v>0</v>
      </c>
      <c r="AE490">
        <f t="shared" si="212"/>
        <v>0</v>
      </c>
    </row>
    <row r="491" spans="1:31" x14ac:dyDescent="0.2">
      <c r="A491" s="347">
        <v>60958</v>
      </c>
      <c r="B491" s="364">
        <f t="shared" si="206"/>
        <v>60.957999999999998</v>
      </c>
      <c r="C491" s="337">
        <f t="shared" si="187"/>
        <v>6.8314937269475617</v>
      </c>
      <c r="D491" s="338">
        <f t="shared" si="188"/>
        <v>1.4238875909828124</v>
      </c>
      <c r="E491" s="338">
        <f t="shared" si="189"/>
        <v>1.0000064810513003</v>
      </c>
      <c r="F491" s="339">
        <f t="shared" si="190"/>
        <v>3.600282293724093E-3</v>
      </c>
      <c r="G491" s="338">
        <f t="shared" si="191"/>
        <v>1</v>
      </c>
      <c r="H491" s="339">
        <f t="shared" si="192"/>
        <v>0</v>
      </c>
      <c r="I491" s="337">
        <f t="shared" si="193"/>
        <v>115220.15206582939</v>
      </c>
      <c r="J491" s="340">
        <f t="shared" si="194"/>
        <v>1.5707876477575748</v>
      </c>
      <c r="K491" s="348">
        <f t="shared" si="210"/>
        <v>10.66785186547526</v>
      </c>
      <c r="L491" s="349">
        <f t="shared" si="211"/>
        <v>1.4769189133870786</v>
      </c>
      <c r="M491" s="337">
        <f t="shared" si="195"/>
        <v>1.0015147533124102</v>
      </c>
      <c r="N491" s="340">
        <f t="shared" si="196"/>
        <v>5.5006249026917121E-2</v>
      </c>
      <c r="O491" s="341">
        <f t="shared" si="197"/>
        <v>0.99672511816237985</v>
      </c>
      <c r="P491" s="342">
        <f t="shared" si="198"/>
        <v>1.3845160686849082E-2</v>
      </c>
      <c r="Q491" s="343">
        <f t="shared" si="199"/>
        <v>-0.18784158273054116</v>
      </c>
      <c r="R491" s="344">
        <f t="shared" si="200"/>
        <v>-90.699646085307435</v>
      </c>
      <c r="S491" s="346">
        <f t="shared" si="201"/>
        <v>89.300353914692565</v>
      </c>
      <c r="U491" s="319">
        <f t="shared" si="207"/>
        <v>60958</v>
      </c>
      <c r="V491" s="319">
        <f t="shared" si="208"/>
        <v>3715877764</v>
      </c>
      <c r="X491" s="345">
        <f t="shared" si="202"/>
        <v>17.025048022276565</v>
      </c>
      <c r="Y491" s="346">
        <f t="shared" si="203"/>
        <v>-8.5299082334988334</v>
      </c>
      <c r="AA491" s="345">
        <f t="shared" si="204"/>
        <v>18.797284358594361</v>
      </c>
      <c r="AB491" s="346">
        <f t="shared" si="205"/>
        <v>-82.169737851808605</v>
      </c>
      <c r="AD491">
        <f t="shared" si="209"/>
        <v>0</v>
      </c>
      <c r="AE491">
        <f t="shared" si="212"/>
        <v>0</v>
      </c>
    </row>
    <row r="492" spans="1:31" x14ac:dyDescent="0.2">
      <c r="A492" s="347">
        <v>61309</v>
      </c>
      <c r="B492" s="364">
        <f t="shared" si="206"/>
        <v>61.308999999999997</v>
      </c>
      <c r="C492" s="337">
        <f t="shared" si="187"/>
        <v>6.8699893888058554</v>
      </c>
      <c r="D492" s="338">
        <f t="shared" si="188"/>
        <v>1.424716710092738</v>
      </c>
      <c r="E492" s="338">
        <f t="shared" si="189"/>
        <v>1.0000065559025386</v>
      </c>
      <c r="F492" s="339">
        <f t="shared" si="190"/>
        <v>3.6210127650413196E-3</v>
      </c>
      <c r="G492" s="338">
        <f t="shared" si="191"/>
        <v>1</v>
      </c>
      <c r="H492" s="339">
        <f t="shared" si="192"/>
        <v>0</v>
      </c>
      <c r="I492" s="337">
        <f t="shared" si="193"/>
        <v>115883.59695201443</v>
      </c>
      <c r="J492" s="340">
        <f t="shared" si="194"/>
        <v>1.5707876974459092</v>
      </c>
      <c r="K492" s="348">
        <f t="shared" si="210"/>
        <v>10.728739800988571</v>
      </c>
      <c r="L492" s="349">
        <f t="shared" si="211"/>
        <v>1.4774532453889784</v>
      </c>
      <c r="M492" s="337">
        <f t="shared" si="195"/>
        <v>1.0015322342419779</v>
      </c>
      <c r="N492" s="340">
        <f t="shared" si="196"/>
        <v>5.5322334462068676E-2</v>
      </c>
      <c r="O492" s="341">
        <f t="shared" si="197"/>
        <v>0.99668729935182077</v>
      </c>
      <c r="P492" s="342">
        <f t="shared" si="198"/>
        <v>1.3925415538870943E-2</v>
      </c>
      <c r="Q492" s="343">
        <f t="shared" si="199"/>
        <v>-0.23690654371939496</v>
      </c>
      <c r="R492" s="344">
        <f t="shared" si="200"/>
        <v>-90.73805984662016</v>
      </c>
      <c r="S492" s="346">
        <f t="shared" si="201"/>
        <v>89.26194015337984</v>
      </c>
      <c r="U492" s="319">
        <f t="shared" si="207"/>
        <v>61309</v>
      </c>
      <c r="V492" s="319">
        <f t="shared" si="208"/>
        <v>3758793481</v>
      </c>
      <c r="X492" s="345">
        <f t="shared" si="202"/>
        <v>17.024460683227652</v>
      </c>
      <c r="Y492" s="346">
        <f t="shared" si="203"/>
        <v>-8.5174064732484922</v>
      </c>
      <c r="AA492" s="345">
        <f t="shared" si="204"/>
        <v>18.748806736654416</v>
      </c>
      <c r="AB492" s="346">
        <f t="shared" si="205"/>
        <v>-82.220653373371661</v>
      </c>
      <c r="AD492">
        <f t="shared" si="209"/>
        <v>0</v>
      </c>
      <c r="AE492">
        <f t="shared" si="212"/>
        <v>0</v>
      </c>
    </row>
    <row r="493" spans="1:31" x14ac:dyDescent="0.2">
      <c r="A493" s="347">
        <v>61660</v>
      </c>
      <c r="B493" s="364">
        <f t="shared" si="206"/>
        <v>61.66</v>
      </c>
      <c r="C493" s="337">
        <f t="shared" si="187"/>
        <v>6.9084897207256137</v>
      </c>
      <c r="D493" s="338">
        <f t="shared" si="188"/>
        <v>1.425536588562988</v>
      </c>
      <c r="E493" s="338">
        <f t="shared" si="189"/>
        <v>1.0000066311835321</v>
      </c>
      <c r="F493" s="339">
        <f t="shared" si="190"/>
        <v>3.6417432332462546E-3</v>
      </c>
      <c r="G493" s="338">
        <f t="shared" si="191"/>
        <v>1</v>
      </c>
      <c r="H493" s="339">
        <f t="shared" si="192"/>
        <v>0</v>
      </c>
      <c r="I493" s="337">
        <f t="shared" si="193"/>
        <v>116547.04183819976</v>
      </c>
      <c r="J493" s="340">
        <f t="shared" si="194"/>
        <v>1.5707877465685414</v>
      </c>
      <c r="K493" s="348">
        <f t="shared" si="210"/>
        <v>10.78963076509916</v>
      </c>
      <c r="L493" s="349">
        <f t="shared" si="211"/>
        <v>1.4779815465664012</v>
      </c>
      <c r="M493" s="337">
        <f t="shared" si="195"/>
        <v>1.0015498152311344</v>
      </c>
      <c r="N493" s="340">
        <f t="shared" si="196"/>
        <v>5.5638408831807373E-2</v>
      </c>
      <c r="O493" s="341">
        <f t="shared" si="197"/>
        <v>0.99664926348929572</v>
      </c>
      <c r="P493" s="342">
        <f t="shared" si="198"/>
        <v>1.4005679621672831E-2</v>
      </c>
      <c r="Q493" s="343">
        <f t="shared" si="199"/>
        <v>-0.28569622631422154</v>
      </c>
      <c r="R493" s="344">
        <f t="shared" si="200"/>
        <v>-90.776289561718045</v>
      </c>
      <c r="S493" s="346">
        <f t="shared" si="201"/>
        <v>89.223710438281955</v>
      </c>
      <c r="U493" s="319">
        <f t="shared" si="207"/>
        <v>61660</v>
      </c>
      <c r="V493" s="319">
        <f t="shared" si="208"/>
        <v>3801955600</v>
      </c>
      <c r="X493" s="345">
        <f t="shared" si="202"/>
        <v>17.023879856484783</v>
      </c>
      <c r="Y493" s="346">
        <f t="shared" si="203"/>
        <v>-8.5052495873742728</v>
      </c>
      <c r="AA493" s="345">
        <f t="shared" si="204"/>
        <v>18.700597880802462</v>
      </c>
      <c r="AB493" s="346">
        <f t="shared" si="205"/>
        <v>-82.271039974343765</v>
      </c>
      <c r="AD493">
        <f t="shared" si="209"/>
        <v>0</v>
      </c>
      <c r="AE493">
        <f t="shared" si="212"/>
        <v>0</v>
      </c>
    </row>
    <row r="494" spans="1:31" x14ac:dyDescent="0.2">
      <c r="A494" s="347">
        <v>62019</v>
      </c>
      <c r="B494" s="364">
        <f t="shared" si="206"/>
        <v>62.018999999999998</v>
      </c>
      <c r="C494" s="337">
        <f t="shared" si="187"/>
        <v>6.947872303103316</v>
      </c>
      <c r="D494" s="338">
        <f t="shared" si="188"/>
        <v>1.4263657537387056</v>
      </c>
      <c r="E494" s="338">
        <f t="shared" si="189"/>
        <v>1.0000067086248907</v>
      </c>
      <c r="F494" s="339">
        <f t="shared" si="190"/>
        <v>3.6629461875169324E-3</v>
      </c>
      <c r="G494" s="338">
        <f t="shared" si="191"/>
        <v>1</v>
      </c>
      <c r="H494" s="339">
        <f t="shared" si="192"/>
        <v>0</v>
      </c>
      <c r="I494" s="337">
        <f t="shared" si="193"/>
        <v>117225.60797535258</v>
      </c>
      <c r="J494" s="340">
        <f t="shared" si="194"/>
        <v>1.5707877962355992</v>
      </c>
      <c r="K494" s="348">
        <f t="shared" si="210"/>
        <v>10.851912637239312</v>
      </c>
      <c r="L494" s="349">
        <f t="shared" si="211"/>
        <v>1.4785157557319131</v>
      </c>
      <c r="M494" s="337">
        <f t="shared" si="195"/>
        <v>1.0015679004275233</v>
      </c>
      <c r="N494" s="340">
        <f t="shared" si="196"/>
        <v>5.5961675663977244E-2</v>
      </c>
      <c r="O494" s="341">
        <f t="shared" si="197"/>
        <v>0.99661013618515215</v>
      </c>
      <c r="P494" s="342">
        <f t="shared" si="198"/>
        <v>1.4087782690340502E-2</v>
      </c>
      <c r="Q494" s="343">
        <f t="shared" si="199"/>
        <v>-0.33531629141873553</v>
      </c>
      <c r="R494" s="344">
        <f t="shared" si="200"/>
        <v>-90.815203286668819</v>
      </c>
      <c r="S494" s="346">
        <f t="shared" si="201"/>
        <v>89.184796713331181</v>
      </c>
      <c r="U494" s="319">
        <f t="shared" si="207"/>
        <v>62019</v>
      </c>
      <c r="V494" s="319">
        <f t="shared" si="208"/>
        <v>3846356361</v>
      </c>
      <c r="X494" s="345">
        <f t="shared" si="202"/>
        <v>17.02329235591678</v>
      </c>
      <c r="Y494" s="346">
        <f t="shared" si="203"/>
        <v>-8.4931663276521157</v>
      </c>
      <c r="AA494" s="345">
        <f t="shared" si="204"/>
        <v>18.651565316265948</v>
      </c>
      <c r="AB494" s="346">
        <f t="shared" si="205"/>
        <v>-82.3220369590167</v>
      </c>
      <c r="AD494">
        <f t="shared" si="209"/>
        <v>0</v>
      </c>
      <c r="AE494">
        <f t="shared" si="212"/>
        <v>0</v>
      </c>
    </row>
    <row r="495" spans="1:31" x14ac:dyDescent="0.2">
      <c r="A495" s="347">
        <v>62378</v>
      </c>
      <c r="B495" s="364">
        <f t="shared" si="206"/>
        <v>62.378</v>
      </c>
      <c r="C495" s="337">
        <f t="shared" si="187"/>
        <v>6.9872596083978022</v>
      </c>
      <c r="D495" s="338">
        <f t="shared" si="188"/>
        <v>1.4271855714354214</v>
      </c>
      <c r="E495" s="338">
        <f t="shared" si="189"/>
        <v>1.0000067865158178</v>
      </c>
      <c r="F495" s="339">
        <f t="shared" si="190"/>
        <v>3.6841491384941288E-3</v>
      </c>
      <c r="G495" s="338">
        <f t="shared" si="191"/>
        <v>1</v>
      </c>
      <c r="H495" s="339">
        <f t="shared" si="192"/>
        <v>0</v>
      </c>
      <c r="I495" s="337">
        <f t="shared" si="193"/>
        <v>117904.17411250567</v>
      </c>
      <c r="J495" s="340">
        <f t="shared" si="194"/>
        <v>1.570787845330966</v>
      </c>
      <c r="K495" s="348">
        <f t="shared" si="210"/>
        <v>10.914197570946557</v>
      </c>
      <c r="L495" s="349">
        <f t="shared" si="211"/>
        <v>1.4790438678174342</v>
      </c>
      <c r="M495" s="337">
        <f t="shared" si="195"/>
        <v>1.0015860902854188</v>
      </c>
      <c r="N495" s="340">
        <f t="shared" si="196"/>
        <v>5.6284930788194687E-2</v>
      </c>
      <c r="O495" s="341">
        <f t="shared" si="197"/>
        <v>0.99657078182533809</v>
      </c>
      <c r="P495" s="342">
        <f t="shared" si="198"/>
        <v>1.4169895529682116E-2</v>
      </c>
      <c r="Q495" s="343">
        <f t="shared" si="199"/>
        <v>-0.38465468528696334</v>
      </c>
      <c r="R495" s="344">
        <f t="shared" si="200"/>
        <v>-90.853930633909684</v>
      </c>
      <c r="S495" s="346">
        <f t="shared" si="201"/>
        <v>89.146069366090316</v>
      </c>
      <c r="U495" s="319">
        <f t="shared" si="207"/>
        <v>62378</v>
      </c>
      <c r="V495" s="319">
        <f t="shared" si="208"/>
        <v>3891014884</v>
      </c>
      <c r="X495" s="345">
        <f t="shared" si="202"/>
        <v>17.022711323142452</v>
      </c>
      <c r="Y495" s="346">
        <f t="shared" si="203"/>
        <v>-8.4814317013094538</v>
      </c>
      <c r="AA495" s="345">
        <f t="shared" si="204"/>
        <v>18.60280795517205</v>
      </c>
      <c r="AB495" s="346">
        <f t="shared" si="205"/>
        <v>-82.372498932600209</v>
      </c>
      <c r="AD495">
        <f t="shared" si="209"/>
        <v>0</v>
      </c>
      <c r="AE495">
        <f t="shared" si="212"/>
        <v>0</v>
      </c>
    </row>
    <row r="496" spans="1:31" x14ac:dyDescent="0.2">
      <c r="A496" s="347">
        <v>62737</v>
      </c>
      <c r="B496" s="364">
        <f t="shared" si="206"/>
        <v>62.737000000000002</v>
      </c>
      <c r="C496" s="337">
        <f t="shared" si="187"/>
        <v>7.0266515571873311</v>
      </c>
      <c r="D496" s="338">
        <f t="shared" si="188"/>
        <v>1.4279961977498217</v>
      </c>
      <c r="E496" s="338">
        <f t="shared" si="189"/>
        <v>1.000006864856313</v>
      </c>
      <c r="F496" s="339">
        <f t="shared" si="190"/>
        <v>3.7053520861587805E-3</v>
      </c>
      <c r="G496" s="338">
        <f t="shared" si="191"/>
        <v>1</v>
      </c>
      <c r="H496" s="339">
        <f t="shared" si="192"/>
        <v>0</v>
      </c>
      <c r="I496" s="337">
        <f t="shared" si="193"/>
        <v>118582.74024965907</v>
      </c>
      <c r="J496" s="340">
        <f t="shared" si="194"/>
        <v>1.5707878938644557</v>
      </c>
      <c r="K496" s="348">
        <f t="shared" si="210"/>
        <v>10.976485514103254</v>
      </c>
      <c r="L496" s="349">
        <f t="shared" si="211"/>
        <v>1.4795659863226125</v>
      </c>
      <c r="M496" s="337">
        <f t="shared" si="195"/>
        <v>1.0016043847991185</v>
      </c>
      <c r="N496" s="340">
        <f t="shared" si="196"/>
        <v>5.6608174137543071E-2</v>
      </c>
      <c r="O496" s="341">
        <f t="shared" si="197"/>
        <v>0.99653120041146315</v>
      </c>
      <c r="P496" s="342">
        <f t="shared" si="198"/>
        <v>1.4252018197535982E-2</v>
      </c>
      <c r="Q496" s="343">
        <f t="shared" si="199"/>
        <v>-0.43371451493998187</v>
      </c>
      <c r="R496" s="344">
        <f t="shared" si="200"/>
        <v>-90.892474617072125</v>
      </c>
      <c r="S496" s="346">
        <f t="shared" si="201"/>
        <v>89.107525382927875</v>
      </c>
      <c r="U496" s="319">
        <f t="shared" si="207"/>
        <v>62737</v>
      </c>
      <c r="V496" s="319">
        <f t="shared" si="208"/>
        <v>3935931169</v>
      </c>
      <c r="X496" s="345">
        <f t="shared" si="202"/>
        <v>17.022136591160582</v>
      </c>
      <c r="Y496" s="346">
        <f t="shared" si="203"/>
        <v>-8.4700397749814975</v>
      </c>
      <c r="AA496" s="345">
        <f t="shared" si="204"/>
        <v>18.554322857500903</v>
      </c>
      <c r="AB496" s="346">
        <f t="shared" si="205"/>
        <v>-82.42243484209061</v>
      </c>
      <c r="AD496">
        <f t="shared" si="209"/>
        <v>0</v>
      </c>
      <c r="AE496">
        <f t="shared" si="212"/>
        <v>0</v>
      </c>
    </row>
    <row r="497" spans="1:31" x14ac:dyDescent="0.2">
      <c r="A497" s="347">
        <v>63096</v>
      </c>
      <c r="B497" s="364">
        <f t="shared" si="206"/>
        <v>63.095999999999997</v>
      </c>
      <c r="C497" s="337">
        <f t="shared" si="187"/>
        <v>7.0660480718119514</v>
      </c>
      <c r="D497" s="338">
        <f t="shared" si="188"/>
        <v>1.4287977853462823</v>
      </c>
      <c r="E497" s="338">
        <f t="shared" si="189"/>
        <v>1.0000069436463759</v>
      </c>
      <c r="F497" s="339">
        <f t="shared" si="190"/>
        <v>3.7265550304918251E-3</v>
      </c>
      <c r="G497" s="338">
        <f t="shared" si="191"/>
        <v>1</v>
      </c>
      <c r="H497" s="339">
        <f t="shared" si="192"/>
        <v>0</v>
      </c>
      <c r="I497" s="337">
        <f t="shared" si="193"/>
        <v>119261.30638681272</v>
      </c>
      <c r="J497" s="340">
        <f t="shared" si="194"/>
        <v>1.5707879418456594</v>
      </c>
      <c r="K497" s="348">
        <f t="shared" si="210"/>
        <v>11.038776415765602</v>
      </c>
      <c r="L497" s="349">
        <f t="shared" si="211"/>
        <v>1.4800822124241768</v>
      </c>
      <c r="M497" s="337">
        <f t="shared" si="195"/>
        <v>1.0016227839628877</v>
      </c>
      <c r="N497" s="340">
        <f t="shared" si="196"/>
        <v>5.6931405645120468E-2</v>
      </c>
      <c r="O497" s="341">
        <f t="shared" si="197"/>
        <v>0.99649139194514658</v>
      </c>
      <c r="P497" s="342">
        <f t="shared" si="198"/>
        <v>1.4334150751762779E-2</v>
      </c>
      <c r="Q497" s="343">
        <f t="shared" si="199"/>
        <v>-0.48249883663886439</v>
      </c>
      <c r="R497" s="344">
        <f t="shared" si="200"/>
        <v>-90.930838186213663</v>
      </c>
      <c r="S497" s="346">
        <f t="shared" si="201"/>
        <v>89.069161813786337</v>
      </c>
      <c r="U497" s="319">
        <f t="shared" si="207"/>
        <v>63096</v>
      </c>
      <c r="V497" s="319">
        <f t="shared" si="208"/>
        <v>3981105216</v>
      </c>
      <c r="X497" s="345">
        <f t="shared" si="202"/>
        <v>17.0215679976716</v>
      </c>
      <c r="Y497" s="346">
        <f t="shared" si="203"/>
        <v>-8.4589847483850402</v>
      </c>
      <c r="AA497" s="345">
        <f t="shared" si="204"/>
        <v>18.506107129291003</v>
      </c>
      <c r="AB497" s="346">
        <f t="shared" si="205"/>
        <v>-82.471853437828585</v>
      </c>
      <c r="AD497">
        <f t="shared" si="209"/>
        <v>0</v>
      </c>
      <c r="AE497">
        <f t="shared" si="212"/>
        <v>0</v>
      </c>
    </row>
    <row r="498" spans="1:31" x14ac:dyDescent="0.2">
      <c r="A498" s="347">
        <v>63463.25</v>
      </c>
      <c r="B498" s="364">
        <f t="shared" si="206"/>
        <v>63.463250000000002</v>
      </c>
      <c r="C498" s="337">
        <f t="shared" si="187"/>
        <v>7.1063545833478337</v>
      </c>
      <c r="D498" s="338">
        <f t="shared" si="188"/>
        <v>1.429608596827612</v>
      </c>
      <c r="E498" s="338">
        <f t="shared" si="189"/>
        <v>1.0000070247122577</v>
      </c>
      <c r="F498" s="339">
        <f t="shared" si="190"/>
        <v>3.7482452256494378E-3</v>
      </c>
      <c r="G498" s="338">
        <f t="shared" si="191"/>
        <v>1</v>
      </c>
      <c r="H498" s="339">
        <f t="shared" si="192"/>
        <v>0</v>
      </c>
      <c r="I498" s="337">
        <f t="shared" si="193"/>
        <v>119955.46631402658</v>
      </c>
      <c r="J498" s="340">
        <f t="shared" si="194"/>
        <v>1.5707879903677979</v>
      </c>
      <c r="K498" s="348">
        <f t="shared" si="210"/>
        <v>11.102501802928403</v>
      </c>
      <c r="L498" s="349">
        <f t="shared" si="211"/>
        <v>1.4806043077104638</v>
      </c>
      <c r="M498" s="337">
        <f t="shared" si="195"/>
        <v>1.0016417142277221</v>
      </c>
      <c r="N498" s="340">
        <f t="shared" si="196"/>
        <v>5.726205285197486E-2</v>
      </c>
      <c r="O498" s="341">
        <f t="shared" si="197"/>
        <v>0.99645043372294961</v>
      </c>
      <c r="P498" s="342">
        <f t="shared" si="198"/>
        <v>1.4418181043393215E-2</v>
      </c>
      <c r="Q498" s="343">
        <f t="shared" si="199"/>
        <v>-0.53212230340198985</v>
      </c>
      <c r="R498" s="344">
        <f t="shared" si="200"/>
        <v>-90.969899699707923</v>
      </c>
      <c r="S498" s="346">
        <f t="shared" si="201"/>
        <v>89.030100300292077</v>
      </c>
      <c r="U498" s="319">
        <f t="shared" si="207"/>
        <v>63463.25</v>
      </c>
      <c r="V498" s="319">
        <f t="shared" si="208"/>
        <v>4027584100.5625</v>
      </c>
      <c r="X498" s="345">
        <f t="shared" si="202"/>
        <v>17.020992524872277</v>
      </c>
      <c r="Y498" s="346">
        <f t="shared" si="203"/>
        <v>-8.4480183615388924</v>
      </c>
      <c r="AA498" s="345">
        <f t="shared" si="204"/>
        <v>18.457059135327199</v>
      </c>
      <c r="AB498" s="346">
        <f t="shared" si="205"/>
        <v>-82.521881338169038</v>
      </c>
      <c r="AD498">
        <f t="shared" si="209"/>
        <v>0</v>
      </c>
      <c r="AE498">
        <f t="shared" si="212"/>
        <v>0</v>
      </c>
    </row>
    <row r="499" spans="1:31" x14ac:dyDescent="0.2">
      <c r="A499" s="347">
        <v>63830.5</v>
      </c>
      <c r="B499" s="364">
        <f t="shared" si="206"/>
        <v>63.830500000000001</v>
      </c>
      <c r="C499" s="337">
        <f t="shared" si="187"/>
        <v>7.1466657140105667</v>
      </c>
      <c r="D499" s="338">
        <f t="shared" si="188"/>
        <v>1.4304102619844052</v>
      </c>
      <c r="E499" s="338">
        <f t="shared" si="189"/>
        <v>1.0000071062486073</v>
      </c>
      <c r="F499" s="339">
        <f t="shared" si="190"/>
        <v>3.769935417280202E-3</v>
      </c>
      <c r="G499" s="338">
        <f t="shared" si="191"/>
        <v>1</v>
      </c>
      <c r="H499" s="339">
        <f t="shared" si="192"/>
        <v>0</v>
      </c>
      <c r="I499" s="337">
        <f t="shared" si="193"/>
        <v>120649.62624124072</v>
      </c>
      <c r="J499" s="340">
        <f t="shared" si="194"/>
        <v>1.5707880383315904</v>
      </c>
      <c r="K499" s="348">
        <f t="shared" si="210"/>
        <v>11.166230181906689</v>
      </c>
      <c r="L499" s="349">
        <f t="shared" si="211"/>
        <v>1.481120443687711</v>
      </c>
      <c r="M499" s="337">
        <f t="shared" si="195"/>
        <v>1.0016607539954701</v>
      </c>
      <c r="N499" s="340">
        <f t="shared" si="196"/>
        <v>5.7592687524959246E-2</v>
      </c>
      <c r="O499" s="341">
        <f t="shared" si="197"/>
        <v>0.99640923789630509</v>
      </c>
      <c r="P499" s="342">
        <f t="shared" si="198"/>
        <v>1.4502221803570133E-2</v>
      </c>
      <c r="Q499" s="343">
        <f t="shared" si="199"/>
        <v>-0.58146376629685981</v>
      </c>
      <c r="R499" s="344">
        <f t="shared" si="200"/>
        <v>-91.008778460541677</v>
      </c>
      <c r="S499" s="346">
        <f t="shared" si="201"/>
        <v>88.991221539458323</v>
      </c>
      <c r="U499" s="319">
        <f t="shared" si="207"/>
        <v>63830.5</v>
      </c>
      <c r="V499" s="319">
        <f t="shared" si="208"/>
        <v>4074332730.25</v>
      </c>
      <c r="X499" s="345">
        <f t="shared" si="202"/>
        <v>17.020423146738452</v>
      </c>
      <c r="Y499" s="346">
        <f t="shared" si="203"/>
        <v>-8.4373926678211966</v>
      </c>
      <c r="AA499" s="345">
        <f t="shared" si="204"/>
        <v>18.408287050566155</v>
      </c>
      <c r="AB499" s="346">
        <f t="shared" si="205"/>
        <v>-82.571385792720491</v>
      </c>
      <c r="AD499">
        <f t="shared" si="209"/>
        <v>0</v>
      </c>
      <c r="AE499">
        <f t="shared" si="212"/>
        <v>0</v>
      </c>
    </row>
    <row r="500" spans="1:31" x14ac:dyDescent="0.2">
      <c r="A500" s="347">
        <v>64197.75</v>
      </c>
      <c r="B500" s="364">
        <f t="shared" si="206"/>
        <v>64.197749999999999</v>
      </c>
      <c r="C500" s="337">
        <f t="shared" si="187"/>
        <v>7.1869813860753515</v>
      </c>
      <c r="D500" s="338">
        <f t="shared" si="188"/>
        <v>1.4312029336975545</v>
      </c>
      <c r="E500" s="338">
        <f t="shared" si="189"/>
        <v>1.0000071882554245</v>
      </c>
      <c r="F500" s="339">
        <f t="shared" si="190"/>
        <v>3.7916256053637082E-3</v>
      </c>
      <c r="G500" s="338">
        <f t="shared" si="191"/>
        <v>1</v>
      </c>
      <c r="H500" s="339">
        <f t="shared" si="192"/>
        <v>0</v>
      </c>
      <c r="I500" s="337">
        <f t="shared" si="193"/>
        <v>121343.78616845516</v>
      </c>
      <c r="J500" s="340">
        <f t="shared" si="194"/>
        <v>1.570788085746619</v>
      </c>
      <c r="K500" s="348">
        <f t="shared" si="210"/>
        <v>11.229961501766129</v>
      </c>
      <c r="L500" s="349">
        <f t="shared" si="211"/>
        <v>1.4816307215378444</v>
      </c>
      <c r="M500" s="337">
        <f t="shared" si="195"/>
        <v>1.001679903259888</v>
      </c>
      <c r="N500" s="340">
        <f t="shared" si="196"/>
        <v>5.7923309592500929E-2</v>
      </c>
      <c r="O500" s="341">
        <f t="shared" si="197"/>
        <v>0.99636780446697792</v>
      </c>
      <c r="P500" s="342">
        <f t="shared" si="198"/>
        <v>1.4586273094309167E-2</v>
      </c>
      <c r="Q500" s="343">
        <f t="shared" si="199"/>
        <v>-0.63052633927858193</v>
      </c>
      <c r="R500" s="344">
        <f t="shared" si="200"/>
        <v>-91.047477430850137</v>
      </c>
      <c r="S500" s="346">
        <f t="shared" si="201"/>
        <v>88.952522569149863</v>
      </c>
      <c r="U500" s="319">
        <f t="shared" si="207"/>
        <v>64197.75</v>
      </c>
      <c r="V500" s="319">
        <f t="shared" si="208"/>
        <v>4121351105.0625</v>
      </c>
      <c r="X500" s="345">
        <f t="shared" si="202"/>
        <v>17.019859703788764</v>
      </c>
      <c r="Y500" s="346">
        <f t="shared" si="203"/>
        <v>-8.4271018663828343</v>
      </c>
      <c r="AA500" s="345">
        <f t="shared" si="204"/>
        <v>18.359787920534117</v>
      </c>
      <c r="AB500" s="346">
        <f t="shared" si="205"/>
        <v>-82.620375564467267</v>
      </c>
      <c r="AD500">
        <f t="shared" si="209"/>
        <v>0</v>
      </c>
      <c r="AE500">
        <f t="shared" si="212"/>
        <v>0</v>
      </c>
    </row>
    <row r="501" spans="1:31" x14ac:dyDescent="0.2">
      <c r="A501" s="347">
        <v>64565</v>
      </c>
      <c r="B501" s="364">
        <f t="shared" si="206"/>
        <v>64.564999999999998</v>
      </c>
      <c r="C501" s="337">
        <f t="shared" si="187"/>
        <v>7.2273015235430051</v>
      </c>
      <c r="D501" s="338">
        <f t="shared" si="188"/>
        <v>1.4319867614821313</v>
      </c>
      <c r="E501" s="338">
        <f t="shared" si="189"/>
        <v>1.0000072707327092</v>
      </c>
      <c r="F501" s="339">
        <f t="shared" si="190"/>
        <v>3.8133157898795501E-3</v>
      </c>
      <c r="G501" s="338">
        <f t="shared" si="191"/>
        <v>1</v>
      </c>
      <c r="H501" s="339">
        <f t="shared" si="192"/>
        <v>0</v>
      </c>
      <c r="I501" s="337">
        <f t="shared" si="193"/>
        <v>122037.94609566985</v>
      </c>
      <c r="J501" s="340">
        <f t="shared" si="194"/>
        <v>1.5707881326222479</v>
      </c>
      <c r="K501" s="348">
        <f t="shared" si="210"/>
        <v>11.29369571271976</v>
      </c>
      <c r="L501" s="349">
        <f t="shared" si="211"/>
        <v>1.4821352401711336</v>
      </c>
      <c r="M501" s="337">
        <f t="shared" si="195"/>
        <v>1.0016991620146958</v>
      </c>
      <c r="N501" s="340">
        <f t="shared" si="196"/>
        <v>5.8253918983043711E-2</v>
      </c>
      <c r="O501" s="341">
        <f t="shared" si="197"/>
        <v>0.99632613343674348</v>
      </c>
      <c r="P501" s="342">
        <f t="shared" si="198"/>
        <v>1.4670334977651052E-2</v>
      </c>
      <c r="Q501" s="343">
        <f t="shared" si="199"/>
        <v>-0.67931308534202373</v>
      </c>
      <c r="R501" s="344">
        <f t="shared" si="200"/>
        <v>-91.085999510067268</v>
      </c>
      <c r="S501" s="346">
        <f t="shared" si="201"/>
        <v>88.914000489932732</v>
      </c>
      <c r="U501" s="319">
        <f t="shared" si="207"/>
        <v>64565</v>
      </c>
      <c r="V501" s="319">
        <f t="shared" si="208"/>
        <v>4168639225</v>
      </c>
      <c r="X501" s="345">
        <f t="shared" si="202"/>
        <v>17.019302041032592</v>
      </c>
      <c r="Y501" s="346">
        <f t="shared" si="203"/>
        <v>-8.4171402865194658</v>
      </c>
      <c r="AA501" s="345">
        <f t="shared" si="204"/>
        <v>18.311558837226851</v>
      </c>
      <c r="AB501" s="346">
        <f t="shared" si="205"/>
        <v>-82.668859223547798</v>
      </c>
      <c r="AD501">
        <f t="shared" si="209"/>
        <v>0</v>
      </c>
      <c r="AE501">
        <f t="shared" si="212"/>
        <v>0</v>
      </c>
    </row>
    <row r="502" spans="1:31" x14ac:dyDescent="0.2">
      <c r="A502" s="347">
        <v>64941</v>
      </c>
      <c r="B502" s="364">
        <f t="shared" si="206"/>
        <v>64.941000000000003</v>
      </c>
      <c r="C502" s="337">
        <f t="shared" si="187"/>
        <v>7.2685868664497537</v>
      </c>
      <c r="D502" s="338">
        <f t="shared" si="188"/>
        <v>1.4327802547209409</v>
      </c>
      <c r="E502" s="338">
        <f t="shared" si="189"/>
        <v>1.0000073556624907</v>
      </c>
      <c r="F502" s="339">
        <f t="shared" si="190"/>
        <v>3.835522755196657E-3</v>
      </c>
      <c r="G502" s="338">
        <f t="shared" si="191"/>
        <v>1</v>
      </c>
      <c r="H502" s="339">
        <f t="shared" si="192"/>
        <v>0</v>
      </c>
      <c r="I502" s="337">
        <f t="shared" si="193"/>
        <v>122748.64489113024</v>
      </c>
      <c r="J502" s="340">
        <f t="shared" si="194"/>
        <v>1.5707881800654488</v>
      </c>
      <c r="K502" s="348">
        <f t="shared" si="210"/>
        <v>11.35895138230928</v>
      </c>
      <c r="L502" s="349">
        <f t="shared" si="211"/>
        <v>1.4826459136197414</v>
      </c>
      <c r="M502" s="337">
        <f t="shared" si="195"/>
        <v>1.0017189930513355</v>
      </c>
      <c r="N502" s="340">
        <f t="shared" si="196"/>
        <v>5.8592392175892495E-2</v>
      </c>
      <c r="O502" s="341">
        <f t="shared" si="197"/>
        <v>0.99628322340571485</v>
      </c>
      <c r="P502" s="342">
        <f t="shared" si="198"/>
        <v>1.4756410735865991E-2</v>
      </c>
      <c r="Q502" s="343">
        <f t="shared" si="199"/>
        <v>-0.72897959461398376</v>
      </c>
      <c r="R502" s="344">
        <f t="shared" si="200"/>
        <v>-91.12525910645283</v>
      </c>
      <c r="S502" s="346">
        <f t="shared" si="201"/>
        <v>88.87474089354717</v>
      </c>
      <c r="U502" s="319">
        <f t="shared" si="207"/>
        <v>64941</v>
      </c>
      <c r="V502" s="319">
        <f t="shared" si="208"/>
        <v>4217333481</v>
      </c>
      <c r="X502" s="345">
        <f t="shared" si="202"/>
        <v>17.018736922672741</v>
      </c>
      <c r="Y502" s="346">
        <f t="shared" si="203"/>
        <v>-8.4072766569173023</v>
      </c>
      <c r="AA502" s="345">
        <f t="shared" si="204"/>
        <v>18.262457446314745</v>
      </c>
      <c r="AB502" s="346">
        <f t="shared" si="205"/>
        <v>-82.717982449535526</v>
      </c>
      <c r="AD502">
        <f t="shared" si="209"/>
        <v>0</v>
      </c>
      <c r="AE502">
        <f t="shared" si="212"/>
        <v>0</v>
      </c>
    </row>
    <row r="503" spans="1:31" x14ac:dyDescent="0.2">
      <c r="A503" s="347">
        <v>65317</v>
      </c>
      <c r="B503" s="364">
        <f t="shared" si="206"/>
        <v>65.316999999999993</v>
      </c>
      <c r="C503" s="337">
        <f t="shared" si="187"/>
        <v>7.3098767341907838</v>
      </c>
      <c r="D503" s="338">
        <f t="shared" si="188"/>
        <v>1.4335647843496591</v>
      </c>
      <c r="E503" s="338">
        <f t="shared" si="189"/>
        <v>1.0000074410854247</v>
      </c>
      <c r="F503" s="339">
        <f t="shared" si="190"/>
        <v>3.8577297167307748E-3</v>
      </c>
      <c r="G503" s="338">
        <f t="shared" si="191"/>
        <v>1</v>
      </c>
      <c r="H503" s="339">
        <f t="shared" si="192"/>
        <v>0</v>
      </c>
      <c r="I503" s="337">
        <f t="shared" si="193"/>
        <v>123459.3436865909</v>
      </c>
      <c r="J503" s="340">
        <f t="shared" si="194"/>
        <v>1.5707882269624323</v>
      </c>
      <c r="K503" s="348">
        <f t="shared" si="210"/>
        <v>11.42420998032814</v>
      </c>
      <c r="L503" s="349">
        <f t="shared" si="211"/>
        <v>1.4831507529514218</v>
      </c>
      <c r="M503" s="337">
        <f t="shared" si="195"/>
        <v>1.0017389388444609</v>
      </c>
      <c r="N503" s="340">
        <f t="shared" si="196"/>
        <v>5.8930851928721564E-2</v>
      </c>
      <c r="O503" s="341">
        <f t="shared" si="197"/>
        <v>0.99624006432067036</v>
      </c>
      <c r="P503" s="342">
        <f t="shared" si="198"/>
        <v>1.4842497729145169E-2</v>
      </c>
      <c r="Q503" s="343">
        <f t="shared" si="199"/>
        <v>-0.77836331573501716</v>
      </c>
      <c r="R503" s="344">
        <f t="shared" si="200"/>
        <v>-91.164339238674032</v>
      </c>
      <c r="S503" s="346">
        <f t="shared" si="201"/>
        <v>88.835660761325968</v>
      </c>
      <c r="U503" s="319">
        <f t="shared" si="207"/>
        <v>65317</v>
      </c>
      <c r="V503" s="319">
        <f t="shared" si="208"/>
        <v>4266310489</v>
      </c>
      <c r="X503" s="345">
        <f t="shared" si="202"/>
        <v>17.018177548202512</v>
      </c>
      <c r="Y503" s="346">
        <f t="shared" si="203"/>
        <v>-8.3977464962402877</v>
      </c>
      <c r="AA503" s="345">
        <f t="shared" si="204"/>
        <v>18.213633099663937</v>
      </c>
      <c r="AB503" s="346">
        <f t="shared" si="205"/>
        <v>-82.766592742433744</v>
      </c>
      <c r="AD503">
        <f t="shared" si="209"/>
        <v>0</v>
      </c>
      <c r="AE503">
        <f t="shared" si="212"/>
        <v>0</v>
      </c>
    </row>
    <row r="504" spans="1:31" x14ac:dyDescent="0.2">
      <c r="A504" s="347">
        <v>65693</v>
      </c>
      <c r="B504" s="364">
        <f t="shared" si="206"/>
        <v>65.692999999999998</v>
      </c>
      <c r="C504" s="337">
        <f t="shared" si="187"/>
        <v>7.3511710505211783</v>
      </c>
      <c r="D504" s="338">
        <f t="shared" si="188"/>
        <v>1.4343405004503158</v>
      </c>
      <c r="E504" s="338">
        <f t="shared" si="189"/>
        <v>1.0000075270015119</v>
      </c>
      <c r="F504" s="339">
        <f t="shared" si="190"/>
        <v>3.8799366744600027E-3</v>
      </c>
      <c r="G504" s="338">
        <f t="shared" si="191"/>
        <v>1</v>
      </c>
      <c r="H504" s="339">
        <f t="shared" si="192"/>
        <v>0</v>
      </c>
      <c r="I504" s="337">
        <f t="shared" si="193"/>
        <v>124170.04248205182</v>
      </c>
      <c r="J504" s="340">
        <f t="shared" si="194"/>
        <v>1.5707882733225773</v>
      </c>
      <c r="K504" s="348">
        <f t="shared" si="210"/>
        <v>11.489471456877121</v>
      </c>
      <c r="L504" s="349">
        <f t="shared" si="211"/>
        <v>1.4836498573219281</v>
      </c>
      <c r="M504" s="337">
        <f t="shared" si="195"/>
        <v>1.0017589993872176</v>
      </c>
      <c r="N504" s="340">
        <f t="shared" si="196"/>
        <v>5.9269298164791533E-2</v>
      </c>
      <c r="O504" s="341">
        <f t="shared" si="197"/>
        <v>0.9961966561835498</v>
      </c>
      <c r="P504" s="342">
        <f t="shared" si="198"/>
        <v>1.4928596024153114E-2</v>
      </c>
      <c r="Q504" s="343">
        <f t="shared" si="199"/>
        <v>-0.82746737693811478</v>
      </c>
      <c r="R504" s="344">
        <f t="shared" si="200"/>
        <v>-91.203242824552973</v>
      </c>
      <c r="S504" s="346">
        <f t="shared" si="201"/>
        <v>88.796757175447027</v>
      </c>
      <c r="U504" s="319">
        <f t="shared" si="207"/>
        <v>65693</v>
      </c>
      <c r="V504" s="319">
        <f t="shared" si="208"/>
        <v>4315570249</v>
      </c>
      <c r="X504" s="345">
        <f t="shared" si="202"/>
        <v>17.017623764952578</v>
      </c>
      <c r="Y504" s="346">
        <f t="shared" si="203"/>
        <v>-8.3885441194227806</v>
      </c>
      <c r="AA504" s="345">
        <f t="shared" si="204"/>
        <v>18.165082821710776</v>
      </c>
      <c r="AB504" s="346">
        <f t="shared" si="205"/>
        <v>-82.814698705130212</v>
      </c>
      <c r="AD504">
        <f t="shared" si="209"/>
        <v>0</v>
      </c>
      <c r="AE504">
        <f t="shared" si="212"/>
        <v>0</v>
      </c>
    </row>
    <row r="505" spans="1:31" x14ac:dyDescent="0.2">
      <c r="A505" s="347">
        <v>66069</v>
      </c>
      <c r="B505" s="364">
        <f t="shared" si="206"/>
        <v>66.069000000000003</v>
      </c>
      <c r="C505" s="337">
        <f t="shared" si="187"/>
        <v>7.3924697408915137</v>
      </c>
      <c r="D505" s="338">
        <f t="shared" si="188"/>
        <v>1.4351075497941268</v>
      </c>
      <c r="E505" s="338">
        <f t="shared" si="189"/>
        <v>1.0000076134107512</v>
      </c>
      <c r="F505" s="339">
        <f t="shared" si="190"/>
        <v>3.9021436283624379E-3</v>
      </c>
      <c r="G505" s="338">
        <f t="shared" si="191"/>
        <v>1</v>
      </c>
      <c r="H505" s="339">
        <f t="shared" si="192"/>
        <v>0</v>
      </c>
      <c r="I505" s="337">
        <f t="shared" si="193"/>
        <v>124880.74127751302</v>
      </c>
      <c r="J505" s="340">
        <f t="shared" si="194"/>
        <v>1.5707883191550494</v>
      </c>
      <c r="K505" s="348">
        <f t="shared" si="210"/>
        <v>11.554735763182164</v>
      </c>
      <c r="L505" s="349">
        <f t="shared" si="211"/>
        <v>1.4841433236583554</v>
      </c>
      <c r="M505" s="337">
        <f t="shared" si="195"/>
        <v>1.0017791746727116</v>
      </c>
      <c r="N505" s="340">
        <f t="shared" si="196"/>
        <v>5.9607730807381534E-2</v>
      </c>
      <c r="O505" s="341">
        <f t="shared" si="197"/>
        <v>0.9961529989963045</v>
      </c>
      <c r="P505" s="342">
        <f t="shared" si="198"/>
        <v>1.50147056875826E-2</v>
      </c>
      <c r="Q505" s="343">
        <f t="shared" si="199"/>
        <v>-0.87629485513692429</v>
      </c>
      <c r="R505" s="344">
        <f t="shared" si="200"/>
        <v>-91.241972719899252</v>
      </c>
      <c r="S505" s="346">
        <f t="shared" si="201"/>
        <v>88.758027280100748</v>
      </c>
      <c r="U505" s="319">
        <f t="shared" si="207"/>
        <v>66069</v>
      </c>
      <c r="V505" s="319">
        <f t="shared" si="208"/>
        <v>4365112761</v>
      </c>
      <c r="X505" s="345">
        <f t="shared" si="202"/>
        <v>17.017075424556801</v>
      </c>
      <c r="Y505" s="346">
        <f t="shared" si="203"/>
        <v>-8.3796639690806387</v>
      </c>
      <c r="AA505" s="345">
        <f t="shared" si="204"/>
        <v>18.11680368390774</v>
      </c>
      <c r="AB505" s="346">
        <f t="shared" si="205"/>
        <v>-82.862308750818613</v>
      </c>
      <c r="AD505">
        <f t="shared" si="209"/>
        <v>0</v>
      </c>
      <c r="AE505">
        <f t="shared" si="212"/>
        <v>0</v>
      </c>
    </row>
    <row r="506" spans="1:31" x14ac:dyDescent="0.2">
      <c r="A506" s="347">
        <v>66453.75</v>
      </c>
      <c r="B506" s="364">
        <f t="shared" si="206"/>
        <v>66.453749999999999</v>
      </c>
      <c r="C506" s="337">
        <f t="shared" si="187"/>
        <v>7.4347339563764052</v>
      </c>
      <c r="D506" s="338">
        <f t="shared" si="188"/>
        <v>1.4358836274560183</v>
      </c>
      <c r="E506" s="338">
        <f t="shared" si="189"/>
        <v>1.0000077023413445</v>
      </c>
      <c r="F506" s="339">
        <f t="shared" si="190"/>
        <v>3.9248673624472279E-3</v>
      </c>
      <c r="G506" s="338">
        <f t="shared" si="191"/>
        <v>1</v>
      </c>
      <c r="H506" s="339">
        <f t="shared" si="192"/>
        <v>0</v>
      </c>
      <c r="I506" s="337">
        <f t="shared" si="193"/>
        <v>125607.97894121992</v>
      </c>
      <c r="J506" s="340">
        <f t="shared" si="194"/>
        <v>1.5707883655172099</v>
      </c>
      <c r="K506" s="348">
        <f t="shared" si="210"/>
        <v>11.621521732777355</v>
      </c>
      <c r="L506" s="349">
        <f t="shared" si="211"/>
        <v>1.4846425360613611</v>
      </c>
      <c r="M506" s="337">
        <f t="shared" si="195"/>
        <v>1.0017999382347447</v>
      </c>
      <c r="N506" s="340">
        <f t="shared" si="196"/>
        <v>5.99540250579228E-2</v>
      </c>
      <c r="O506" s="341">
        <f t="shared" si="197"/>
        <v>0.99610806804149432</v>
      </c>
      <c r="P506" s="342">
        <f t="shared" si="198"/>
        <v>1.5102831070747934E-2</v>
      </c>
      <c r="Q506" s="343">
        <f t="shared" si="199"/>
        <v>-0.92597545570696227</v>
      </c>
      <c r="R506" s="344">
        <f t="shared" si="200"/>
        <v>-91.281427024619575</v>
      </c>
      <c r="S506" s="346">
        <f t="shared" si="201"/>
        <v>88.718572975380425</v>
      </c>
      <c r="U506" s="319">
        <f t="shared" si="207"/>
        <v>66453.75</v>
      </c>
      <c r="V506" s="319">
        <f t="shared" si="208"/>
        <v>4416100889.0625</v>
      </c>
      <c r="X506" s="345">
        <f t="shared" si="202"/>
        <v>17.016519807487526</v>
      </c>
      <c r="Y506" s="346">
        <f t="shared" si="203"/>
        <v>-8.3709050606796218</v>
      </c>
      <c r="AA506" s="345">
        <f t="shared" si="204"/>
        <v>18.067678700406979</v>
      </c>
      <c r="AB506" s="346">
        <f t="shared" si="205"/>
        <v>-82.910521963939971</v>
      </c>
      <c r="AD506">
        <f t="shared" si="209"/>
        <v>0</v>
      </c>
      <c r="AE506">
        <f t="shared" si="212"/>
        <v>0</v>
      </c>
    </row>
    <row r="507" spans="1:31" x14ac:dyDescent="0.2">
      <c r="A507" s="347">
        <v>66838.5</v>
      </c>
      <c r="B507" s="364">
        <f t="shared" si="206"/>
        <v>66.838499999999996</v>
      </c>
      <c r="C507" s="337">
        <f t="shared" si="187"/>
        <v>7.4770025991508779</v>
      </c>
      <c r="D507" s="338">
        <f t="shared" si="188"/>
        <v>1.4366509310035411</v>
      </c>
      <c r="E507" s="338">
        <f t="shared" si="189"/>
        <v>1.0000077917883097</v>
      </c>
      <c r="F507" s="339">
        <f t="shared" si="190"/>
        <v>3.9475910924786457E-3</v>
      </c>
      <c r="G507" s="338">
        <f t="shared" si="191"/>
        <v>1</v>
      </c>
      <c r="H507" s="339">
        <f t="shared" si="192"/>
        <v>0</v>
      </c>
      <c r="I507" s="337">
        <f t="shared" si="193"/>
        <v>126335.21660492709</v>
      </c>
      <c r="J507" s="340">
        <f t="shared" si="194"/>
        <v>1.5707884113456112</v>
      </c>
      <c r="K507" s="348">
        <f t="shared" si="210"/>
        <v>11.68831056550904</v>
      </c>
      <c r="L507" s="349">
        <f t="shared" si="211"/>
        <v>1.4851360434308531</v>
      </c>
      <c r="M507" s="337">
        <f t="shared" si="195"/>
        <v>1.0018208219273455</v>
      </c>
      <c r="N507" s="340">
        <f t="shared" si="196"/>
        <v>6.0300304912471195E-2</v>
      </c>
      <c r="O507" s="341">
        <f t="shared" si="197"/>
        <v>0.99606287631442847</v>
      </c>
      <c r="P507" s="342">
        <f t="shared" si="198"/>
        <v>1.5190968498989125E-2</v>
      </c>
      <c r="Q507" s="343">
        <f t="shared" si="199"/>
        <v>-0.97537280932725356</v>
      </c>
      <c r="R507" s="344">
        <f t="shared" si="200"/>
        <v>-91.320705318912204</v>
      </c>
      <c r="S507" s="346">
        <f t="shared" si="201"/>
        <v>88.679294681087796</v>
      </c>
      <c r="U507" s="319">
        <f t="shared" si="207"/>
        <v>66838.5</v>
      </c>
      <c r="V507" s="319">
        <f t="shared" si="208"/>
        <v>4467385082.25</v>
      </c>
      <c r="X507" s="345">
        <f t="shared" si="202"/>
        <v>17.01596958840809</v>
      </c>
      <c r="Y507" s="346">
        <f t="shared" si="203"/>
        <v>-8.3624721712094914</v>
      </c>
      <c r="AA507" s="345">
        <f t="shared" si="204"/>
        <v>18.018831565866122</v>
      </c>
      <c r="AB507" s="346">
        <f t="shared" si="205"/>
        <v>-82.958233147702728</v>
      </c>
      <c r="AD507">
        <f t="shared" si="209"/>
        <v>0</v>
      </c>
      <c r="AE507">
        <f t="shared" si="212"/>
        <v>0</v>
      </c>
    </row>
    <row r="508" spans="1:31" x14ac:dyDescent="0.2">
      <c r="A508" s="347">
        <v>67223.25</v>
      </c>
      <c r="B508" s="364">
        <f t="shared" si="206"/>
        <v>67.223249999999993</v>
      </c>
      <c r="C508" s="337">
        <f t="shared" si="187"/>
        <v>7.5192755945526129</v>
      </c>
      <c r="D508" s="338">
        <f t="shared" si="188"/>
        <v>1.4374096075083937</v>
      </c>
      <c r="E508" s="338">
        <f t="shared" si="189"/>
        <v>1.0000078817516467</v>
      </c>
      <c r="F508" s="339">
        <f t="shared" si="190"/>
        <v>3.9703148184332239E-3</v>
      </c>
      <c r="G508" s="338">
        <f t="shared" si="191"/>
        <v>1</v>
      </c>
      <c r="H508" s="339">
        <f t="shared" si="192"/>
        <v>0</v>
      </c>
      <c r="I508" s="337">
        <f t="shared" si="193"/>
        <v>127062.45426863451</v>
      </c>
      <c r="J508" s="340">
        <f t="shared" si="194"/>
        <v>1.5707884566494177</v>
      </c>
      <c r="K508" s="348">
        <f t="shared" si="210"/>
        <v>11.755102212574865</v>
      </c>
      <c r="L508" s="349">
        <f t="shared" si="211"/>
        <v>1.4856239427711446</v>
      </c>
      <c r="M508" s="337">
        <f t="shared" si="195"/>
        <v>1.0018418257430017</v>
      </c>
      <c r="N508" s="340">
        <f t="shared" si="196"/>
        <v>6.0646570288884954E-2</v>
      </c>
      <c r="O508" s="341">
        <f t="shared" si="197"/>
        <v>0.99601742381723546</v>
      </c>
      <c r="P508" s="342">
        <f t="shared" si="198"/>
        <v>1.5279118043857239E-2</v>
      </c>
      <c r="Q508" s="343">
        <f t="shared" si="199"/>
        <v>-1.0244900530082546</v>
      </c>
      <c r="R508" s="344">
        <f t="shared" si="200"/>
        <v>-91.359810471346648</v>
      </c>
      <c r="S508" s="346">
        <f t="shared" si="201"/>
        <v>88.640189528653352</v>
      </c>
      <c r="U508" s="319">
        <f t="shared" si="207"/>
        <v>67223.25</v>
      </c>
      <c r="V508" s="319">
        <f t="shared" si="208"/>
        <v>4518965340.5625</v>
      </c>
      <c r="X508" s="345">
        <f t="shared" si="202"/>
        <v>17.015424621420891</v>
      </c>
      <c r="Y508" s="346">
        <f t="shared" si="203"/>
        <v>-8.3543597385512225</v>
      </c>
      <c r="AA508" s="345">
        <f t="shared" si="204"/>
        <v>17.970259289172322</v>
      </c>
      <c r="AB508" s="346">
        <f t="shared" si="205"/>
        <v>-83.00545073279541</v>
      </c>
      <c r="AD508">
        <f t="shared" si="209"/>
        <v>0</v>
      </c>
      <c r="AE508">
        <f t="shared" si="212"/>
        <v>0</v>
      </c>
    </row>
    <row r="509" spans="1:31" x14ac:dyDescent="0.2">
      <c r="A509" s="347">
        <v>67608</v>
      </c>
      <c r="B509" s="364">
        <f t="shared" si="206"/>
        <v>67.608000000000004</v>
      </c>
      <c r="C509" s="337">
        <f t="shared" si="187"/>
        <v>7.5615528695812904</v>
      </c>
      <c r="D509" s="338">
        <f t="shared" si="188"/>
        <v>1.4381598007933494</v>
      </c>
      <c r="E509" s="338">
        <f t="shared" si="189"/>
        <v>1.0000079722313555</v>
      </c>
      <c r="F509" s="339">
        <f t="shared" si="190"/>
        <v>3.993038540287497E-3</v>
      </c>
      <c r="G509" s="338">
        <f t="shared" si="191"/>
        <v>1</v>
      </c>
      <c r="H509" s="339">
        <f t="shared" si="192"/>
        <v>0</v>
      </c>
      <c r="I509" s="337">
        <f t="shared" si="193"/>
        <v>127789.69193234219</v>
      </c>
      <c r="J509" s="340">
        <f t="shared" si="194"/>
        <v>1.5707885014375857</v>
      </c>
      <c r="K509" s="348">
        <f t="shared" si="210"/>
        <v>11.821896626273348</v>
      </c>
      <c r="L509" s="349">
        <f t="shared" si="211"/>
        <v>1.4861063289050478</v>
      </c>
      <c r="M509" s="337">
        <f t="shared" si="195"/>
        <v>1.0018629496741582</v>
      </c>
      <c r="N509" s="340">
        <f t="shared" si="196"/>
        <v>6.0992821105043039E-2</v>
      </c>
      <c r="O509" s="341">
        <f t="shared" si="197"/>
        <v>0.99597171055205691</v>
      </c>
      <c r="P509" s="342">
        <f t="shared" si="198"/>
        <v>1.5367279776935087E-2</v>
      </c>
      <c r="Q509" s="343">
        <f t="shared" si="199"/>
        <v>-1.0733302722028153</v>
      </c>
      <c r="R509" s="344">
        <f t="shared" si="200"/>
        <v>-91.398745289324523</v>
      </c>
      <c r="S509" s="346">
        <f t="shared" si="201"/>
        <v>88.601254710675477</v>
      </c>
      <c r="U509" s="319">
        <f t="shared" si="207"/>
        <v>67608</v>
      </c>
      <c r="V509" s="319">
        <f t="shared" si="208"/>
        <v>4570841664</v>
      </c>
      <c r="X509" s="345">
        <f t="shared" si="202"/>
        <v>17.01488476474249</v>
      </c>
      <c r="Y509" s="346">
        <f t="shared" si="203"/>
        <v>-8.3465623255658468</v>
      </c>
      <c r="AA509" s="345">
        <f t="shared" si="204"/>
        <v>17.92195892665616</v>
      </c>
      <c r="AB509" s="346">
        <f t="shared" si="205"/>
        <v>-83.052182963758654</v>
      </c>
      <c r="AD509">
        <f t="shared" si="209"/>
        <v>0</v>
      </c>
      <c r="AE509">
        <f t="shared" si="212"/>
        <v>0</v>
      </c>
    </row>
    <row r="510" spans="1:31" x14ac:dyDescent="0.2">
      <c r="A510" s="347">
        <v>68001.75</v>
      </c>
      <c r="B510" s="364">
        <f t="shared" si="206"/>
        <v>68.001750000000001</v>
      </c>
      <c r="C510" s="337">
        <f t="shared" si="187"/>
        <v>7.604823443201072</v>
      </c>
      <c r="D510" s="338">
        <f t="shared" si="188"/>
        <v>1.4389189060148324</v>
      </c>
      <c r="E510" s="338">
        <f t="shared" si="189"/>
        <v>1.0000080653621797</v>
      </c>
      <c r="F510" s="339">
        <f t="shared" si="190"/>
        <v>4.0162938069212093E-3</v>
      </c>
      <c r="G510" s="338">
        <f t="shared" si="191"/>
        <v>1</v>
      </c>
      <c r="H510" s="339">
        <f t="shared" si="192"/>
        <v>0</v>
      </c>
      <c r="I510" s="337">
        <f t="shared" si="193"/>
        <v>128533.94100338835</v>
      </c>
      <c r="J510" s="340">
        <f t="shared" si="194"/>
        <v>1.5707885467486908</v>
      </c>
      <c r="K510" s="348">
        <f t="shared" si="210"/>
        <v>11.890256298211478</v>
      </c>
      <c r="L510" s="349">
        <f t="shared" si="211"/>
        <v>1.486594387480495</v>
      </c>
      <c r="M510" s="337">
        <f t="shared" si="195"/>
        <v>1.001884692087373</v>
      </c>
      <c r="N510" s="340">
        <f t="shared" si="196"/>
        <v>6.134715619470589E-2</v>
      </c>
      <c r="O510" s="341">
        <f t="shared" si="197"/>
        <v>0.99592465798389906</v>
      </c>
      <c r="P510" s="342">
        <f t="shared" si="198"/>
        <v>1.5457516466701236E-2</v>
      </c>
      <c r="Q510" s="343">
        <f t="shared" si="199"/>
        <v>-1.1230292987592962</v>
      </c>
      <c r="R510" s="344">
        <f t="shared" si="200"/>
        <v>-91.438417372396287</v>
      </c>
      <c r="S510" s="346">
        <f t="shared" si="201"/>
        <v>88.561582627603713</v>
      </c>
      <c r="U510" s="319">
        <f t="shared" si="207"/>
        <v>68001.75</v>
      </c>
      <c r="V510" s="319">
        <f t="shared" si="208"/>
        <v>4624238003.0625</v>
      </c>
      <c r="X510" s="345">
        <f t="shared" si="202"/>
        <v>17.014337427084357</v>
      </c>
      <c r="Y510" s="346">
        <f t="shared" si="203"/>
        <v>-8.3389031303349608</v>
      </c>
      <c r="AA510" s="345">
        <f t="shared" si="204"/>
        <v>17.872807237757815</v>
      </c>
      <c r="AB510" s="346">
        <f t="shared" si="205"/>
        <v>-83.099514242061332</v>
      </c>
      <c r="AD510">
        <f t="shared" si="209"/>
        <v>0</v>
      </c>
      <c r="AE510">
        <f t="shared" si="212"/>
        <v>0</v>
      </c>
    </row>
    <row r="511" spans="1:31" x14ac:dyDescent="0.2">
      <c r="A511" s="347">
        <v>68395.5</v>
      </c>
      <c r="B511" s="364">
        <f t="shared" si="206"/>
        <v>68.395499999999998</v>
      </c>
      <c r="C511" s="337">
        <f t="shared" si="187"/>
        <v>7.6480983494420922</v>
      </c>
      <c r="D511" s="338">
        <f t="shared" si="188"/>
        <v>1.4396694212398142</v>
      </c>
      <c r="E511" s="338">
        <f t="shared" si="189"/>
        <v>1.0000081590338159</v>
      </c>
      <c r="F511" s="339">
        <f t="shared" si="190"/>
        <v>4.0395490692108158E-3</v>
      </c>
      <c r="G511" s="338">
        <f t="shared" si="191"/>
        <v>1</v>
      </c>
      <c r="H511" s="339">
        <f t="shared" si="192"/>
        <v>0</v>
      </c>
      <c r="I511" s="337">
        <f t="shared" si="193"/>
        <v>129278.19007443474</v>
      </c>
      <c r="J511" s="340">
        <f t="shared" si="194"/>
        <v>1.5707885915380877</v>
      </c>
      <c r="K511" s="348">
        <f t="shared" si="210"/>
        <v>11.958618770041676</v>
      </c>
      <c r="L511" s="349">
        <f t="shared" si="211"/>
        <v>1.4870768661122034</v>
      </c>
      <c r="M511" s="337">
        <f t="shared" si="195"/>
        <v>1.0019065602851041</v>
      </c>
      <c r="N511" s="340">
        <f t="shared" si="196"/>
        <v>6.1701475861003927E-2</v>
      </c>
      <c r="O511" s="341">
        <f t="shared" si="197"/>
        <v>0.99587733230997644</v>
      </c>
      <c r="P511" s="342">
        <f t="shared" si="198"/>
        <v>1.5547766073352988E-2</v>
      </c>
      <c r="Q511" s="343">
        <f t="shared" si="199"/>
        <v>-1.1724445669898231</v>
      </c>
      <c r="R511" s="344">
        <f t="shared" si="200"/>
        <v>-91.477916818895025</v>
      </c>
      <c r="S511" s="346">
        <f t="shared" si="201"/>
        <v>88.522083181104975</v>
      </c>
      <c r="U511" s="319">
        <f t="shared" si="207"/>
        <v>68395.5</v>
      </c>
      <c r="V511" s="319">
        <f t="shared" si="208"/>
        <v>4677944420.25</v>
      </c>
      <c r="X511" s="345">
        <f t="shared" si="202"/>
        <v>17.013795153755908</v>
      </c>
      <c r="Y511" s="346">
        <f t="shared" si="203"/>
        <v>-8.3315627287452081</v>
      </c>
      <c r="AA511" s="345">
        <f t="shared" si="204"/>
        <v>17.823934242855735</v>
      </c>
      <c r="AB511" s="346">
        <f t="shared" si="205"/>
        <v>-83.146354090149813</v>
      </c>
      <c r="AD511">
        <f t="shared" si="209"/>
        <v>0</v>
      </c>
      <c r="AE511">
        <f t="shared" si="212"/>
        <v>0</v>
      </c>
    </row>
    <row r="512" spans="1:31" x14ac:dyDescent="0.2">
      <c r="A512" s="347">
        <v>68789.25</v>
      </c>
      <c r="B512" s="364">
        <f t="shared" si="206"/>
        <v>68.789249999999996</v>
      </c>
      <c r="C512" s="337">
        <f t="shared" si="187"/>
        <v>7.6913775151729347</v>
      </c>
      <c r="D512" s="338">
        <f t="shared" si="188"/>
        <v>1.4404114906225964</v>
      </c>
      <c r="E512" s="338">
        <f t="shared" si="189"/>
        <v>1.0000082532462633</v>
      </c>
      <c r="F512" s="339">
        <f t="shared" si="190"/>
        <v>4.0628043271311639E-3</v>
      </c>
      <c r="G512" s="338">
        <f t="shared" si="191"/>
        <v>1</v>
      </c>
      <c r="H512" s="339">
        <f t="shared" si="192"/>
        <v>0</v>
      </c>
      <c r="I512" s="337">
        <f t="shared" si="193"/>
        <v>130022.43914548139</v>
      </c>
      <c r="J512" s="340">
        <f t="shared" si="194"/>
        <v>1.5707886358147352</v>
      </c>
      <c r="K512" s="348">
        <f t="shared" si="210"/>
        <v>12.026983994019421</v>
      </c>
      <c r="L512" s="349">
        <f t="shared" si="211"/>
        <v>1.4875538597281628</v>
      </c>
      <c r="M512" s="337">
        <f t="shared" si="195"/>
        <v>1.0019285542591152</v>
      </c>
      <c r="N512" s="340">
        <f t="shared" si="196"/>
        <v>6.2055780015985669E-2</v>
      </c>
      <c r="O512" s="341">
        <f t="shared" si="197"/>
        <v>0.99582973353262605</v>
      </c>
      <c r="P512" s="342">
        <f t="shared" si="198"/>
        <v>1.5638028673719457E-2</v>
      </c>
      <c r="Q512" s="343">
        <f t="shared" si="199"/>
        <v>-1.2215792234304874</v>
      </c>
      <c r="R512" s="344">
        <f t="shared" si="200"/>
        <v>-91.51724644915808</v>
      </c>
      <c r="S512" s="346">
        <f t="shared" si="201"/>
        <v>88.48275355084192</v>
      </c>
      <c r="U512" s="319">
        <f t="shared" si="207"/>
        <v>68789.25</v>
      </c>
      <c r="V512" s="319">
        <f t="shared" si="208"/>
        <v>4731960915.5625</v>
      </c>
      <c r="X512" s="345">
        <f t="shared" si="202"/>
        <v>17.01325780528968</v>
      </c>
      <c r="Y512" s="346">
        <f t="shared" si="203"/>
        <v>-8.3245356772974564</v>
      </c>
      <c r="AA512" s="345">
        <f t="shared" si="204"/>
        <v>17.775336934881299</v>
      </c>
      <c r="AB512" s="346">
        <f t="shared" si="205"/>
        <v>-83.192710771860646</v>
      </c>
      <c r="AD512">
        <f t="shared" si="209"/>
        <v>0</v>
      </c>
      <c r="AE512">
        <f t="shared" si="212"/>
        <v>0</v>
      </c>
    </row>
    <row r="513" spans="1:31" x14ac:dyDescent="0.2">
      <c r="A513" s="347">
        <v>69183</v>
      </c>
      <c r="B513" s="364">
        <f t="shared" si="206"/>
        <v>69.183000000000007</v>
      </c>
      <c r="C513" s="337">
        <f t="shared" si="187"/>
        <v>7.7346608688918881</v>
      </c>
      <c r="D513" s="338">
        <f t="shared" si="188"/>
        <v>1.4411452551284016</v>
      </c>
      <c r="E513" s="338">
        <f t="shared" si="189"/>
        <v>1.0000083479995221</v>
      </c>
      <c r="F513" s="339">
        <f t="shared" si="190"/>
        <v>4.0860595806571035E-3</v>
      </c>
      <c r="G513" s="338">
        <f t="shared" si="191"/>
        <v>1</v>
      </c>
      <c r="H513" s="339">
        <f t="shared" si="192"/>
        <v>0</v>
      </c>
      <c r="I513" s="337">
        <f t="shared" si="193"/>
        <v>130766.6882165283</v>
      </c>
      <c r="J513" s="340">
        <f t="shared" si="194"/>
        <v>1.570788679587388</v>
      </c>
      <c r="K513" s="348">
        <f t="shared" si="210"/>
        <v>12.095351923477732</v>
      </c>
      <c r="L513" s="349">
        <f t="shared" si="211"/>
        <v>1.4880254611201875</v>
      </c>
      <c r="M513" s="337">
        <f t="shared" si="195"/>
        <v>1.0019506740011241</v>
      </c>
      <c r="N513" s="340">
        <f t="shared" si="196"/>
        <v>6.2410068571722932E-2</v>
      </c>
      <c r="O513" s="341">
        <f t="shared" si="197"/>
        <v>0.9957818616541988</v>
      </c>
      <c r="P513" s="342">
        <f t="shared" si="198"/>
        <v>1.5728304344665434E-2</v>
      </c>
      <c r="Q513" s="343">
        <f t="shared" si="199"/>
        <v>-1.2704363628062323</v>
      </c>
      <c r="R513" s="344">
        <f t="shared" si="200"/>
        <v>-91.556409023187641</v>
      </c>
      <c r="S513" s="346">
        <f t="shared" si="201"/>
        <v>88.443590976812359</v>
      </c>
      <c r="U513" s="319">
        <f t="shared" si="207"/>
        <v>69183</v>
      </c>
      <c r="V513" s="319">
        <f t="shared" si="208"/>
        <v>4786287489</v>
      </c>
      <c r="X513" s="345">
        <f t="shared" si="202"/>
        <v>17.012725246153309</v>
      </c>
      <c r="Y513" s="346">
        <f t="shared" si="203"/>
        <v>-8.3178166548760508</v>
      </c>
      <c r="AA513" s="345">
        <f t="shared" si="204"/>
        <v>17.727012354641925</v>
      </c>
      <c r="AB513" s="346">
        <f t="shared" si="205"/>
        <v>-83.238592368311586</v>
      </c>
      <c r="AD513">
        <f t="shared" si="209"/>
        <v>0</v>
      </c>
      <c r="AE513">
        <f t="shared" si="212"/>
        <v>0</v>
      </c>
    </row>
    <row r="514" spans="1:31" x14ac:dyDescent="0.2">
      <c r="A514" s="347">
        <v>69586</v>
      </c>
      <c r="B514" s="364">
        <f t="shared" si="206"/>
        <v>69.585999999999999</v>
      </c>
      <c r="C514" s="337">
        <f t="shared" si="187"/>
        <v>7.7789653016675802</v>
      </c>
      <c r="D514" s="338">
        <f t="shared" si="188"/>
        <v>1.4418878013186356</v>
      </c>
      <c r="E514" s="338">
        <f t="shared" si="189"/>
        <v>1.0000084455387483</v>
      </c>
      <c r="F514" s="339">
        <f t="shared" si="190"/>
        <v>4.1098611434986759E-3</v>
      </c>
      <c r="G514" s="338">
        <f t="shared" si="191"/>
        <v>1</v>
      </c>
      <c r="H514" s="339">
        <f t="shared" si="192"/>
        <v>0</v>
      </c>
      <c r="I514" s="337">
        <f t="shared" si="193"/>
        <v>131528.42123400641</v>
      </c>
      <c r="J514" s="340">
        <f t="shared" si="194"/>
        <v>1.5707887238753859</v>
      </c>
      <c r="K514" s="348">
        <f t="shared" si="210"/>
        <v>12.165328710635396</v>
      </c>
      <c r="L514" s="349">
        <f t="shared" si="211"/>
        <v>1.4885026523385656</v>
      </c>
      <c r="M514" s="337">
        <f t="shared" si="195"/>
        <v>1.00197344360735</v>
      </c>
      <c r="N514" s="340">
        <f t="shared" si="196"/>
        <v>6.2772663851730193E-2</v>
      </c>
      <c r="O514" s="341">
        <f t="shared" si="197"/>
        <v>0.99573258236903439</v>
      </c>
      <c r="P514" s="342">
        <f t="shared" si="198"/>
        <v>1.5820714392429099E-2</v>
      </c>
      <c r="Q514" s="343">
        <f t="shared" si="199"/>
        <v>-1.3201570609052693</v>
      </c>
      <c r="R514" s="344">
        <f t="shared" si="200"/>
        <v>-91.596321436549374</v>
      </c>
      <c r="S514" s="346">
        <f t="shared" si="201"/>
        <v>88.403678563450626</v>
      </c>
      <c r="U514" s="319">
        <f t="shared" si="207"/>
        <v>69586</v>
      </c>
      <c r="V514" s="319">
        <f t="shared" si="208"/>
        <v>4842211396</v>
      </c>
      <c r="X514" s="345">
        <f t="shared" si="202"/>
        <v>17.012184998069031</v>
      </c>
      <c r="Y514" s="346">
        <f t="shared" si="203"/>
        <v>-8.3112533287659272</v>
      </c>
      <c r="AA514" s="345">
        <f t="shared" si="204"/>
        <v>17.677831904627165</v>
      </c>
      <c r="AB514" s="346">
        <f t="shared" si="205"/>
        <v>-83.285068107783445</v>
      </c>
      <c r="AD514">
        <f t="shared" si="209"/>
        <v>0</v>
      </c>
      <c r="AE514">
        <f t="shared" si="212"/>
        <v>0</v>
      </c>
    </row>
    <row r="515" spans="1:31" x14ac:dyDescent="0.2">
      <c r="A515" s="347">
        <v>69989</v>
      </c>
      <c r="B515" s="364">
        <f t="shared" si="206"/>
        <v>69.989000000000004</v>
      </c>
      <c r="C515" s="337">
        <f t="shared" si="187"/>
        <v>7.8232739749876963</v>
      </c>
      <c r="D515" s="338">
        <f t="shared" si="188"/>
        <v>1.4426219367927891</v>
      </c>
      <c r="E515" s="338">
        <f t="shared" si="189"/>
        <v>1.0000085436444934</v>
      </c>
      <c r="F515" s="339">
        <f t="shared" si="190"/>
        <v>4.1336627016836328E-3</v>
      </c>
      <c r="G515" s="338">
        <f t="shared" si="191"/>
        <v>1</v>
      </c>
      <c r="H515" s="339">
        <f t="shared" si="192"/>
        <v>0</v>
      </c>
      <c r="I515" s="337">
        <f t="shared" si="193"/>
        <v>132290.15425148478</v>
      </c>
      <c r="J515" s="340">
        <f t="shared" si="194"/>
        <v>1.5707887676533592</v>
      </c>
      <c r="K515" s="348">
        <f t="shared" si="210"/>
        <v>12.235308236290685</v>
      </c>
      <c r="L515" s="349">
        <f t="shared" si="211"/>
        <v>1.4889743850979393</v>
      </c>
      <c r="M515" s="337">
        <f t="shared" si="195"/>
        <v>1.0019963449423748</v>
      </c>
      <c r="N515" s="340">
        <f t="shared" si="196"/>
        <v>6.3135242604662717E-2</v>
      </c>
      <c r="O515" s="341">
        <f t="shared" si="197"/>
        <v>0.99568301700568751</v>
      </c>
      <c r="P515" s="342">
        <f t="shared" si="198"/>
        <v>1.5913138295139621E-2</v>
      </c>
      <c r="Q515" s="343">
        <f t="shared" si="199"/>
        <v>-1.36959344827287</v>
      </c>
      <c r="R515" s="344">
        <f t="shared" si="200"/>
        <v>-91.636064515983264</v>
      </c>
      <c r="S515" s="346">
        <f t="shared" si="201"/>
        <v>88.363935484016736</v>
      </c>
      <c r="U515" s="319">
        <f t="shared" si="207"/>
        <v>69989</v>
      </c>
      <c r="V515" s="319">
        <f t="shared" si="208"/>
        <v>4898460121</v>
      </c>
      <c r="X515" s="345">
        <f t="shared" si="202"/>
        <v>17.011649491757026</v>
      </c>
      <c r="Y515" s="346">
        <f t="shared" si="203"/>
        <v>-8.3050017731658698</v>
      </c>
      <c r="AA515" s="345">
        <f t="shared" si="204"/>
        <v>17.628931023571567</v>
      </c>
      <c r="AB515" s="346">
        <f t="shared" si="205"/>
        <v>-83.331062742817423</v>
      </c>
      <c r="AD515">
        <f t="shared" si="209"/>
        <v>0</v>
      </c>
      <c r="AE515">
        <f t="shared" si="212"/>
        <v>0</v>
      </c>
    </row>
    <row r="516" spans="1:31" x14ac:dyDescent="0.2">
      <c r="A516" s="347">
        <v>70392</v>
      </c>
      <c r="B516" s="364">
        <f t="shared" si="206"/>
        <v>70.391999999999996</v>
      </c>
      <c r="C516" s="337">
        <f t="shared" si="187"/>
        <v>7.8675868172065471</v>
      </c>
      <c r="D516" s="338">
        <f t="shared" si="188"/>
        <v>1.4433478028685442</v>
      </c>
      <c r="E516" s="338">
        <f t="shared" si="189"/>
        <v>1.0000086423167573</v>
      </c>
      <c r="F516" s="339">
        <f t="shared" si="190"/>
        <v>4.1574642551850064E-3</v>
      </c>
      <c r="G516" s="338">
        <f t="shared" si="191"/>
        <v>1</v>
      </c>
      <c r="H516" s="339">
        <f t="shared" si="192"/>
        <v>0</v>
      </c>
      <c r="I516" s="337">
        <f t="shared" si="193"/>
        <v>133051.88726896342</v>
      </c>
      <c r="J516" s="340">
        <f t="shared" si="194"/>
        <v>1.5707888109300672</v>
      </c>
      <c r="K516" s="348">
        <f t="shared" si="210"/>
        <v>12.305290453722533</v>
      </c>
      <c r="L516" s="349">
        <f t="shared" si="211"/>
        <v>1.4894407523160171</v>
      </c>
      <c r="M516" s="337">
        <f t="shared" si="195"/>
        <v>1.0020193779971667</v>
      </c>
      <c r="N516" s="340">
        <f t="shared" si="196"/>
        <v>6.3497804736325381E-2</v>
      </c>
      <c r="O516" s="341">
        <f t="shared" si="197"/>
        <v>0.99563316556672443</v>
      </c>
      <c r="P516" s="342">
        <f t="shared" si="198"/>
        <v>1.6005576135324686E-2</v>
      </c>
      <c r="Q516" s="343">
        <f t="shared" si="199"/>
        <v>-1.4187486815292809</v>
      </c>
      <c r="R516" s="344">
        <f t="shared" si="200"/>
        <v>-91.675641034438598</v>
      </c>
      <c r="S516" s="346">
        <f t="shared" si="201"/>
        <v>88.324358965561402</v>
      </c>
      <c r="U516" s="319">
        <f t="shared" si="207"/>
        <v>70392</v>
      </c>
      <c r="V516" s="319">
        <f t="shared" si="208"/>
        <v>4955033664</v>
      </c>
      <c r="X516" s="345">
        <f t="shared" si="202"/>
        <v>17.011118593866875</v>
      </c>
      <c r="Y516" s="346">
        <f t="shared" si="203"/>
        <v>-8.29905665938821</v>
      </c>
      <c r="AA516" s="345">
        <f t="shared" si="204"/>
        <v>17.580306688205308</v>
      </c>
      <c r="AB516" s="346">
        <f t="shared" si="205"/>
        <v>-83.376584375050371</v>
      </c>
      <c r="AD516">
        <f t="shared" si="209"/>
        <v>0</v>
      </c>
      <c r="AE516">
        <f t="shared" si="212"/>
        <v>0</v>
      </c>
    </row>
    <row r="517" spans="1:31" x14ac:dyDescent="0.2">
      <c r="A517" s="347">
        <v>70795</v>
      </c>
      <c r="B517" s="364">
        <f t="shared" si="206"/>
        <v>70.795000000000002</v>
      </c>
      <c r="C517" s="337">
        <f t="shared" si="187"/>
        <v>7.9119037582768614</v>
      </c>
      <c r="D517" s="338">
        <f t="shared" si="188"/>
        <v>1.4440655377326386</v>
      </c>
      <c r="E517" s="338">
        <f t="shared" si="189"/>
        <v>1.0000087415555403</v>
      </c>
      <c r="F517" s="339">
        <f t="shared" si="190"/>
        <v>4.1812658039758312E-3</v>
      </c>
      <c r="G517" s="338">
        <f t="shared" si="191"/>
        <v>1</v>
      </c>
      <c r="H517" s="339">
        <f t="shared" si="192"/>
        <v>0</v>
      </c>
      <c r="I517" s="337">
        <f t="shared" si="193"/>
        <v>133813.62028644225</v>
      </c>
      <c r="J517" s="340">
        <f t="shared" si="194"/>
        <v>1.5707888537140706</v>
      </c>
      <c r="K517" s="348">
        <f t="shared" si="210"/>
        <v>12.375275317264926</v>
      </c>
      <c r="L517" s="349">
        <f t="shared" si="211"/>
        <v>1.4899018448180861</v>
      </c>
      <c r="M517" s="337">
        <f t="shared" si="195"/>
        <v>1.002042542762642</v>
      </c>
      <c r="N517" s="340">
        <f t="shared" si="196"/>
        <v>6.3860350152549122E-2</v>
      </c>
      <c r="O517" s="341">
        <f t="shared" si="197"/>
        <v>0.99558302805472698</v>
      </c>
      <c r="P517" s="342">
        <f t="shared" si="198"/>
        <v>1.6098027995552128E-2</v>
      </c>
      <c r="Q517" s="343">
        <f t="shared" si="199"/>
        <v>-1.4676258652188015</v>
      </c>
      <c r="R517" s="344">
        <f t="shared" si="200"/>
        <v>-91.715053705353782</v>
      </c>
      <c r="S517" s="346">
        <f t="shared" si="201"/>
        <v>88.284946294646218</v>
      </c>
      <c r="U517" s="319">
        <f t="shared" si="207"/>
        <v>70795</v>
      </c>
      <c r="V517" s="319">
        <f t="shared" si="208"/>
        <v>5011932025</v>
      </c>
      <c r="X517" s="345">
        <f t="shared" si="202"/>
        <v>17.010592174813205</v>
      </c>
      <c r="Y517" s="346">
        <f t="shared" si="203"/>
        <v>-8.2934127786223559</v>
      </c>
      <c r="AA517" s="345">
        <f t="shared" si="204"/>
        <v>17.531955923569463</v>
      </c>
      <c r="AB517" s="346">
        <f t="shared" si="205"/>
        <v>-83.421640926731413</v>
      </c>
      <c r="AD517">
        <f t="shared" si="209"/>
        <v>0</v>
      </c>
      <c r="AE517">
        <f t="shared" si="212"/>
        <v>0</v>
      </c>
    </row>
    <row r="518" spans="1:31" x14ac:dyDescent="0.2">
      <c r="A518" s="347">
        <v>71207.25</v>
      </c>
      <c r="B518" s="364">
        <f t="shared" si="206"/>
        <v>71.207250000000002</v>
      </c>
      <c r="C518" s="337">
        <f t="shared" si="187"/>
        <v>7.9572420692568224</v>
      </c>
      <c r="D518" s="338">
        <f t="shared" si="188"/>
        <v>1.4447914742366477</v>
      </c>
      <c r="E518" s="338">
        <f t="shared" si="189"/>
        <v>1.000008843658309</v>
      </c>
      <c r="F518" s="339">
        <f t="shared" si="190"/>
        <v>4.205613661329371E-3</v>
      </c>
      <c r="G518" s="338">
        <f t="shared" si="191"/>
        <v>1</v>
      </c>
      <c r="H518" s="339">
        <f t="shared" si="192"/>
        <v>0</v>
      </c>
      <c r="I518" s="337">
        <f t="shared" si="193"/>
        <v>134592.83725035231</v>
      </c>
      <c r="J518" s="340">
        <f t="shared" si="194"/>
        <v>1.5707888969790131</v>
      </c>
      <c r="K518" s="348">
        <f t="shared" si="210"/>
        <v>12.446869224508923</v>
      </c>
      <c r="L518" s="349">
        <f t="shared" si="211"/>
        <v>1.4903681555614434</v>
      </c>
      <c r="M518" s="337">
        <f t="shared" si="195"/>
        <v>1.002066375496147</v>
      </c>
      <c r="N518" s="340">
        <f t="shared" si="196"/>
        <v>6.4231199627137511E-2</v>
      </c>
      <c r="O518" s="341">
        <f t="shared" si="197"/>
        <v>0.99553144374878522</v>
      </c>
      <c r="P518" s="342">
        <f t="shared" si="198"/>
        <v>1.6192616482355964E-2</v>
      </c>
      <c r="Q518" s="343">
        <f t="shared" si="199"/>
        <v>-1.5173404073021395</v>
      </c>
      <c r="R518" s="344">
        <f t="shared" si="200"/>
        <v>-91.755204245982895</v>
      </c>
      <c r="S518" s="346">
        <f t="shared" si="201"/>
        <v>88.244795754017105</v>
      </c>
      <c r="U518" s="319">
        <f t="shared" si="207"/>
        <v>71207.25</v>
      </c>
      <c r="V518" s="319">
        <f t="shared" si="208"/>
        <v>5070472452.5625</v>
      </c>
      <c r="X518" s="345">
        <f t="shared" si="202"/>
        <v>17.010058175867321</v>
      </c>
      <c r="Y518" s="346">
        <f t="shared" si="203"/>
        <v>-8.2879457297072818</v>
      </c>
      <c r="AA518" s="345">
        <f t="shared" si="204"/>
        <v>17.482775380432003</v>
      </c>
      <c r="AB518" s="346">
        <f t="shared" si="205"/>
        <v>-83.467258516275606</v>
      </c>
      <c r="AD518">
        <f t="shared" si="209"/>
        <v>0</v>
      </c>
      <c r="AE518">
        <f t="shared" si="212"/>
        <v>0</v>
      </c>
    </row>
    <row r="519" spans="1:31" x14ac:dyDescent="0.2">
      <c r="A519" s="347">
        <v>71619.5</v>
      </c>
      <c r="B519" s="364">
        <f t="shared" si="206"/>
        <v>71.619500000000002</v>
      </c>
      <c r="C519" s="337">
        <f t="shared" si="187"/>
        <v>8.0025845260588682</v>
      </c>
      <c r="D519" s="338">
        <f t="shared" si="188"/>
        <v>1.4455091848368005</v>
      </c>
      <c r="E519" s="338">
        <f t="shared" si="189"/>
        <v>1.0000089463539008</v>
      </c>
      <c r="F519" s="339">
        <f t="shared" si="190"/>
        <v>4.2299615136965549E-3</v>
      </c>
      <c r="G519" s="338">
        <f t="shared" si="191"/>
        <v>1</v>
      </c>
      <c r="H519" s="339">
        <f t="shared" si="192"/>
        <v>0</v>
      </c>
      <c r="I519" s="337">
        <f t="shared" si="193"/>
        <v>135372.05421426264</v>
      </c>
      <c r="J519" s="340">
        <f t="shared" si="194"/>
        <v>1.5707889397458796</v>
      </c>
      <c r="K519" s="348">
        <f t="shared" si="210"/>
        <v>12.518465807313385</v>
      </c>
      <c r="L519" s="349">
        <f t="shared" si="211"/>
        <v>1.4908291324827783</v>
      </c>
      <c r="M519" s="337">
        <f t="shared" si="195"/>
        <v>1.0020903460366057</v>
      </c>
      <c r="N519" s="340">
        <f t="shared" si="196"/>
        <v>6.4602031410886024E-2</v>
      </c>
      <c r="O519" s="341">
        <f t="shared" si="197"/>
        <v>0.99547956009222605</v>
      </c>
      <c r="P519" s="342">
        <f t="shared" si="198"/>
        <v>1.6287219815104382E-2</v>
      </c>
      <c r="Q519" s="343">
        <f t="shared" si="199"/>
        <v>-1.566770399219402</v>
      </c>
      <c r="R519" s="344">
        <f t="shared" si="200"/>
        <v>-91.795188891276297</v>
      </c>
      <c r="S519" s="346">
        <f t="shared" si="201"/>
        <v>88.204811108723703</v>
      </c>
      <c r="U519" s="319">
        <f t="shared" si="207"/>
        <v>71619.5</v>
      </c>
      <c r="V519" s="319">
        <f t="shared" si="208"/>
        <v>5129352780.25</v>
      </c>
      <c r="X519" s="345">
        <f t="shared" si="202"/>
        <v>17.009528600927602</v>
      </c>
      <c r="Y519" s="346">
        <f t="shared" si="203"/>
        <v>-8.2827832441350129</v>
      </c>
      <c r="AA519" s="345">
        <f t="shared" si="204"/>
        <v>17.433874963454464</v>
      </c>
      <c r="AB519" s="346">
        <f t="shared" si="205"/>
        <v>-83.51240564714125</v>
      </c>
      <c r="AD519">
        <f t="shared" si="209"/>
        <v>0</v>
      </c>
      <c r="AE519">
        <f t="shared" si="212"/>
        <v>0</v>
      </c>
    </row>
    <row r="520" spans="1:31" x14ac:dyDescent="0.2">
      <c r="A520" s="347">
        <v>72031.75</v>
      </c>
      <c r="B520" s="364">
        <f t="shared" si="206"/>
        <v>72.031750000000002</v>
      </c>
      <c r="C520" s="337">
        <f t="shared" si="187"/>
        <v>8.0479310586096737</v>
      </c>
      <c r="D520" s="338">
        <f t="shared" si="188"/>
        <v>1.446218807835371</v>
      </c>
      <c r="E520" s="338">
        <f t="shared" si="189"/>
        <v>1.000009049642316</v>
      </c>
      <c r="F520" s="339">
        <f t="shared" si="190"/>
        <v>4.2543093610485153E-3</v>
      </c>
      <c r="G520" s="338">
        <f t="shared" si="191"/>
        <v>1</v>
      </c>
      <c r="H520" s="339">
        <f t="shared" si="192"/>
        <v>0</v>
      </c>
      <c r="I520" s="337">
        <f t="shared" si="193"/>
        <v>136151.27117817322</v>
      </c>
      <c r="J520" s="340">
        <f t="shared" si="194"/>
        <v>1.5707889820232219</v>
      </c>
      <c r="K520" s="348">
        <f t="shared" si="210"/>
        <v>12.590065020032561</v>
      </c>
      <c r="L520" s="349">
        <f t="shared" si="211"/>
        <v>1.4912848663842033</v>
      </c>
      <c r="M520" s="337">
        <f t="shared" si="195"/>
        <v>1.0021144543741292</v>
      </c>
      <c r="N520" s="340">
        <f t="shared" si="196"/>
        <v>6.4972845403077073E-2</v>
      </c>
      <c r="O520" s="341">
        <f t="shared" si="197"/>
        <v>0.99542737708786344</v>
      </c>
      <c r="P520" s="342">
        <f t="shared" si="198"/>
        <v>1.6381838082314099E-2</v>
      </c>
      <c r="Q520" s="343">
        <f t="shared" si="199"/>
        <v>-1.6159190023496643</v>
      </c>
      <c r="R520" s="344">
        <f t="shared" si="200"/>
        <v>-91.835010362585294</v>
      </c>
      <c r="S520" s="346">
        <f t="shared" si="201"/>
        <v>88.164989637414706</v>
      </c>
      <c r="U520" s="319">
        <f t="shared" si="207"/>
        <v>72031.75</v>
      </c>
      <c r="V520" s="319">
        <f t="shared" si="208"/>
        <v>5188573008.0625</v>
      </c>
      <c r="X520" s="345">
        <f t="shared" si="202"/>
        <v>17.009003322700938</v>
      </c>
      <c r="Y520" s="346">
        <f t="shared" si="203"/>
        <v>-8.2779201140470029</v>
      </c>
      <c r="AA520" s="345">
        <f t="shared" si="204"/>
        <v>17.385251638550866</v>
      </c>
      <c r="AB520" s="346">
        <f t="shared" si="205"/>
        <v>-83.557090248538287</v>
      </c>
      <c r="AD520">
        <f t="shared" si="209"/>
        <v>0</v>
      </c>
      <c r="AE520">
        <f t="shared" si="212"/>
        <v>0</v>
      </c>
    </row>
    <row r="521" spans="1:31" x14ac:dyDescent="0.2">
      <c r="A521" s="347">
        <v>72444</v>
      </c>
      <c r="B521" s="364">
        <f t="shared" si="206"/>
        <v>72.444000000000003</v>
      </c>
      <c r="C521" s="337">
        <f t="shared" si="187"/>
        <v>8.0932815984001643</v>
      </c>
      <c r="D521" s="338">
        <f t="shared" si="188"/>
        <v>1.4469204784677381</v>
      </c>
      <c r="E521" s="338">
        <f t="shared" si="189"/>
        <v>1.0000091535235538</v>
      </c>
      <c r="F521" s="339">
        <f t="shared" si="190"/>
        <v>4.2786572033563872E-3</v>
      </c>
      <c r="G521" s="338">
        <f t="shared" si="191"/>
        <v>1</v>
      </c>
      <c r="H521" s="339">
        <f t="shared" si="192"/>
        <v>0</v>
      </c>
      <c r="I521" s="337">
        <f t="shared" si="193"/>
        <v>136930.48814208404</v>
      </c>
      <c r="J521" s="340">
        <f t="shared" si="194"/>
        <v>1.5707890238193973</v>
      </c>
      <c r="K521" s="348">
        <f t="shared" si="210"/>
        <v>12.661666818051513</v>
      </c>
      <c r="L521" s="349">
        <f t="shared" si="211"/>
        <v>1.4917354460227108</v>
      </c>
      <c r="M521" s="337">
        <f t="shared" si="195"/>
        <v>1.0021387004987725</v>
      </c>
      <c r="N521" s="340">
        <f t="shared" si="196"/>
        <v>6.5343641503022312E-2</v>
      </c>
      <c r="O521" s="341">
        <f t="shared" si="197"/>
        <v>0.99537489473852825</v>
      </c>
      <c r="P521" s="342">
        <f t="shared" si="198"/>
        <v>1.6476471372546837E-2</v>
      </c>
      <c r="Q521" s="343">
        <f t="shared" si="199"/>
        <v>-1.6647893258492057</v>
      </c>
      <c r="R521" s="344">
        <f t="shared" si="200"/>
        <v>-91.874671322710995</v>
      </c>
      <c r="S521" s="346">
        <f t="shared" si="201"/>
        <v>88.125328677289005</v>
      </c>
      <c r="U521" s="319">
        <f t="shared" si="207"/>
        <v>72444</v>
      </c>
      <c r="V521" s="319">
        <f t="shared" si="208"/>
        <v>5248133136</v>
      </c>
      <c r="X521" s="345">
        <f t="shared" si="202"/>
        <v>17.008482217488851</v>
      </c>
      <c r="Y521" s="346">
        <f t="shared" si="203"/>
        <v>-8.2733512487520002</v>
      </c>
      <c r="AA521" s="345">
        <f t="shared" si="204"/>
        <v>17.33690242026341</v>
      </c>
      <c r="AB521" s="346">
        <f t="shared" si="205"/>
        <v>-83.601320073959016</v>
      </c>
      <c r="AD521">
        <f t="shared" si="209"/>
        <v>0</v>
      </c>
      <c r="AE521">
        <f t="shared" si="212"/>
        <v>0</v>
      </c>
    </row>
    <row r="522" spans="1:31" x14ac:dyDescent="0.2">
      <c r="A522" s="347">
        <v>72865.75</v>
      </c>
      <c r="B522" s="364">
        <f t="shared" si="206"/>
        <v>72.865750000000006</v>
      </c>
      <c r="C522" s="337">
        <f t="shared" si="187"/>
        <v>8.1396812852150209</v>
      </c>
      <c r="D522" s="338">
        <f t="shared" si="188"/>
        <v>1.447630227117612</v>
      </c>
      <c r="E522" s="338">
        <f t="shared" si="189"/>
        <v>1.0000092604121309</v>
      </c>
      <c r="F522" s="339">
        <f t="shared" si="190"/>
        <v>4.3035661186482718E-3</v>
      </c>
      <c r="G522" s="338">
        <f t="shared" si="191"/>
        <v>1</v>
      </c>
      <c r="H522" s="339">
        <f t="shared" si="192"/>
        <v>0</v>
      </c>
      <c r="I522" s="337">
        <f t="shared" si="193"/>
        <v>137727.66159151882</v>
      </c>
      <c r="J522" s="340">
        <f t="shared" si="194"/>
        <v>1.570789066089324</v>
      </c>
      <c r="K522" s="348">
        <f t="shared" si="210"/>
        <v>12.734921257060897</v>
      </c>
      <c r="L522" s="349">
        <f t="shared" si="211"/>
        <v>1.49219116561331</v>
      </c>
      <c r="M522" s="337">
        <f t="shared" si="195"/>
        <v>1.0021636479337215</v>
      </c>
      <c r="N522" s="340">
        <f t="shared" si="196"/>
        <v>6.5722963707700824E-2</v>
      </c>
      <c r="O522" s="341">
        <f t="shared" si="197"/>
        <v>0.99532089320304029</v>
      </c>
      <c r="P522" s="342">
        <f t="shared" si="198"/>
        <v>1.6573301056501861E-2</v>
      </c>
      <c r="Q522" s="343">
        <f t="shared" si="199"/>
        <v>-1.7145010461891717</v>
      </c>
      <c r="R522" s="344">
        <f t="shared" si="200"/>
        <v>-91.915082855523096</v>
      </c>
      <c r="S522" s="346">
        <f t="shared" si="201"/>
        <v>88.084917144476904</v>
      </c>
      <c r="U522" s="319">
        <f t="shared" si="207"/>
        <v>72865.75</v>
      </c>
      <c r="V522" s="319">
        <f t="shared" si="208"/>
        <v>5309417523.0625</v>
      </c>
      <c r="X522" s="345">
        <f t="shared" si="202"/>
        <v>17.007953296809031</v>
      </c>
      <c r="Y522" s="346">
        <f t="shared" si="203"/>
        <v>-8.2689764228563067</v>
      </c>
      <c r="AA522" s="345">
        <f t="shared" si="204"/>
        <v>17.287719620603262</v>
      </c>
      <c r="AB522" s="346">
        <f t="shared" si="205"/>
        <v>-83.646106432666812</v>
      </c>
      <c r="AD522">
        <f t="shared" si="209"/>
        <v>0</v>
      </c>
      <c r="AE522">
        <f t="shared" si="212"/>
        <v>0</v>
      </c>
    </row>
    <row r="523" spans="1:31" x14ac:dyDescent="0.2">
      <c r="A523" s="347">
        <v>73287.5</v>
      </c>
      <c r="B523" s="364">
        <f t="shared" si="206"/>
        <v>73.287499999999994</v>
      </c>
      <c r="C523" s="337">
        <f t="shared" si="187"/>
        <v>8.1860850258552826</v>
      </c>
      <c r="D523" s="338">
        <f t="shared" si="188"/>
        <v>1.4483319295380608</v>
      </c>
      <c r="E523" s="338">
        <f t="shared" si="189"/>
        <v>1.0000093679211677</v>
      </c>
      <c r="F523" s="339">
        <f t="shared" si="190"/>
        <v>4.3284750285997953E-3</v>
      </c>
      <c r="G523" s="338">
        <f t="shared" si="191"/>
        <v>1</v>
      </c>
      <c r="H523" s="339">
        <f t="shared" si="192"/>
        <v>0</v>
      </c>
      <c r="I523" s="337">
        <f t="shared" si="193"/>
        <v>138524.83504095383</v>
      </c>
      <c r="J523" s="340">
        <f t="shared" si="194"/>
        <v>1.5707891078727465</v>
      </c>
      <c r="K523" s="348">
        <f t="shared" si="210"/>
        <v>12.80817831060982</v>
      </c>
      <c r="L523" s="349">
        <f t="shared" si="211"/>
        <v>1.4926416722719584</v>
      </c>
      <c r="M523" s="337">
        <f t="shared" si="195"/>
        <v>1.0021887395581319</v>
      </c>
      <c r="N523" s="340">
        <f t="shared" si="196"/>
        <v>6.6102266972905693E-2</v>
      </c>
      <c r="O523" s="341">
        <f t="shared" si="197"/>
        <v>0.99526657837329235</v>
      </c>
      <c r="P523" s="342">
        <f t="shared" si="198"/>
        <v>1.6670146651509152E-2</v>
      </c>
      <c r="Q523" s="343">
        <f t="shared" si="199"/>
        <v>-1.7639279343142409</v>
      </c>
      <c r="R523" s="344">
        <f t="shared" si="200"/>
        <v>-91.955331851263225</v>
      </c>
      <c r="S523" s="346">
        <f t="shared" si="201"/>
        <v>88.044668148736775</v>
      </c>
      <c r="U523" s="319">
        <f t="shared" si="207"/>
        <v>73287.5</v>
      </c>
      <c r="V523" s="319">
        <f t="shared" si="208"/>
        <v>5371057656.25</v>
      </c>
      <c r="X523" s="345">
        <f t="shared" si="202"/>
        <v>17.007428492778438</v>
      </c>
      <c r="Y523" s="346">
        <f t="shared" si="203"/>
        <v>-8.2648991629340838</v>
      </c>
      <c r="AA523" s="345">
        <f t="shared" si="204"/>
        <v>17.23881753650879</v>
      </c>
      <c r="AB523" s="346">
        <f t="shared" si="205"/>
        <v>-83.690432688329139</v>
      </c>
      <c r="AD523">
        <f t="shared" si="209"/>
        <v>0</v>
      </c>
      <c r="AE523">
        <f t="shared" si="212"/>
        <v>0</v>
      </c>
    </row>
    <row r="524" spans="1:31" x14ac:dyDescent="0.2">
      <c r="A524" s="347">
        <v>73709.25</v>
      </c>
      <c r="B524" s="364">
        <f t="shared" si="206"/>
        <v>73.709249999999997</v>
      </c>
      <c r="C524" s="337">
        <f t="shared" si="187"/>
        <v>8.2324927517708755</v>
      </c>
      <c r="D524" s="338">
        <f t="shared" si="188"/>
        <v>1.4490257211053574</v>
      </c>
      <c r="E524" s="338">
        <f t="shared" si="189"/>
        <v>1.0000094760506637</v>
      </c>
      <c r="F524" s="339">
        <f t="shared" si="190"/>
        <v>4.3533839331800486E-3</v>
      </c>
      <c r="G524" s="338">
        <f t="shared" si="191"/>
        <v>1</v>
      </c>
      <c r="H524" s="339">
        <f t="shared" si="192"/>
        <v>0</v>
      </c>
      <c r="I524" s="337">
        <f t="shared" si="193"/>
        <v>139322.00849038907</v>
      </c>
      <c r="J524" s="340">
        <f t="shared" si="194"/>
        <v>1.5707891491780157</v>
      </c>
      <c r="K524" s="348">
        <f t="shared" si="210"/>
        <v>12.881437934091434</v>
      </c>
      <c r="L524" s="349">
        <f t="shared" si="211"/>
        <v>1.493087054755547</v>
      </c>
      <c r="M524" s="337">
        <f t="shared" si="195"/>
        <v>1.0022139753611734</v>
      </c>
      <c r="N524" s="340">
        <f t="shared" si="196"/>
        <v>6.6481551190922084E-2</v>
      </c>
      <c r="O524" s="341">
        <f t="shared" si="197"/>
        <v>0.99521195025237108</v>
      </c>
      <c r="P524" s="342">
        <f t="shared" si="198"/>
        <v>1.6767008252543167E-2</v>
      </c>
      <c r="Q524" s="343">
        <f t="shared" si="199"/>
        <v>-1.8130731569372702</v>
      </c>
      <c r="R524" s="344">
        <f t="shared" si="200"/>
        <v>-91.995420980775492</v>
      </c>
      <c r="S524" s="346">
        <f t="shared" si="201"/>
        <v>88.004579019224508</v>
      </c>
      <c r="U524" s="319">
        <f t="shared" si="207"/>
        <v>73709.25</v>
      </c>
      <c r="V524" s="319">
        <f t="shared" si="208"/>
        <v>5433053535.5625</v>
      </c>
      <c r="X524" s="345">
        <f t="shared" si="202"/>
        <v>17.006907683856546</v>
      </c>
      <c r="Y524" s="346">
        <f t="shared" si="203"/>
        <v>-8.2611143778969307</v>
      </c>
      <c r="AA524" s="345">
        <f t="shared" si="204"/>
        <v>17.190193122807649</v>
      </c>
      <c r="AB524" s="346">
        <f t="shared" si="205"/>
        <v>-83.734306602878533</v>
      </c>
      <c r="AD524">
        <f t="shared" si="209"/>
        <v>0</v>
      </c>
      <c r="AE524">
        <f t="shared" si="212"/>
        <v>0</v>
      </c>
    </row>
    <row r="525" spans="1:31" x14ac:dyDescent="0.2">
      <c r="A525" s="347">
        <v>74131</v>
      </c>
      <c r="B525" s="364">
        <f t="shared" si="206"/>
        <v>74.131</v>
      </c>
      <c r="C525" s="337">
        <f t="shared" ref="C525:C588" si="213">SQRT(1+(A525/pole1)^2)</f>
        <v>8.2789043959429396</v>
      </c>
      <c r="D525" s="338">
        <f t="shared" ref="D525:D588" si="214">ATAN(A525/pole1)</f>
        <v>1.4497117341909458</v>
      </c>
      <c r="E525" s="338">
        <f t="shared" ref="E525:E588" si="215">SQRT(1+(A525/Zero1)^2)</f>
        <v>1.0000095848006194</v>
      </c>
      <c r="F525" s="339">
        <f t="shared" ref="F525:F588" si="216">ATAN(A525/Zero1)</f>
        <v>4.3782928323581249E-3</v>
      </c>
      <c r="G525" s="338">
        <f t="shared" ref="G525:G588" si="217">IF(VIN_nom&gt;Vout, 1, SQRT(1+(A525/z_RHP)^2))</f>
        <v>1</v>
      </c>
      <c r="H525" s="339">
        <f t="shared" ref="H525:H588" si="218">IF(VIN_nom&gt;Vout, 0, -ATAN(A525/z_RHP))</f>
        <v>0</v>
      </c>
      <c r="I525" s="337">
        <f t="shared" ref="I525:I588" si="219">SQRT(1+(A525/Pole2)^2)</f>
        <v>140119.18193982457</v>
      </c>
      <c r="J525" s="340">
        <f t="shared" ref="J525:J588" si="220">ATAN(A525/Pole2)</f>
        <v>1.5707891900132929</v>
      </c>
      <c r="K525" s="348">
        <f t="shared" si="210"/>
        <v>12.954700083906351</v>
      </c>
      <c r="L525" s="349">
        <f t="shared" si="211"/>
        <v>1.4935273998214331</v>
      </c>
      <c r="M525" s="337">
        <f t="shared" ref="M525:M588" si="221">SQRT(1+(A525/pole4)^2)</f>
        <v>1.0022393553319551</v>
      </c>
      <c r="N525" s="340">
        <f t="shared" ref="N525:N588" si="222">ATAN(A525/pole4)</f>
        <v>6.6860816254067923E-2</v>
      </c>
      <c r="O525" s="341">
        <f t="shared" ref="O525:O588" si="223">SQRT((1-(V525/pterm2))^2+(A525/pterm1)^2)</f>
        <v>0.99515700884338143</v>
      </c>
      <c r="P525" s="342">
        <f t="shared" ref="P525:P588" si="224">IF((ATAN((A525/pterm1)/(1-A525^2/pterm2))&gt;0),ATAN((A525/pterm1)/(1-A525^2/pterm2)),PI()+ATAN((A525/pterm1)/(1-A525^2/pterm2)))</f>
        <v>1.6863885954628899E-2</v>
      </c>
      <c r="Q525" s="343">
        <f t="shared" ref="Q525:Q588" si="225">20*LOG10(((E525*K525*G525)/(C525*I525*O525*M525))*Adc)</f>
        <v>-1.8619398283900299</v>
      </c>
      <c r="R525" s="344">
        <f t="shared" ref="R525:R588" si="226">((F525+L525+H525)-(D525+J525+P525+N525))*radconv</f>
        <v>-92.035352857298662</v>
      </c>
      <c r="S525" s="346">
        <f t="shared" ref="S525:S588" si="227">IF(R525&gt;0,R525,R525+180)</f>
        <v>87.964647142701338</v>
      </c>
      <c r="U525" s="319">
        <f t="shared" si="207"/>
        <v>74131</v>
      </c>
      <c r="V525" s="319">
        <f t="shared" si="208"/>
        <v>5495405161</v>
      </c>
      <c r="X525" s="345">
        <f t="shared" ref="X525:X588" si="228">20*LOG10((K525/(I525*M525))*AEA)</f>
        <v>17.006390751935985</v>
      </c>
      <c r="Y525" s="346">
        <f t="shared" ref="Y525:Y588" si="229">(L525-(J525+N525))*radconv</f>
        <v>-8.257617091212305</v>
      </c>
      <c r="AA525" s="345">
        <f t="shared" ref="AA525:AA588" si="230">20*LOG10((E525*G525/(C525*O525))*Acs*Am)</f>
        <v>17.14184338327545</v>
      </c>
      <c r="AB525" s="346">
        <f t="shared" ref="AB525:AB588" si="231">(F525+H525-(D525+P525))*radconv</f>
        <v>-83.777735766086337</v>
      </c>
      <c r="AD525">
        <f t="shared" si="209"/>
        <v>0</v>
      </c>
      <c r="AE525">
        <f t="shared" si="212"/>
        <v>0</v>
      </c>
    </row>
    <row r="526" spans="1:31" x14ac:dyDescent="0.2">
      <c r="A526" s="347">
        <v>74562.75</v>
      </c>
      <c r="B526" s="364">
        <f t="shared" ref="B526:B589" si="232">A526/1000</f>
        <v>74.562749999999994</v>
      </c>
      <c r="C526" s="337">
        <f t="shared" si="213"/>
        <v>8.3264204843457144</v>
      </c>
      <c r="D526" s="338">
        <f t="shared" si="214"/>
        <v>1.450406090960118</v>
      </c>
      <c r="E526" s="338">
        <f t="shared" si="215"/>
        <v>1.0000096967718164</v>
      </c>
      <c r="F526" s="339">
        <f t="shared" si="216"/>
        <v>4.4037923340688135E-3</v>
      </c>
      <c r="G526" s="338">
        <f t="shared" si="217"/>
        <v>1</v>
      </c>
      <c r="H526" s="339">
        <f t="shared" si="218"/>
        <v>0</v>
      </c>
      <c r="I526" s="337">
        <f t="shared" si="219"/>
        <v>140935.2569529695</v>
      </c>
      <c r="J526" s="340">
        <f t="shared" si="220"/>
        <v>1.5707892313382903</v>
      </c>
      <c r="K526" s="348">
        <f t="shared" si="210"/>
        <v>13.029701905113475</v>
      </c>
      <c r="L526" s="349">
        <f t="shared" si="211"/>
        <v>1.4939730563315412</v>
      </c>
      <c r="M526" s="337">
        <f t="shared" si="221"/>
        <v>1.002265486404663</v>
      </c>
      <c r="N526" s="340">
        <f t="shared" si="222"/>
        <v>6.7249054014476894E-2</v>
      </c>
      <c r="O526" s="341">
        <f t="shared" si="223"/>
        <v>0.99510044021822197</v>
      </c>
      <c r="P526" s="342">
        <f t="shared" si="224"/>
        <v>1.6963077475157042E-2</v>
      </c>
      <c r="Q526" s="343">
        <f t="shared" si="225"/>
        <v>-1.9116798254626439</v>
      </c>
      <c r="R526" s="344">
        <f t="shared" si="226"/>
        <v>-92.07607132708236</v>
      </c>
      <c r="S526" s="346">
        <f t="shared" si="227"/>
        <v>87.92392867291764</v>
      </c>
      <c r="U526" s="319">
        <f t="shared" ref="U526:U589" si="233">IF(Q526&lt;0,A526,1000000000)</f>
        <v>74562.75</v>
      </c>
      <c r="V526" s="319">
        <f t="shared" ref="V526:V589" si="234">A526^2</f>
        <v>5559603687.5625</v>
      </c>
      <c r="X526" s="345">
        <f t="shared" si="228"/>
        <v>17.005865459339383</v>
      </c>
      <c r="Y526" s="346">
        <f t="shared" si="229"/>
        <v>-8.2543296069338119</v>
      </c>
      <c r="AA526" s="345">
        <f t="shared" si="230"/>
        <v>17.092628678799439</v>
      </c>
      <c r="AB526" s="346">
        <f t="shared" si="231"/>
        <v>-83.821741720148566</v>
      </c>
      <c r="AD526">
        <f t="shared" ref="AD526:AD589" si="235">SUM((Q527&lt;0)*(Q526&gt;0))*A526</f>
        <v>0</v>
      </c>
      <c r="AE526">
        <f t="shared" si="212"/>
        <v>0</v>
      </c>
    </row>
    <row r="527" spans="1:31" x14ac:dyDescent="0.2">
      <c r="A527" s="347">
        <v>74994.5</v>
      </c>
      <c r="B527" s="364">
        <f t="shared" si="232"/>
        <v>74.994500000000002</v>
      </c>
      <c r="C527" s="337">
        <f t="shared" si="213"/>
        <v>8.3739405416175057</v>
      </c>
      <c r="D527" s="338">
        <f t="shared" si="214"/>
        <v>1.451092567448655</v>
      </c>
      <c r="E527" s="338">
        <f t="shared" si="215"/>
        <v>1.0000098093932439</v>
      </c>
      <c r="F527" s="339">
        <f t="shared" si="216"/>
        <v>4.4292918300525589E-3</v>
      </c>
      <c r="G527" s="338">
        <f t="shared" si="217"/>
        <v>1</v>
      </c>
      <c r="H527" s="339">
        <f t="shared" si="218"/>
        <v>0</v>
      </c>
      <c r="I527" s="337">
        <f t="shared" si="219"/>
        <v>141751.33196611467</v>
      </c>
      <c r="J527" s="340">
        <f t="shared" si="220"/>
        <v>1.5707892721874646</v>
      </c>
      <c r="K527" s="348">
        <f t="shared" si="210"/>
        <v>13.104706284524143</v>
      </c>
      <c r="L527" s="349">
        <f t="shared" si="211"/>
        <v>1.4944136115259263</v>
      </c>
      <c r="M527" s="337">
        <f t="shared" si="221"/>
        <v>1.0022917685395125</v>
      </c>
      <c r="N527" s="340">
        <f t="shared" si="222"/>
        <v>6.7637271472626589E-2</v>
      </c>
      <c r="O527" s="341">
        <f t="shared" si="223"/>
        <v>0.9950435432789323</v>
      </c>
      <c r="P527" s="342">
        <f t="shared" si="224"/>
        <v>1.7062286071018295E-2</v>
      </c>
      <c r="Q527" s="343">
        <f t="shared" si="225"/>
        <v>-1.9611343470919105</v>
      </c>
      <c r="R527" s="344">
        <f t="shared" si="226"/>
        <v>-92.116630362081239</v>
      </c>
      <c r="S527" s="346">
        <f t="shared" si="227"/>
        <v>87.883369637918761</v>
      </c>
      <c r="U527" s="319">
        <f t="shared" si="233"/>
        <v>74994.5</v>
      </c>
      <c r="V527" s="319">
        <f t="shared" si="234"/>
        <v>5624175030.25</v>
      </c>
      <c r="X527" s="345">
        <f t="shared" si="228"/>
        <v>17.005343989822624</v>
      </c>
      <c r="Y527" s="346">
        <f t="shared" si="229"/>
        <v>-8.2513332160201145</v>
      </c>
      <c r="AA527" s="345">
        <f t="shared" si="230"/>
        <v>17.043695626686933</v>
      </c>
      <c r="AB527" s="346">
        <f t="shared" si="231"/>
        <v>-83.865297146061152</v>
      </c>
      <c r="AD527">
        <f t="shared" si="235"/>
        <v>0</v>
      </c>
      <c r="AE527">
        <f t="shared" si="212"/>
        <v>0</v>
      </c>
    </row>
    <row r="528" spans="1:31" x14ac:dyDescent="0.2">
      <c r="A528" s="347">
        <v>75426.25</v>
      </c>
      <c r="B528" s="364">
        <f t="shared" si="232"/>
        <v>75.426249999999996</v>
      </c>
      <c r="C528" s="337">
        <f t="shared" si="213"/>
        <v>8.4214645005725384</v>
      </c>
      <c r="D528" s="338">
        <f t="shared" si="214"/>
        <v>1.4517712964138738</v>
      </c>
      <c r="E528" s="338">
        <f t="shared" si="215"/>
        <v>1.0000099226649022</v>
      </c>
      <c r="F528" s="339">
        <f t="shared" si="216"/>
        <v>4.454791320276201E-3</v>
      </c>
      <c r="G528" s="338">
        <f t="shared" si="217"/>
        <v>1</v>
      </c>
      <c r="H528" s="339">
        <f t="shared" si="218"/>
        <v>0</v>
      </c>
      <c r="I528" s="337">
        <f t="shared" si="219"/>
        <v>142567.40697926006</v>
      </c>
      <c r="J528" s="340">
        <f t="shared" si="220"/>
        <v>1.5707893125689862</v>
      </c>
      <c r="K528" s="348">
        <f t="shared" si="210"/>
        <v>13.179713178462949</v>
      </c>
      <c r="L528" s="349">
        <f t="shared" si="211"/>
        <v>1.4948491523281926</v>
      </c>
      <c r="M528" s="337">
        <f t="shared" si="221"/>
        <v>1.0023182017246206</v>
      </c>
      <c r="N528" s="340">
        <f t="shared" si="222"/>
        <v>6.8025468513100054E-2</v>
      </c>
      <c r="O528" s="341">
        <f t="shared" si="223"/>
        <v>0.99498631802890458</v>
      </c>
      <c r="P528" s="342">
        <f t="shared" si="224"/>
        <v>1.7161511844325097E-2</v>
      </c>
      <c r="Q528" s="343">
        <f t="shared" si="225"/>
        <v>-2.010306571203027</v>
      </c>
      <c r="R528" s="344">
        <f t="shared" si="226"/>
        <v>-92.15703258808135</v>
      </c>
      <c r="S528" s="346">
        <f t="shared" si="227"/>
        <v>87.84296741191865</v>
      </c>
      <c r="U528" s="319">
        <f t="shared" si="233"/>
        <v>75426.25</v>
      </c>
      <c r="V528" s="319">
        <f t="shared" si="234"/>
        <v>5689119189.0625</v>
      </c>
      <c r="X528" s="345">
        <f t="shared" si="228"/>
        <v>17.004826227118034</v>
      </c>
      <c r="Y528" s="346">
        <f t="shared" si="229"/>
        <v>-8.248622931970786</v>
      </c>
      <c r="AA528" s="345">
        <f t="shared" si="230"/>
        <v>16.995041165280405</v>
      </c>
      <c r="AB528" s="346">
        <f t="shared" si="231"/>
        <v>-83.908409656110592</v>
      </c>
      <c r="AD528">
        <f t="shared" si="235"/>
        <v>0</v>
      </c>
      <c r="AE528">
        <f t="shared" si="212"/>
        <v>0</v>
      </c>
    </row>
    <row r="529" spans="1:31" x14ac:dyDescent="0.2">
      <c r="A529" s="347">
        <v>75858</v>
      </c>
      <c r="B529" s="364">
        <f t="shared" si="232"/>
        <v>75.858000000000004</v>
      </c>
      <c r="C529" s="337">
        <f t="shared" si="213"/>
        <v>8.4689922955276362</v>
      </c>
      <c r="D529" s="338">
        <f t="shared" si="214"/>
        <v>1.452442407661888</v>
      </c>
      <c r="E529" s="338">
        <f t="shared" si="215"/>
        <v>1.0000100365867908</v>
      </c>
      <c r="F529" s="339">
        <f t="shared" si="216"/>
        <v>4.4802908047065831E-3</v>
      </c>
      <c r="G529" s="338">
        <f t="shared" si="217"/>
        <v>1</v>
      </c>
      <c r="H529" s="339">
        <f t="shared" si="218"/>
        <v>0</v>
      </c>
      <c r="I529" s="337">
        <f t="shared" si="219"/>
        <v>143383.48199240572</v>
      </c>
      <c r="J529" s="340">
        <f t="shared" si="220"/>
        <v>1.5707893524908407</v>
      </c>
      <c r="K529" s="348">
        <f t="shared" si="210"/>
        <v>13.254722544241643</v>
      </c>
      <c r="L529" s="349">
        <f t="shared" si="211"/>
        <v>1.4952797637020265</v>
      </c>
      <c r="M529" s="337">
        <f t="shared" si="221"/>
        <v>1.002344785948037</v>
      </c>
      <c r="N529" s="340">
        <f t="shared" si="222"/>
        <v>6.8413645020517E-2</v>
      </c>
      <c r="O529" s="341">
        <f t="shared" si="223"/>
        <v>0.99492876447155154</v>
      </c>
      <c r="P529" s="342">
        <f t="shared" si="224"/>
        <v>1.7260754897246763E-2</v>
      </c>
      <c r="Q529" s="343">
        <f t="shared" si="225"/>
        <v>-2.0591996230534946</v>
      </c>
      <c r="R529" s="344">
        <f t="shared" si="226"/>
        <v>-92.197280574066994</v>
      </c>
      <c r="S529" s="346">
        <f t="shared" si="227"/>
        <v>87.802719425933006</v>
      </c>
      <c r="U529" s="319">
        <f t="shared" si="233"/>
        <v>75858</v>
      </c>
      <c r="V529" s="319">
        <f t="shared" si="234"/>
        <v>5754436164</v>
      </c>
      <c r="X529" s="345">
        <f t="shared" si="228"/>
        <v>17.004312058245251</v>
      </c>
      <c r="Y529" s="346">
        <f t="shared" si="229"/>
        <v>-8.2461938805718891</v>
      </c>
      <c r="AA529" s="345">
        <f t="shared" si="230"/>
        <v>16.946662282302718</v>
      </c>
      <c r="AB529" s="346">
        <f t="shared" si="231"/>
        <v>-83.951086693495114</v>
      </c>
      <c r="AD529">
        <f t="shared" si="235"/>
        <v>0</v>
      </c>
      <c r="AE529">
        <f t="shared" si="212"/>
        <v>0</v>
      </c>
    </row>
    <row r="530" spans="1:31" x14ac:dyDescent="0.2">
      <c r="A530" s="347">
        <v>76299.75</v>
      </c>
      <c r="B530" s="364">
        <f t="shared" si="232"/>
        <v>76.299750000000003</v>
      </c>
      <c r="C530" s="337">
        <f t="shared" si="213"/>
        <v>8.5176248112940147</v>
      </c>
      <c r="D530" s="338">
        <f t="shared" si="214"/>
        <v>1.4531213108476759</v>
      </c>
      <c r="E530" s="338">
        <f t="shared" si="215"/>
        <v>1.0000101538202821</v>
      </c>
      <c r="F530" s="339">
        <f t="shared" si="216"/>
        <v>4.5063808907364116E-3</v>
      </c>
      <c r="G530" s="338">
        <f t="shared" si="217"/>
        <v>1</v>
      </c>
      <c r="H530" s="339">
        <f t="shared" si="218"/>
        <v>0</v>
      </c>
      <c r="I530" s="337">
        <f t="shared" si="219"/>
        <v>144218.45856926081</v>
      </c>
      <c r="J530" s="340">
        <f t="shared" si="220"/>
        <v>1.5707893928697256</v>
      </c>
      <c r="K530" s="348">
        <f t="shared" si="210"/>
        <v>13.331471758195983</v>
      </c>
      <c r="L530" s="349">
        <f t="shared" si="211"/>
        <v>1.4957153333120277</v>
      </c>
      <c r="M530" s="337">
        <f t="shared" si="221"/>
        <v>1.0023721422170306</v>
      </c>
      <c r="N530" s="340">
        <f t="shared" si="222"/>
        <v>6.8810790925994139E-2</v>
      </c>
      <c r="O530" s="341">
        <f t="shared" si="223"/>
        <v>0.994869538086531</v>
      </c>
      <c r="P530" s="342">
        <f t="shared" si="224"/>
        <v>1.7362314564488397E-2</v>
      </c>
      <c r="Q530" s="343">
        <f t="shared" si="225"/>
        <v>-2.1089393732283286</v>
      </c>
      <c r="R530" s="344">
        <f t="shared" si="226"/>
        <v>-92.238303747279772</v>
      </c>
      <c r="S530" s="346">
        <f t="shared" si="227"/>
        <v>87.761696252720228</v>
      </c>
      <c r="U530" s="319">
        <f t="shared" si="233"/>
        <v>76299.75</v>
      </c>
      <c r="V530" s="319">
        <f t="shared" si="234"/>
        <v>5821651850.0625</v>
      </c>
      <c r="X530" s="345">
        <f t="shared" si="228"/>
        <v>17.003789585570726</v>
      </c>
      <c r="Y530" s="346">
        <f t="shared" si="229"/>
        <v>-8.2439946780065725</v>
      </c>
      <c r="AA530" s="345">
        <f t="shared" si="230"/>
        <v>16.89744500480241</v>
      </c>
      <c r="AB530" s="346">
        <f t="shared" si="231"/>
        <v>-83.994309069273186</v>
      </c>
      <c r="AD530">
        <f t="shared" si="235"/>
        <v>0</v>
      </c>
      <c r="AE530">
        <f t="shared" si="212"/>
        <v>0</v>
      </c>
    </row>
    <row r="531" spans="1:31" x14ac:dyDescent="0.2">
      <c r="A531" s="347">
        <v>76741.5</v>
      </c>
      <c r="B531" s="364">
        <f t="shared" si="232"/>
        <v>76.741500000000002</v>
      </c>
      <c r="C531" s="337">
        <f t="shared" si="213"/>
        <v>8.5662612083379912</v>
      </c>
      <c r="D531" s="338">
        <f t="shared" si="214"/>
        <v>1.4537925051645475</v>
      </c>
      <c r="E531" s="338">
        <f t="shared" si="215"/>
        <v>1.0000102717344728</v>
      </c>
      <c r="F531" s="339">
        <f t="shared" si="216"/>
        <v>4.5324709706312805E-3</v>
      </c>
      <c r="G531" s="338">
        <f t="shared" si="217"/>
        <v>1</v>
      </c>
      <c r="H531" s="339">
        <f t="shared" si="218"/>
        <v>0</v>
      </c>
      <c r="I531" s="337">
        <f t="shared" si="219"/>
        <v>145053.43514611613</v>
      </c>
      <c r="J531" s="340">
        <f t="shared" si="220"/>
        <v>1.5707894327837413</v>
      </c>
      <c r="K531" s="348">
        <f t="shared" si="210"/>
        <v>13.408223472453509</v>
      </c>
      <c r="L531" s="349">
        <f t="shared" si="211"/>
        <v>1.4961459164043349</v>
      </c>
      <c r="M531" s="337">
        <f t="shared" si="221"/>
        <v>1.0023996565763966</v>
      </c>
      <c r="N531" s="340">
        <f t="shared" si="222"/>
        <v>6.9207915091992034E-2</v>
      </c>
      <c r="O531" s="341">
        <f t="shared" si="223"/>
        <v>0.99480996801714183</v>
      </c>
      <c r="P531" s="342">
        <f t="shared" si="224"/>
        <v>1.746389253763499E-2</v>
      </c>
      <c r="Q531" s="343">
        <f t="shared" si="225"/>
        <v>-2.1583933245206182</v>
      </c>
      <c r="R531" s="344">
        <f t="shared" si="226"/>
        <v>-92.279170718244103</v>
      </c>
      <c r="S531" s="346">
        <f t="shared" si="227"/>
        <v>87.720829281755897</v>
      </c>
      <c r="U531" s="319">
        <f t="shared" si="233"/>
        <v>76741.5</v>
      </c>
      <c r="V531" s="319">
        <f t="shared" si="234"/>
        <v>5889257822.25</v>
      </c>
      <c r="X531" s="345">
        <f t="shared" si="228"/>
        <v>17.003270645911392</v>
      </c>
      <c r="Y531" s="346">
        <f t="shared" si="229"/>
        <v>-8.2420799096444597</v>
      </c>
      <c r="AA531" s="345">
        <f t="shared" si="230"/>
        <v>16.848509993169458</v>
      </c>
      <c r="AB531" s="346">
        <f t="shared" si="231"/>
        <v>-84.037090808599629</v>
      </c>
      <c r="AD531">
        <f t="shared" si="235"/>
        <v>0</v>
      </c>
      <c r="AE531">
        <f t="shared" si="212"/>
        <v>0</v>
      </c>
    </row>
    <row r="532" spans="1:31" x14ac:dyDescent="0.2">
      <c r="A532" s="347">
        <v>77183.25</v>
      </c>
      <c r="B532" s="364">
        <f t="shared" si="232"/>
        <v>77.183250000000001</v>
      </c>
      <c r="C532" s="337">
        <f t="shared" si="213"/>
        <v>8.614901420923001</v>
      </c>
      <c r="D532" s="338">
        <f t="shared" si="214"/>
        <v>1.4544561205766822</v>
      </c>
      <c r="E532" s="338">
        <f t="shared" si="215"/>
        <v>1.0000103903293627</v>
      </c>
      <c r="F532" s="339">
        <f t="shared" si="216"/>
        <v>4.5585610443556719E-3</v>
      </c>
      <c r="G532" s="338">
        <f t="shared" si="217"/>
        <v>1</v>
      </c>
      <c r="H532" s="339">
        <f t="shared" si="218"/>
        <v>0</v>
      </c>
      <c r="I532" s="337">
        <f t="shared" si="219"/>
        <v>145888.41172297165</v>
      </c>
      <c r="J532" s="340">
        <f t="shared" si="220"/>
        <v>1.57078947224087</v>
      </c>
      <c r="K532" s="348">
        <f t="shared" si="210"/>
        <v>13.484977644321702</v>
      </c>
      <c r="L532" s="349">
        <f t="shared" si="211"/>
        <v>1.4965715979651086</v>
      </c>
      <c r="M532" s="337">
        <f t="shared" si="221"/>
        <v>1.0024273290131172</v>
      </c>
      <c r="N532" s="340">
        <f t="shared" si="222"/>
        <v>6.9605017395046959E-2</v>
      </c>
      <c r="O532" s="341">
        <f t="shared" si="223"/>
        <v>0.99475005426710639</v>
      </c>
      <c r="P532" s="342">
        <f t="shared" si="224"/>
        <v>1.7565488926307909E-2</v>
      </c>
      <c r="Q532" s="343">
        <f t="shared" si="225"/>
        <v>-2.2075646606136821</v>
      </c>
      <c r="R532" s="344">
        <f t="shared" si="226"/>
        <v>-92.319884063676952</v>
      </c>
      <c r="S532" s="346">
        <f t="shared" si="227"/>
        <v>87.680115936323048</v>
      </c>
      <c r="U532" s="319">
        <f t="shared" si="233"/>
        <v>77183.25</v>
      </c>
      <c r="V532" s="319">
        <f t="shared" si="234"/>
        <v>5957254080.5625</v>
      </c>
      <c r="X532" s="345">
        <f t="shared" si="228"/>
        <v>17.002755128232302</v>
      </c>
      <c r="Y532" s="346">
        <f t="shared" si="229"/>
        <v>-8.24044469952063</v>
      </c>
      <c r="AA532" s="345">
        <f t="shared" si="230"/>
        <v>16.799854174755481</v>
      </c>
      <c r="AB532" s="346">
        <f t="shared" si="231"/>
        <v>-84.079439364156315</v>
      </c>
      <c r="AD532">
        <f t="shared" si="235"/>
        <v>0</v>
      </c>
      <c r="AE532">
        <f t="shared" si="212"/>
        <v>0</v>
      </c>
    </row>
    <row r="533" spans="1:31" x14ac:dyDescent="0.2">
      <c r="A533" s="347">
        <v>77625</v>
      </c>
      <c r="B533" s="364">
        <f t="shared" si="232"/>
        <v>77.625</v>
      </c>
      <c r="C533" s="337">
        <f t="shared" si="213"/>
        <v>8.6635453847836406</v>
      </c>
      <c r="D533" s="338">
        <f t="shared" si="214"/>
        <v>1.4551122841564206</v>
      </c>
      <c r="E533" s="338">
        <f t="shared" si="215"/>
        <v>1.0000105096049512</v>
      </c>
      <c r="F533" s="339">
        <f t="shared" si="216"/>
        <v>4.5846511118740694E-3</v>
      </c>
      <c r="G533" s="338">
        <f t="shared" si="217"/>
        <v>1</v>
      </c>
      <c r="H533" s="339">
        <f t="shared" si="218"/>
        <v>0</v>
      </c>
      <c r="I533" s="337">
        <f t="shared" si="219"/>
        <v>146723.38829982743</v>
      </c>
      <c r="J533" s="340">
        <f t="shared" si="220"/>
        <v>1.5707895112489119</v>
      </c>
      <c r="K533" s="348">
        <f t="shared" si="210"/>
        <v>13.561734232073187</v>
      </c>
      <c r="L533" s="349">
        <f t="shared" si="211"/>
        <v>1.4969924610636922</v>
      </c>
      <c r="M533" s="337">
        <f t="shared" si="221"/>
        <v>1.0024551595141014</v>
      </c>
      <c r="N533" s="340">
        <f t="shared" si="222"/>
        <v>7.0002097711736377E-2</v>
      </c>
      <c r="O533" s="341">
        <f t="shared" si="223"/>
        <v>0.99468979684016967</v>
      </c>
      <c r="P533" s="342">
        <f t="shared" si="224"/>
        <v>1.7667103840192384E-2</v>
      </c>
      <c r="Q533" s="343">
        <f t="shared" si="225"/>
        <v>-2.2564565123575901</v>
      </c>
      <c r="R533" s="344">
        <f t="shared" si="226"/>
        <v>-92.360446304426191</v>
      </c>
      <c r="S533" s="346">
        <f t="shared" si="227"/>
        <v>87.639553695573809</v>
      </c>
      <c r="U533" s="319">
        <f t="shared" si="233"/>
        <v>77625</v>
      </c>
      <c r="V533" s="319">
        <f t="shared" si="234"/>
        <v>6025640625</v>
      </c>
      <c r="X533" s="345">
        <f t="shared" si="228"/>
        <v>17.002242924639244</v>
      </c>
      <c r="Y533" s="346">
        <f t="shared" si="229"/>
        <v>-8.2390842814876333</v>
      </c>
      <c r="AA533" s="345">
        <f t="shared" si="230"/>
        <v>16.751474526604635</v>
      </c>
      <c r="AB533" s="346">
        <f t="shared" si="231"/>
        <v>-84.12136202293857</v>
      </c>
      <c r="AD533">
        <f t="shared" si="235"/>
        <v>0</v>
      </c>
      <c r="AE533">
        <f t="shared" si="212"/>
        <v>0</v>
      </c>
    </row>
    <row r="534" spans="1:31" x14ac:dyDescent="0.2">
      <c r="A534" s="347">
        <v>78077</v>
      </c>
      <c r="B534" s="364">
        <f t="shared" si="232"/>
        <v>78.076999999999998</v>
      </c>
      <c r="C534" s="337">
        <f t="shared" si="213"/>
        <v>8.7133218600831679</v>
      </c>
      <c r="D534" s="338">
        <f t="shared" si="214"/>
        <v>1.4557760892097187</v>
      </c>
      <c r="E534" s="338">
        <f t="shared" si="215"/>
        <v>1.0000106323526847</v>
      </c>
      <c r="F534" s="339">
        <f t="shared" si="216"/>
        <v>4.6113465451831778E-3</v>
      </c>
      <c r="G534" s="338">
        <f t="shared" si="217"/>
        <v>1</v>
      </c>
      <c r="H534" s="339">
        <f t="shared" si="218"/>
        <v>0</v>
      </c>
      <c r="I534" s="337">
        <f t="shared" si="219"/>
        <v>147577.73897948541</v>
      </c>
      <c r="J534" s="340">
        <f t="shared" si="220"/>
        <v>1.5707895507051766</v>
      </c>
      <c r="K534" s="348">
        <f t="shared" si="210"/>
        <v>13.6402742739954</v>
      </c>
      <c r="L534" s="349">
        <f t="shared" si="211"/>
        <v>1.4974181867487644</v>
      </c>
      <c r="M534" s="337">
        <f t="shared" si="221"/>
        <v>1.0024837993653783</v>
      </c>
      <c r="N534" s="340">
        <f t="shared" si="222"/>
        <v>7.0408368663994983E-2</v>
      </c>
      <c r="O534" s="341">
        <f t="shared" si="223"/>
        <v>0.99462778552288245</v>
      </c>
      <c r="P534" s="342">
        <f t="shared" si="224"/>
        <v>1.777109583156003E-2</v>
      </c>
      <c r="Q534" s="343">
        <f t="shared" si="225"/>
        <v>-2.3061967345545935</v>
      </c>
      <c r="R534" s="344">
        <f t="shared" si="226"/>
        <v>-92.401795885590204</v>
      </c>
      <c r="S534" s="346">
        <f t="shared" si="227"/>
        <v>87.598204114409796</v>
      </c>
      <c r="U534" s="319">
        <f t="shared" si="233"/>
        <v>78077</v>
      </c>
      <c r="V534" s="319">
        <f t="shared" si="234"/>
        <v>6096017929</v>
      </c>
      <c r="X534" s="345">
        <f t="shared" si="228"/>
        <v>17.001722157265156</v>
      </c>
      <c r="Y534" s="346">
        <f t="shared" si="229"/>
        <v>-8.2379718680820311</v>
      </c>
      <c r="AA534" s="345">
        <f t="shared" si="230"/>
        <v>16.702255071781718</v>
      </c>
      <c r="AB534" s="346">
        <f t="shared" si="231"/>
        <v>-84.163824017508176</v>
      </c>
      <c r="AD534">
        <f t="shared" si="235"/>
        <v>0</v>
      </c>
      <c r="AE534">
        <f t="shared" si="212"/>
        <v>0</v>
      </c>
    </row>
    <row r="535" spans="1:31" x14ac:dyDescent="0.2">
      <c r="A535" s="347">
        <v>78529</v>
      </c>
      <c r="B535" s="364">
        <f t="shared" si="232"/>
        <v>78.528999999999996</v>
      </c>
      <c r="C535" s="337">
        <f t="shared" si="213"/>
        <v>8.7631021311774813</v>
      </c>
      <c r="D535" s="338">
        <f t="shared" si="214"/>
        <v>1.4564323528376291</v>
      </c>
      <c r="E535" s="338">
        <f t="shared" si="215"/>
        <v>1.000010755813072</v>
      </c>
      <c r="F535" s="339">
        <f t="shared" si="216"/>
        <v>4.6380419719197243E-3</v>
      </c>
      <c r="G535" s="338">
        <f t="shared" si="217"/>
        <v>1</v>
      </c>
      <c r="H535" s="339">
        <f t="shared" si="218"/>
        <v>0</v>
      </c>
      <c r="I535" s="337">
        <f t="shared" si="219"/>
        <v>148432.08965914362</v>
      </c>
      <c r="J535" s="340">
        <f t="shared" si="220"/>
        <v>1.5707895897072337</v>
      </c>
      <c r="K535" s="348">
        <f t="shared" ref="K535:K598" si="236">SQRT(1+(A535/Zero2)^2)</f>
        <v>13.718816759806268</v>
      </c>
      <c r="L535" s="349">
        <f t="shared" ref="L535:L598" si="237">ATAN(A535/Zero2)</f>
        <v>1.4978390378100352</v>
      </c>
      <c r="M535" s="337">
        <f t="shared" si="221"/>
        <v>1.0025126046732382</v>
      </c>
      <c r="N535" s="340">
        <f t="shared" si="222"/>
        <v>7.0814616336445757E-2</v>
      </c>
      <c r="O535" s="341">
        <f t="shared" si="223"/>
        <v>0.99456541440288126</v>
      </c>
      <c r="P535" s="342">
        <f t="shared" si="224"/>
        <v>1.7875107450339961E-2</v>
      </c>
      <c r="Q535" s="343">
        <f t="shared" si="225"/>
        <v>-2.3556508193481687</v>
      </c>
      <c r="R535" s="344">
        <f t="shared" si="226"/>
        <v>-92.442992435363877</v>
      </c>
      <c r="S535" s="346">
        <f t="shared" si="227"/>
        <v>87.557007564636123</v>
      </c>
      <c r="U535" s="319">
        <f t="shared" si="233"/>
        <v>78529</v>
      </c>
      <c r="V535" s="319">
        <f t="shared" si="234"/>
        <v>6166803841</v>
      </c>
      <c r="X535" s="345">
        <f t="shared" si="228"/>
        <v>17.001204640635216</v>
      </c>
      <c r="Y535" s="346">
        <f t="shared" si="229"/>
        <v>-8.2371373901883693</v>
      </c>
      <c r="AA535" s="345">
        <f t="shared" si="230"/>
        <v>16.653318503618081</v>
      </c>
      <c r="AB535" s="346">
        <f t="shared" si="231"/>
        <v>-84.205855045175539</v>
      </c>
      <c r="AD535">
        <f t="shared" si="235"/>
        <v>0</v>
      </c>
      <c r="AE535">
        <f t="shared" si="212"/>
        <v>0</v>
      </c>
    </row>
    <row r="536" spans="1:31" x14ac:dyDescent="0.2">
      <c r="A536" s="347">
        <v>78981</v>
      </c>
      <c r="B536" s="364">
        <f t="shared" si="232"/>
        <v>78.980999999999995</v>
      </c>
      <c r="C536" s="337">
        <f t="shared" si="213"/>
        <v>8.8128861337440529</v>
      </c>
      <c r="D536" s="338">
        <f t="shared" si="214"/>
        <v>1.457081202274584</v>
      </c>
      <c r="E536" s="338">
        <f t="shared" si="215"/>
        <v>1.0000108799861125</v>
      </c>
      <c r="F536" s="339">
        <f t="shared" si="216"/>
        <v>4.6647373920456611E-3</v>
      </c>
      <c r="G536" s="338">
        <f t="shared" si="217"/>
        <v>1</v>
      </c>
      <c r="H536" s="339">
        <f t="shared" si="218"/>
        <v>0</v>
      </c>
      <c r="I536" s="337">
        <f t="shared" si="219"/>
        <v>149286.44033880206</v>
      </c>
      <c r="J536" s="340">
        <f t="shared" si="220"/>
        <v>1.5707896282628817</v>
      </c>
      <c r="K536" s="348">
        <f t="shared" si="236"/>
        <v>13.797361647769748</v>
      </c>
      <c r="L536" s="349">
        <f t="shared" si="237"/>
        <v>1.4982550973471374</v>
      </c>
      <c r="M536" s="337">
        <f t="shared" si="221"/>
        <v>1.0025415754234193</v>
      </c>
      <c r="N536" s="340">
        <f t="shared" si="222"/>
        <v>7.12208405970092E-2</v>
      </c>
      <c r="O536" s="341">
        <f t="shared" si="223"/>
        <v>0.99450268348425142</v>
      </c>
      <c r="P536" s="342">
        <f t="shared" si="224"/>
        <v>1.7979138814241322E-2</v>
      </c>
      <c r="Q536" s="343">
        <f t="shared" si="225"/>
        <v>-2.4048219562946724</v>
      </c>
      <c r="R536" s="344">
        <f t="shared" si="226"/>
        <v>-92.484038482110634</v>
      </c>
      <c r="S536" s="346">
        <f t="shared" si="227"/>
        <v>87.515961517889366</v>
      </c>
      <c r="U536" s="319">
        <f t="shared" si="233"/>
        <v>78981</v>
      </c>
      <c r="V536" s="319">
        <f t="shared" si="234"/>
        <v>6237998361</v>
      </c>
      <c r="X536" s="345">
        <f t="shared" si="228"/>
        <v>17.000690268704517</v>
      </c>
      <c r="Y536" s="346">
        <f t="shared" si="229"/>
        <v>-8.2365760794276213</v>
      </c>
      <c r="AA536" s="345">
        <f t="shared" si="230"/>
        <v>16.604661738602275</v>
      </c>
      <c r="AB536" s="346">
        <f t="shared" si="231"/>
        <v>-84.247462402683027</v>
      </c>
      <c r="AD536">
        <f t="shared" si="235"/>
        <v>0</v>
      </c>
      <c r="AE536">
        <f t="shared" si="212"/>
        <v>0</v>
      </c>
    </row>
    <row r="537" spans="1:31" x14ac:dyDescent="0.2">
      <c r="A537" s="347">
        <v>79433</v>
      </c>
      <c r="B537" s="364">
        <f t="shared" si="232"/>
        <v>79.433000000000007</v>
      </c>
      <c r="C537" s="337">
        <f t="shared" si="213"/>
        <v>8.8626738049008633</v>
      </c>
      <c r="D537" s="338">
        <f t="shared" si="214"/>
        <v>1.45772276192126</v>
      </c>
      <c r="E537" s="338">
        <f t="shared" si="215"/>
        <v>1.0000110048718061</v>
      </c>
      <c r="F537" s="339">
        <f t="shared" si="216"/>
        <v>4.6914328055229449E-3</v>
      </c>
      <c r="G537" s="338">
        <f t="shared" si="217"/>
        <v>1</v>
      </c>
      <c r="H537" s="339">
        <f t="shared" si="218"/>
        <v>0</v>
      </c>
      <c r="I537" s="337">
        <f t="shared" si="219"/>
        <v>150140.7910184607</v>
      </c>
      <c r="J537" s="340">
        <f t="shared" si="220"/>
        <v>1.5707896663797407</v>
      </c>
      <c r="K537" s="348">
        <f t="shared" si="236"/>
        <v>13.875908897093526</v>
      </c>
      <c r="L537" s="349">
        <f t="shared" si="237"/>
        <v>1.4986664465848196</v>
      </c>
      <c r="M537" s="337">
        <f t="shared" si="221"/>
        <v>1.002570711601579</v>
      </c>
      <c r="N537" s="340">
        <f t="shared" si="222"/>
        <v>7.1627041313651982E-2</v>
      </c>
      <c r="O537" s="341">
        <f t="shared" si="223"/>
        <v>0.99443959277110294</v>
      </c>
      <c r="P537" s="342">
        <f t="shared" si="224"/>
        <v>1.8083190041045027E-2</v>
      </c>
      <c r="Q537" s="343">
        <f t="shared" si="225"/>
        <v>-2.4537132819501632</v>
      </c>
      <c r="R537" s="344">
        <f t="shared" si="226"/>
        <v>-92.524936499251083</v>
      </c>
      <c r="S537" s="346">
        <f t="shared" si="227"/>
        <v>87.475063500748917</v>
      </c>
      <c r="U537" s="319">
        <f t="shared" si="233"/>
        <v>79433</v>
      </c>
      <c r="V537" s="319">
        <f t="shared" si="234"/>
        <v>6309601489</v>
      </c>
      <c r="X537" s="345">
        <f t="shared" si="228"/>
        <v>17.000178938429301</v>
      </c>
      <c r="Y537" s="346">
        <f t="shared" si="229"/>
        <v>-8.2362832748361381</v>
      </c>
      <c r="AA537" s="345">
        <f t="shared" si="230"/>
        <v>16.556281743221998</v>
      </c>
      <c r="AB537" s="346">
        <f t="shared" si="231"/>
        <v>-84.288653224414929</v>
      </c>
      <c r="AD537">
        <f t="shared" si="235"/>
        <v>0</v>
      </c>
      <c r="AE537">
        <f t="shared" si="212"/>
        <v>0</v>
      </c>
    </row>
    <row r="538" spans="1:31" x14ac:dyDescent="0.2">
      <c r="A538" s="347">
        <v>79895.5</v>
      </c>
      <c r="B538" s="364">
        <f t="shared" si="232"/>
        <v>79.895499999999998</v>
      </c>
      <c r="C538" s="337">
        <f t="shared" si="213"/>
        <v>8.9136217813523242</v>
      </c>
      <c r="D538" s="338">
        <f t="shared" si="214"/>
        <v>1.45837180615968</v>
      </c>
      <c r="E538" s="338">
        <f t="shared" si="215"/>
        <v>1.0000111333962829</v>
      </c>
      <c r="F538" s="339">
        <f t="shared" si="216"/>
        <v>4.7187483488959235E-3</v>
      </c>
      <c r="G538" s="338">
        <f t="shared" si="217"/>
        <v>1</v>
      </c>
      <c r="H538" s="339">
        <f t="shared" si="218"/>
        <v>0</v>
      </c>
      <c r="I538" s="337">
        <f t="shared" si="219"/>
        <v>151014.9883400143</v>
      </c>
      <c r="J538" s="340">
        <f t="shared" si="220"/>
        <v>1.5707897049356296</v>
      </c>
      <c r="K538" s="348">
        <f t="shared" si="236"/>
        <v>13.956283208660066</v>
      </c>
      <c r="L538" s="349">
        <f t="shared" si="237"/>
        <v>1.4990825586165439</v>
      </c>
      <c r="M538" s="337">
        <f t="shared" si="221"/>
        <v>1.0026006958376652</v>
      </c>
      <c r="N538" s="340">
        <f t="shared" si="222"/>
        <v>7.204265360054575E-2</v>
      </c>
      <c r="O538" s="341">
        <f t="shared" si="223"/>
        <v>0.99437466403073282</v>
      </c>
      <c r="P538" s="342">
        <f t="shared" si="224"/>
        <v>1.8189679070379241E-2</v>
      </c>
      <c r="Q538" s="343">
        <f t="shared" si="225"/>
        <v>-2.5034539380269534</v>
      </c>
      <c r="R538" s="344">
        <f t="shared" si="226"/>
        <v>-92.566633877292446</v>
      </c>
      <c r="S538" s="346">
        <f t="shared" si="227"/>
        <v>87.433366122707554</v>
      </c>
      <c r="U538" s="319">
        <f t="shared" si="233"/>
        <v>79895.5</v>
      </c>
      <c r="V538" s="319">
        <f t="shared" si="234"/>
        <v>6383290920.25</v>
      </c>
      <c r="X538" s="345">
        <f t="shared" si="228"/>
        <v>16.999658773923937</v>
      </c>
      <c r="Y538" s="346">
        <f t="shared" si="229"/>
        <v>-8.2362568506562024</v>
      </c>
      <c r="AA538" s="345">
        <f t="shared" si="230"/>
        <v>16.507061251650576</v>
      </c>
      <c r="AB538" s="346">
        <f t="shared" si="231"/>
        <v>-84.33037702663627</v>
      </c>
      <c r="AD538">
        <f t="shared" si="235"/>
        <v>0</v>
      </c>
      <c r="AE538">
        <f t="shared" ref="AE538:AE601" si="238">IF(AD538&gt;0,S538,0)</f>
        <v>0</v>
      </c>
    </row>
    <row r="539" spans="1:31" x14ac:dyDescent="0.2">
      <c r="A539" s="347">
        <v>80358</v>
      </c>
      <c r="B539" s="364">
        <f t="shared" si="232"/>
        <v>80.358000000000004</v>
      </c>
      <c r="C539" s="337">
        <f t="shared" si="213"/>
        <v>8.9645734700605697</v>
      </c>
      <c r="D539" s="338">
        <f t="shared" si="214"/>
        <v>1.4590134727576669</v>
      </c>
      <c r="E539" s="338">
        <f t="shared" si="215"/>
        <v>1.0000112626669067</v>
      </c>
      <c r="F539" s="339">
        <f t="shared" si="216"/>
        <v>4.7460638852271676E-3</v>
      </c>
      <c r="G539" s="338">
        <f t="shared" si="217"/>
        <v>1</v>
      </c>
      <c r="H539" s="339">
        <f t="shared" si="218"/>
        <v>0</v>
      </c>
      <c r="I539" s="337">
        <f t="shared" si="219"/>
        <v>151889.1856615681</v>
      </c>
      <c r="J539" s="340">
        <f t="shared" si="220"/>
        <v>1.5707897430477018</v>
      </c>
      <c r="K539" s="348">
        <f t="shared" si="236"/>
        <v>14.036659909071837</v>
      </c>
      <c r="L539" s="349">
        <f t="shared" si="237"/>
        <v>1.4994939052386607</v>
      </c>
      <c r="M539" s="337">
        <f t="shared" si="221"/>
        <v>1.0026308532461763</v>
      </c>
      <c r="N539" s="340">
        <f t="shared" si="222"/>
        <v>7.2458240957418832E-2</v>
      </c>
      <c r="O539" s="341">
        <f t="shared" si="223"/>
        <v>0.99430935859435532</v>
      </c>
      <c r="P539" s="342">
        <f t="shared" si="224"/>
        <v>1.8296189145898357E-2</v>
      </c>
      <c r="Q539" s="343">
        <f t="shared" si="225"/>
        <v>-2.552908110995495</v>
      </c>
      <c r="R539" s="344">
        <f t="shared" si="226"/>
        <v>-92.608181337979516</v>
      </c>
      <c r="S539" s="346">
        <f t="shared" si="227"/>
        <v>87.391818662020484</v>
      </c>
      <c r="U539" s="319">
        <f t="shared" si="233"/>
        <v>80358</v>
      </c>
      <c r="V539" s="319">
        <f t="shared" si="234"/>
        <v>6457408164</v>
      </c>
      <c r="X539" s="345">
        <f t="shared" si="228"/>
        <v>16.999141584943377</v>
      </c>
      <c r="Y539" s="346">
        <f t="shared" si="229"/>
        <v>-8.236502010520935</v>
      </c>
      <c r="AA539" s="345">
        <f t="shared" si="230"/>
        <v>16.458124267662598</v>
      </c>
      <c r="AB539" s="346">
        <f t="shared" si="231"/>
        <v>-84.37167932745858</v>
      </c>
      <c r="AD539">
        <f t="shared" si="235"/>
        <v>0</v>
      </c>
      <c r="AE539">
        <f t="shared" si="238"/>
        <v>0</v>
      </c>
    </row>
    <row r="540" spans="1:31" x14ac:dyDescent="0.2">
      <c r="A540" s="347">
        <v>80820.5</v>
      </c>
      <c r="B540" s="364">
        <f t="shared" si="232"/>
        <v>80.820499999999996</v>
      </c>
      <c r="C540" s="337">
        <f t="shared" si="213"/>
        <v>9.0155288080856089</v>
      </c>
      <c r="D540" s="338">
        <f t="shared" si="214"/>
        <v>1.4596478862765088</v>
      </c>
      <c r="E540" s="338">
        <f t="shared" si="215"/>
        <v>1.0000113926836773</v>
      </c>
      <c r="F540" s="339">
        <f t="shared" si="216"/>
        <v>4.7733794144759183E-3</v>
      </c>
      <c r="G540" s="338">
        <f t="shared" si="217"/>
        <v>1</v>
      </c>
      <c r="H540" s="339">
        <f t="shared" si="218"/>
        <v>0</v>
      </c>
      <c r="I540" s="337">
        <f t="shared" si="219"/>
        <v>152763.38298312214</v>
      </c>
      <c r="J540" s="340">
        <f t="shared" si="220"/>
        <v>1.5707897807235771</v>
      </c>
      <c r="K540" s="348">
        <f t="shared" si="236"/>
        <v>14.117038957525489</v>
      </c>
      <c r="L540" s="349">
        <f t="shared" si="237"/>
        <v>1.4999005677100752</v>
      </c>
      <c r="M540" s="337">
        <f t="shared" si="221"/>
        <v>1.0026611838114865</v>
      </c>
      <c r="N540" s="340">
        <f t="shared" si="222"/>
        <v>7.2873803242972712E-2</v>
      </c>
      <c r="O540" s="341">
        <f t="shared" si="223"/>
        <v>0.99424367646645495</v>
      </c>
      <c r="P540" s="342">
        <f t="shared" si="224"/>
        <v>1.8402720394019866E-2</v>
      </c>
      <c r="Q540" s="343">
        <f t="shared" si="225"/>
        <v>-2.6020789962667101</v>
      </c>
      <c r="R540" s="344">
        <f t="shared" si="226"/>
        <v>-92.649581361942282</v>
      </c>
      <c r="S540" s="346">
        <f t="shared" si="227"/>
        <v>87.350418638057718</v>
      </c>
      <c r="U540" s="319">
        <f t="shared" si="233"/>
        <v>80820.5</v>
      </c>
      <c r="V540" s="319">
        <f t="shared" si="234"/>
        <v>6531953220.25</v>
      </c>
      <c r="X540" s="345">
        <f t="shared" si="228"/>
        <v>16.998627270206899</v>
      </c>
      <c r="Y540" s="346">
        <f t="shared" si="229"/>
        <v>-8.2370140909788034</v>
      </c>
      <c r="AA540" s="345">
        <f t="shared" si="230"/>
        <v>16.409467697127859</v>
      </c>
      <c r="AB540" s="346">
        <f t="shared" si="231"/>
        <v>-84.412567270963478</v>
      </c>
      <c r="AD540">
        <f t="shared" si="235"/>
        <v>0</v>
      </c>
      <c r="AE540">
        <f t="shared" si="238"/>
        <v>0</v>
      </c>
    </row>
    <row r="541" spans="1:31" x14ac:dyDescent="0.2">
      <c r="A541" s="347">
        <v>81283</v>
      </c>
      <c r="B541" s="364">
        <f t="shared" si="232"/>
        <v>81.283000000000001</v>
      </c>
      <c r="C541" s="337">
        <f t="shared" si="213"/>
        <v>9.0664877338979402</v>
      </c>
      <c r="D541" s="338">
        <f t="shared" si="214"/>
        <v>1.4602751685007231</v>
      </c>
      <c r="E541" s="338">
        <f t="shared" si="215"/>
        <v>1.0000115234465943</v>
      </c>
      <c r="F541" s="339">
        <f t="shared" si="216"/>
        <v>4.8006949366014157E-3</v>
      </c>
      <c r="G541" s="338">
        <f t="shared" si="217"/>
        <v>1</v>
      </c>
      <c r="H541" s="339">
        <f t="shared" si="218"/>
        <v>0</v>
      </c>
      <c r="I541" s="337">
        <f t="shared" si="219"/>
        <v>153637.58030467638</v>
      </c>
      <c r="J541" s="340">
        <f t="shared" si="220"/>
        <v>1.5707898179707012</v>
      </c>
      <c r="K541" s="348">
        <f t="shared" si="236"/>
        <v>14.19742031414053</v>
      </c>
      <c r="L541" s="349">
        <f t="shared" si="237"/>
        <v>1.5003026254557206</v>
      </c>
      <c r="M541" s="337">
        <f t="shared" si="221"/>
        <v>1.0026916875178824</v>
      </c>
      <c r="N541" s="340">
        <f t="shared" si="222"/>
        <v>7.3289340315960488E-2</v>
      </c>
      <c r="O541" s="341">
        <f t="shared" si="223"/>
        <v>0.99417761765154311</v>
      </c>
      <c r="P541" s="342">
        <f t="shared" si="224"/>
        <v>1.8509272941241911E-2</v>
      </c>
      <c r="Q541" s="343">
        <f t="shared" si="225"/>
        <v>-2.6509697360855689</v>
      </c>
      <c r="R541" s="344">
        <f t="shared" si="226"/>
        <v>-92.690836375790113</v>
      </c>
      <c r="S541" s="346">
        <f t="shared" si="227"/>
        <v>87.309163624209887</v>
      </c>
      <c r="U541" s="319">
        <f t="shared" si="233"/>
        <v>81283</v>
      </c>
      <c r="V541" s="319">
        <f t="shared" si="234"/>
        <v>6606926089</v>
      </c>
      <c r="X541" s="345">
        <f t="shared" si="228"/>
        <v>16.998115731301759</v>
      </c>
      <c r="Y541" s="346">
        <f t="shared" si="229"/>
        <v>-8.237788533650086</v>
      </c>
      <c r="AA541" s="345">
        <f t="shared" si="230"/>
        <v>16.361088496214141</v>
      </c>
      <c r="AB541" s="346">
        <f t="shared" si="231"/>
        <v>-84.453047842140009</v>
      </c>
      <c r="AD541">
        <f t="shared" si="235"/>
        <v>0</v>
      </c>
      <c r="AE541">
        <f t="shared" si="238"/>
        <v>0</v>
      </c>
    </row>
    <row r="542" spans="1:31" x14ac:dyDescent="0.2">
      <c r="A542" s="347">
        <v>81756.25</v>
      </c>
      <c r="B542" s="364">
        <f t="shared" si="232"/>
        <v>81.756249999999994</v>
      </c>
      <c r="C542" s="337">
        <f t="shared" si="213"/>
        <v>9.1186347615163061</v>
      </c>
      <c r="D542" s="338">
        <f t="shared" si="214"/>
        <v>1.4609097731531182</v>
      </c>
      <c r="E542" s="338">
        <f t="shared" si="215"/>
        <v>1.0000116580212275</v>
      </c>
      <c r="F542" s="339">
        <f t="shared" si="216"/>
        <v>4.8286453526359451E-3</v>
      </c>
      <c r="G542" s="338">
        <f t="shared" si="217"/>
        <v>1</v>
      </c>
      <c r="H542" s="339">
        <f t="shared" si="218"/>
        <v>0</v>
      </c>
      <c r="I542" s="337">
        <f t="shared" si="219"/>
        <v>154532.09680721833</v>
      </c>
      <c r="J542" s="340">
        <f t="shared" si="220"/>
        <v>1.5707898556473443</v>
      </c>
      <c r="K542" s="348">
        <f t="shared" si="236"/>
        <v>14.279672342777641</v>
      </c>
      <c r="L542" s="349">
        <f t="shared" si="237"/>
        <v>1.5007093427970017</v>
      </c>
      <c r="M542" s="337">
        <f t="shared" si="221"/>
        <v>1.0027230794372577</v>
      </c>
      <c r="N542" s="340">
        <f t="shared" si="222"/>
        <v>7.371450957251513E-2</v>
      </c>
      <c r="O542" s="341">
        <f t="shared" si="223"/>
        <v>0.9941096334983579</v>
      </c>
      <c r="P542" s="342">
        <f t="shared" si="224"/>
        <v>1.8618324294723706E-2</v>
      </c>
      <c r="Q542" s="343">
        <f t="shared" si="225"/>
        <v>-2.7007100901955368</v>
      </c>
      <c r="R542" s="344">
        <f t="shared" si="226"/>
        <v>-92.732902661091785</v>
      </c>
      <c r="S542" s="346">
        <f t="shared" si="227"/>
        <v>87.267097338908215</v>
      </c>
      <c r="U542" s="319">
        <f t="shared" si="233"/>
        <v>81756.25</v>
      </c>
      <c r="V542" s="319">
        <f t="shared" si="234"/>
        <v>6684084414.0625</v>
      </c>
      <c r="X542" s="345">
        <f t="shared" si="228"/>
        <v>16.997595076181288</v>
      </c>
      <c r="Y542" s="346">
        <f t="shared" si="229"/>
        <v>-8.2388479092330389</v>
      </c>
      <c r="AA542" s="345">
        <f t="shared" si="230"/>
        <v>16.311868797224641</v>
      </c>
      <c r="AB542" s="346">
        <f t="shared" si="231"/>
        <v>-84.494054751858755</v>
      </c>
      <c r="AD542">
        <f t="shared" si="235"/>
        <v>0</v>
      </c>
      <c r="AE542">
        <f t="shared" si="238"/>
        <v>0</v>
      </c>
    </row>
    <row r="543" spans="1:31" x14ac:dyDescent="0.2">
      <c r="A543" s="347">
        <v>82229.5</v>
      </c>
      <c r="B543" s="364">
        <f t="shared" si="232"/>
        <v>82.229500000000002</v>
      </c>
      <c r="C543" s="337">
        <f t="shared" si="213"/>
        <v>9.17078541965558</v>
      </c>
      <c r="D543" s="338">
        <f t="shared" si="214"/>
        <v>1.461537160560499</v>
      </c>
      <c r="E543" s="338">
        <f t="shared" si="215"/>
        <v>1.0000117933770953</v>
      </c>
      <c r="F543" s="339">
        <f t="shared" si="216"/>
        <v>4.8565957611258932E-3</v>
      </c>
      <c r="G543" s="338">
        <f t="shared" si="217"/>
        <v>1</v>
      </c>
      <c r="H543" s="339">
        <f t="shared" si="218"/>
        <v>0</v>
      </c>
      <c r="I543" s="337">
        <f t="shared" si="219"/>
        <v>155426.61330976049</v>
      </c>
      <c r="J543" s="340">
        <f t="shared" si="220"/>
        <v>1.5707898928903117</v>
      </c>
      <c r="K543" s="348">
        <f t="shared" si="236"/>
        <v>14.361926706487342</v>
      </c>
      <c r="L543" s="349">
        <f t="shared" si="237"/>
        <v>1.501111401459297</v>
      </c>
      <c r="M543" s="337">
        <f t="shared" si="221"/>
        <v>1.0027546526064095</v>
      </c>
      <c r="N543" s="340">
        <f t="shared" si="222"/>
        <v>7.4139652131789996E-2</v>
      </c>
      <c r="O543" s="341">
        <f t="shared" si="223"/>
        <v>0.99404125495344675</v>
      </c>
      <c r="P543" s="342">
        <f t="shared" si="224"/>
        <v>1.8727398217166246E-2</v>
      </c>
      <c r="Q543" s="343">
        <f t="shared" si="225"/>
        <v>-2.7501636155397922</v>
      </c>
      <c r="R543" s="344">
        <f t="shared" si="226"/>
        <v>-92.774822090407497</v>
      </c>
      <c r="S543" s="346">
        <f t="shared" si="227"/>
        <v>87.225177909592503</v>
      </c>
      <c r="U543" s="319">
        <f t="shared" si="233"/>
        <v>82229.5</v>
      </c>
      <c r="V543" s="319">
        <f t="shared" si="234"/>
        <v>6761690670.25</v>
      </c>
      <c r="X543" s="345">
        <f t="shared" si="228"/>
        <v>16.997077127738244</v>
      </c>
      <c r="Y543" s="346">
        <f t="shared" si="229"/>
        <v>-8.2401726529710508</v>
      </c>
      <c r="AA543" s="345">
        <f t="shared" si="230"/>
        <v>16.262933220323433</v>
      </c>
      <c r="AB543" s="346">
        <f t="shared" si="231"/>
        <v>-84.534649437436471</v>
      </c>
      <c r="AD543">
        <f t="shared" si="235"/>
        <v>0</v>
      </c>
      <c r="AE543">
        <f t="shared" si="238"/>
        <v>0</v>
      </c>
    </row>
    <row r="544" spans="1:31" x14ac:dyDescent="0.2">
      <c r="A544" s="347">
        <v>82702.75</v>
      </c>
      <c r="B544" s="364">
        <f t="shared" si="232"/>
        <v>82.702749999999995</v>
      </c>
      <c r="C544" s="337">
        <f t="shared" si="213"/>
        <v>9.2229396467299534</v>
      </c>
      <c r="D544" s="338">
        <f t="shared" si="214"/>
        <v>1.4621574526617778</v>
      </c>
      <c r="E544" s="338">
        <f t="shared" si="215"/>
        <v>1.0000119295141976</v>
      </c>
      <c r="F544" s="339">
        <f t="shared" si="216"/>
        <v>4.8845461620275936E-3</v>
      </c>
      <c r="G544" s="338">
        <f t="shared" si="217"/>
        <v>1</v>
      </c>
      <c r="H544" s="339">
        <f t="shared" si="218"/>
        <v>0</v>
      </c>
      <c r="I544" s="337">
        <f t="shared" si="219"/>
        <v>156321.12981230285</v>
      </c>
      <c r="J544" s="340">
        <f t="shared" si="220"/>
        <v>1.570789929707048</v>
      </c>
      <c r="K544" s="348">
        <f t="shared" si="236"/>
        <v>14.444183365377462</v>
      </c>
      <c r="L544" s="349">
        <f t="shared" si="237"/>
        <v>1.5015088809021577</v>
      </c>
      <c r="M544" s="337">
        <f t="shared" si="221"/>
        <v>1.002786407008218</v>
      </c>
      <c r="N544" s="340">
        <f t="shared" si="222"/>
        <v>7.4564767842628332E-2</v>
      </c>
      <c r="O544" s="341">
        <f t="shared" si="223"/>
        <v>0.99397248202173227</v>
      </c>
      <c r="P544" s="342">
        <f t="shared" si="224"/>
        <v>1.8836494844360445E-2</v>
      </c>
      <c r="Q544" s="343">
        <f t="shared" si="225"/>
        <v>-2.7993335132423782</v>
      </c>
      <c r="R544" s="344">
        <f t="shared" si="226"/>
        <v>-92.816597097173997</v>
      </c>
      <c r="S544" s="346">
        <f t="shared" si="227"/>
        <v>87.183402902826003</v>
      </c>
      <c r="U544" s="319">
        <f t="shared" si="233"/>
        <v>82702.75</v>
      </c>
      <c r="V544" s="319">
        <f t="shared" si="234"/>
        <v>6839744857.5625</v>
      </c>
      <c r="X544" s="345">
        <f t="shared" si="228"/>
        <v>16.996561789245142</v>
      </c>
      <c r="Y544" s="346">
        <f t="shared" si="229"/>
        <v>-8.241758203933081</v>
      </c>
      <c r="AA544" s="345">
        <f t="shared" si="230"/>
        <v>16.214278661113944</v>
      </c>
      <c r="AB544" s="346">
        <f t="shared" si="231"/>
        <v>-84.574838893240951</v>
      </c>
      <c r="AD544">
        <f t="shared" si="235"/>
        <v>0</v>
      </c>
      <c r="AE544">
        <f t="shared" si="238"/>
        <v>0</v>
      </c>
    </row>
    <row r="545" spans="1:31" x14ac:dyDescent="0.2">
      <c r="A545" s="347">
        <v>83176</v>
      </c>
      <c r="B545" s="364">
        <f t="shared" si="232"/>
        <v>83.176000000000002</v>
      </c>
      <c r="C545" s="337">
        <f t="shared" si="213"/>
        <v>9.2750973825346552</v>
      </c>
      <c r="D545" s="338">
        <f t="shared" si="214"/>
        <v>1.4627707686751372</v>
      </c>
      <c r="E545" s="338">
        <f t="shared" si="215"/>
        <v>1.000012066432534</v>
      </c>
      <c r="F545" s="339">
        <f t="shared" si="216"/>
        <v>4.9124965552973764E-3</v>
      </c>
      <c r="G545" s="338">
        <f t="shared" si="217"/>
        <v>1</v>
      </c>
      <c r="H545" s="339">
        <f t="shared" si="218"/>
        <v>0</v>
      </c>
      <c r="I545" s="337">
        <f t="shared" si="219"/>
        <v>157215.64631484545</v>
      </c>
      <c r="J545" s="340">
        <f t="shared" si="220"/>
        <v>1.5707899661048288</v>
      </c>
      <c r="K545" s="348">
        <f t="shared" si="236"/>
        <v>14.526442280458307</v>
      </c>
      <c r="L545" s="349">
        <f t="shared" si="237"/>
        <v>1.5019018587911757</v>
      </c>
      <c r="M545" s="337">
        <f t="shared" si="221"/>
        <v>1.0028183426254664</v>
      </c>
      <c r="N545" s="340">
        <f t="shared" si="222"/>
        <v>7.4989856553931256E-2</v>
      </c>
      <c r="O545" s="341">
        <f t="shared" si="223"/>
        <v>0.99390331470816773</v>
      </c>
      <c r="P545" s="342">
        <f t="shared" si="224"/>
        <v>1.8945614312187848E-2</v>
      </c>
      <c r="Q545" s="343">
        <f t="shared" si="225"/>
        <v>-2.8482229310997642</v>
      </c>
      <c r="R545" s="344">
        <f t="shared" si="226"/>
        <v>-92.858230061726871</v>
      </c>
      <c r="S545" s="346">
        <f t="shared" si="227"/>
        <v>87.141769938273129</v>
      </c>
      <c r="U545" s="319">
        <f t="shared" si="233"/>
        <v>83176</v>
      </c>
      <c r="V545" s="319">
        <f t="shared" si="234"/>
        <v>6918246976</v>
      </c>
      <c r="X545" s="345">
        <f t="shared" si="228"/>
        <v>16.996048966715339</v>
      </c>
      <c r="Y545" s="346">
        <f t="shared" si="229"/>
        <v>-8.2436001039680296</v>
      </c>
      <c r="AA545" s="345">
        <f t="shared" si="230"/>
        <v>16.165902065786362</v>
      </c>
      <c r="AB545" s="346">
        <f t="shared" si="231"/>
        <v>-84.614629957758822</v>
      </c>
      <c r="AD545">
        <f t="shared" si="235"/>
        <v>0</v>
      </c>
      <c r="AE545">
        <f t="shared" si="238"/>
        <v>0</v>
      </c>
    </row>
    <row r="546" spans="1:31" x14ac:dyDescent="0.2">
      <c r="A546" s="347">
        <v>83660.5</v>
      </c>
      <c r="B546" s="364">
        <f t="shared" si="232"/>
        <v>83.660499999999999</v>
      </c>
      <c r="C546" s="337">
        <f t="shared" si="213"/>
        <v>9.3284985745061721</v>
      </c>
      <c r="D546" s="338">
        <f t="shared" si="214"/>
        <v>1.4633915592014242</v>
      </c>
      <c r="E546" s="338">
        <f t="shared" si="215"/>
        <v>1.0000122074149758</v>
      </c>
      <c r="F546" s="339">
        <f t="shared" si="216"/>
        <v>4.9411113715171701E-3</v>
      </c>
      <c r="G546" s="338">
        <f t="shared" si="217"/>
        <v>1</v>
      </c>
      <c r="H546" s="339">
        <f t="shared" si="218"/>
        <v>0</v>
      </c>
      <c r="I546" s="337">
        <f t="shared" si="219"/>
        <v>158131.4270765612</v>
      </c>
      <c r="J546" s="340">
        <f t="shared" si="220"/>
        <v>1.5707900029412611</v>
      </c>
      <c r="K546" s="348">
        <f t="shared" si="236"/>
        <v>14.61065893474942</v>
      </c>
      <c r="L546" s="349">
        <f t="shared" si="237"/>
        <v>1.5022995943908084</v>
      </c>
      <c r="M546" s="337">
        <f t="shared" si="221"/>
        <v>1.0028512251198161</v>
      </c>
      <c r="N546" s="340">
        <f t="shared" si="222"/>
        <v>7.542502225754058E-2</v>
      </c>
      <c r="O546" s="341">
        <f t="shared" si="223"/>
        <v>0.99383209461287114</v>
      </c>
      <c r="P546" s="342">
        <f t="shared" si="224"/>
        <v>1.9057351548684823E-2</v>
      </c>
      <c r="Q546" s="343">
        <f t="shared" si="225"/>
        <v>-2.8979872096040675</v>
      </c>
      <c r="R546" s="344">
        <f t="shared" si="226"/>
        <v>-92.900708000314864</v>
      </c>
      <c r="S546" s="346">
        <f t="shared" si="227"/>
        <v>87.099291999685136</v>
      </c>
      <c r="U546" s="319">
        <f t="shared" si="233"/>
        <v>83660.5</v>
      </c>
      <c r="V546" s="319">
        <f t="shared" si="234"/>
        <v>6999079260.25</v>
      </c>
      <c r="X546" s="345">
        <f t="shared" si="228"/>
        <v>16.995526464508725</v>
      </c>
      <c r="Y546" s="346">
        <f t="shared" si="229"/>
        <v>-8.2457468015271775</v>
      </c>
      <c r="AA546" s="345">
        <f t="shared" si="230"/>
        <v>16.116660289488674</v>
      </c>
      <c r="AB546" s="346">
        <f t="shared" si="231"/>
        <v>-84.65496119878766</v>
      </c>
      <c r="AD546">
        <f t="shared" si="235"/>
        <v>0</v>
      </c>
      <c r="AE546">
        <f t="shared" si="238"/>
        <v>0</v>
      </c>
    </row>
    <row r="547" spans="1:31" x14ac:dyDescent="0.2">
      <c r="A547" s="347">
        <v>84145</v>
      </c>
      <c r="B547" s="364">
        <f t="shared" si="232"/>
        <v>84.144999999999996</v>
      </c>
      <c r="C547" s="337">
        <f t="shared" si="213"/>
        <v>9.3819033205765496</v>
      </c>
      <c r="D547" s="338">
        <f t="shared" si="214"/>
        <v>1.4640052824919281</v>
      </c>
      <c r="E547" s="338">
        <f t="shared" si="215"/>
        <v>1.0000123492162349</v>
      </c>
      <c r="F547" s="339">
        <f t="shared" si="216"/>
        <v>4.969726179645262E-3</v>
      </c>
      <c r="G547" s="338">
        <f t="shared" si="217"/>
        <v>1</v>
      </c>
      <c r="H547" s="339">
        <f t="shared" si="218"/>
        <v>0</v>
      </c>
      <c r="I547" s="337">
        <f t="shared" si="219"/>
        <v>159047.20783827716</v>
      </c>
      <c r="J547" s="340">
        <f t="shared" si="220"/>
        <v>1.570790039353491</v>
      </c>
      <c r="K547" s="348">
        <f t="shared" si="236"/>
        <v>14.694877873860799</v>
      </c>
      <c r="L547" s="349">
        <f t="shared" si="237"/>
        <v>1.502692771066183</v>
      </c>
      <c r="M547" s="337">
        <f t="shared" si="221"/>
        <v>1.0028842975108152</v>
      </c>
      <c r="N547" s="340">
        <f t="shared" si="222"/>
        <v>7.5860159342389016E-2</v>
      </c>
      <c r="O547" s="341">
        <f t="shared" si="223"/>
        <v>0.99376046117313688</v>
      </c>
      <c r="P547" s="342">
        <f t="shared" si="224"/>
        <v>1.916911301316394E-2</v>
      </c>
      <c r="Q547" s="343">
        <f t="shared" si="225"/>
        <v>-2.9474640254117674</v>
      </c>
      <c r="R547" s="344">
        <f t="shared" si="226"/>
        <v>-92.943041947824085</v>
      </c>
      <c r="S547" s="346">
        <f t="shared" si="227"/>
        <v>87.056958052175915</v>
      </c>
      <c r="U547" s="319">
        <f t="shared" si="233"/>
        <v>84145</v>
      </c>
      <c r="V547" s="319">
        <f t="shared" si="234"/>
        <v>7080381025</v>
      </c>
      <c r="X547" s="345">
        <f t="shared" si="228"/>
        <v>16.995006408354229</v>
      </c>
      <c r="Y547" s="346">
        <f t="shared" si="229"/>
        <v>-8.2481530421665177</v>
      </c>
      <c r="AA547" s="345">
        <f t="shared" si="230"/>
        <v>16.06770352983547</v>
      </c>
      <c r="AB547" s="346">
        <f t="shared" si="231"/>
        <v>-84.694888905657578</v>
      </c>
      <c r="AD547">
        <f t="shared" si="235"/>
        <v>0</v>
      </c>
      <c r="AE547">
        <f t="shared" si="238"/>
        <v>0</v>
      </c>
    </row>
    <row r="548" spans="1:31" x14ac:dyDescent="0.2">
      <c r="A548" s="347">
        <v>84629.5</v>
      </c>
      <c r="B548" s="364">
        <f t="shared" si="232"/>
        <v>84.629499999999993</v>
      </c>
      <c r="C548" s="337">
        <f t="shared" si="213"/>
        <v>9.4353115603961921</v>
      </c>
      <c r="D548" s="338">
        <f t="shared" si="214"/>
        <v>1.4646120580918507</v>
      </c>
      <c r="E548" s="338">
        <f t="shared" si="215"/>
        <v>1.0000124918363114</v>
      </c>
      <c r="F548" s="339">
        <f t="shared" si="216"/>
        <v>4.9983409796347921E-3</v>
      </c>
      <c r="G548" s="338">
        <f t="shared" si="217"/>
        <v>1</v>
      </c>
      <c r="H548" s="339">
        <f t="shared" si="218"/>
        <v>0</v>
      </c>
      <c r="I548" s="337">
        <f t="shared" si="219"/>
        <v>159962.98859999335</v>
      </c>
      <c r="J548" s="340">
        <f t="shared" si="220"/>
        <v>1.5707900753488042</v>
      </c>
      <c r="K548" s="348">
        <f t="shared" si="236"/>
        <v>14.779099058732182</v>
      </c>
      <c r="L548" s="349">
        <f t="shared" si="237"/>
        <v>1.5030814666340802</v>
      </c>
      <c r="M548" s="337">
        <f t="shared" si="221"/>
        <v>1.0029175597796773</v>
      </c>
      <c r="N548" s="340">
        <f t="shared" si="222"/>
        <v>7.6295267646534548E-2</v>
      </c>
      <c r="O548" s="341">
        <f t="shared" si="223"/>
        <v>0.99368841439437827</v>
      </c>
      <c r="P548" s="342">
        <f t="shared" si="224"/>
        <v>1.928089885172829E-2</v>
      </c>
      <c r="Q548" s="343">
        <f t="shared" si="225"/>
        <v>-2.9966565900326545</v>
      </c>
      <c r="R548" s="344">
        <f t="shared" si="226"/>
        <v>-92.985234294629663</v>
      </c>
      <c r="S548" s="346">
        <f t="shared" si="227"/>
        <v>87.014765705370337</v>
      </c>
      <c r="U548" s="319">
        <f t="shared" si="233"/>
        <v>84629.5</v>
      </c>
      <c r="V548" s="319">
        <f t="shared" si="234"/>
        <v>7162152270.25</v>
      </c>
      <c r="X548" s="345">
        <f t="shared" si="228"/>
        <v>16.994488705738974</v>
      </c>
      <c r="Y548" s="346">
        <f t="shared" si="229"/>
        <v>-8.2508143584517661</v>
      </c>
      <c r="AA548" s="345">
        <f t="shared" si="230"/>
        <v>16.019028667829836</v>
      </c>
      <c r="AB548" s="346">
        <f t="shared" si="231"/>
        <v>-84.734419936177886</v>
      </c>
      <c r="AD548">
        <f t="shared" si="235"/>
        <v>0</v>
      </c>
      <c r="AE548">
        <f t="shared" si="238"/>
        <v>0</v>
      </c>
    </row>
    <row r="549" spans="1:31" x14ac:dyDescent="0.2">
      <c r="A549" s="347">
        <v>85114</v>
      </c>
      <c r="B549" s="364">
        <f t="shared" si="232"/>
        <v>85.114000000000004</v>
      </c>
      <c r="C549" s="337">
        <f t="shared" si="213"/>
        <v>9.488723234970335</v>
      </c>
      <c r="D549" s="338">
        <f t="shared" si="214"/>
        <v>1.4652120028754607</v>
      </c>
      <c r="E549" s="338">
        <f t="shared" si="215"/>
        <v>1.0000126352752043</v>
      </c>
      <c r="F549" s="339">
        <f t="shared" si="216"/>
        <v>5.0269557714389072E-3</v>
      </c>
      <c r="G549" s="338">
        <f t="shared" si="217"/>
        <v>1</v>
      </c>
      <c r="H549" s="339">
        <f t="shared" si="218"/>
        <v>0</v>
      </c>
      <c r="I549" s="337">
        <f t="shared" si="219"/>
        <v>160878.76936170974</v>
      </c>
      <c r="J549" s="340">
        <f t="shared" si="220"/>
        <v>1.5707901109343205</v>
      </c>
      <c r="K549" s="348">
        <f t="shared" si="236"/>
        <v>14.863322451187608</v>
      </c>
      <c r="L549" s="349">
        <f t="shared" si="237"/>
        <v>1.5034657571529648</v>
      </c>
      <c r="M549" s="337">
        <f t="shared" si="221"/>
        <v>1.0029510119075111</v>
      </c>
      <c r="N549" s="340">
        <f t="shared" si="222"/>
        <v>7.6730347008100108E-2</v>
      </c>
      <c r="O549" s="341">
        <f t="shared" si="223"/>
        <v>0.99361595428204119</v>
      </c>
      <c r="P549" s="342">
        <f t="shared" si="224"/>
        <v>1.9392709210583021E-2</v>
      </c>
      <c r="Q549" s="343">
        <f t="shared" si="225"/>
        <v>-3.0455680613845231</v>
      </c>
      <c r="R549" s="344">
        <f t="shared" si="226"/>
        <v>-93.027287378817505</v>
      </c>
      <c r="S549" s="346">
        <f t="shared" si="227"/>
        <v>86.972712621182495</v>
      </c>
      <c r="U549" s="319">
        <f t="shared" si="233"/>
        <v>85114</v>
      </c>
      <c r="V549" s="319">
        <f t="shared" si="234"/>
        <v>7244392996</v>
      </c>
      <c r="X549" s="345">
        <f t="shared" si="228"/>
        <v>16.99397326677466</v>
      </c>
      <c r="Y549" s="346">
        <f t="shared" si="229"/>
        <v>-8.2537263836869563</v>
      </c>
      <c r="AA549" s="345">
        <f t="shared" si="230"/>
        <v>15.970632635442284</v>
      </c>
      <c r="AB549" s="346">
        <f t="shared" si="231"/>
        <v>-84.773560995130552</v>
      </c>
      <c r="AD549">
        <f t="shared" si="235"/>
        <v>0</v>
      </c>
      <c r="AE549">
        <f t="shared" si="238"/>
        <v>0</v>
      </c>
    </row>
    <row r="550" spans="1:31" x14ac:dyDescent="0.2">
      <c r="A550" s="347">
        <v>85609.5</v>
      </c>
      <c r="B550" s="364">
        <f t="shared" si="232"/>
        <v>85.609499999999997</v>
      </c>
      <c r="C550" s="337">
        <f t="shared" si="213"/>
        <v>9.5433510510150104</v>
      </c>
      <c r="D550" s="338">
        <f t="shared" si="214"/>
        <v>1.4658186225691983</v>
      </c>
      <c r="E550" s="338">
        <f t="shared" si="215"/>
        <v>1.0000127828176208</v>
      </c>
      <c r="F550" s="339">
        <f t="shared" si="216"/>
        <v>5.0562202197637031E-3</v>
      </c>
      <c r="G550" s="338">
        <f t="shared" si="217"/>
        <v>1</v>
      </c>
      <c r="H550" s="339">
        <f t="shared" si="218"/>
        <v>0</v>
      </c>
      <c r="I550" s="337">
        <f t="shared" si="219"/>
        <v>161815.34184350658</v>
      </c>
      <c r="J550" s="340">
        <f t="shared" si="220"/>
        <v>1.5707901469111563</v>
      </c>
      <c r="K550" s="348">
        <f t="shared" si="236"/>
        <v>14.94946028069756</v>
      </c>
      <c r="L550" s="349">
        <f t="shared" si="237"/>
        <v>1.5038542938052528</v>
      </c>
      <c r="M550" s="337">
        <f t="shared" si="221"/>
        <v>1.0029854198802708</v>
      </c>
      <c r="N550" s="340">
        <f t="shared" si="222"/>
        <v>7.7175274228136817E-2</v>
      </c>
      <c r="O550" s="341">
        <f t="shared" si="223"/>
        <v>0.99354142153770197</v>
      </c>
      <c r="P550" s="342">
        <f t="shared" si="224"/>
        <v>1.9507083605657428E-2</v>
      </c>
      <c r="Q550" s="343">
        <f t="shared" si="225"/>
        <v>-3.0953025074148499</v>
      </c>
      <c r="R550" s="344">
        <f t="shared" si="226"/>
        <v>-93.070153570687694</v>
      </c>
      <c r="S550" s="346">
        <f t="shared" si="227"/>
        <v>86.929846429312306</v>
      </c>
      <c r="U550" s="319">
        <f t="shared" si="233"/>
        <v>85609.5</v>
      </c>
      <c r="V550" s="319">
        <f t="shared" si="234"/>
        <v>7328986490.25</v>
      </c>
      <c r="X550" s="345">
        <f t="shared" si="228"/>
        <v>16.993448375683748</v>
      </c>
      <c r="Y550" s="346">
        <f t="shared" si="229"/>
        <v>-8.2569593865478552</v>
      </c>
      <c r="AA550" s="345">
        <f t="shared" si="230"/>
        <v>15.921423080502867</v>
      </c>
      <c r="AB550" s="346">
        <f t="shared" si="231"/>
        <v>-84.81319418413986</v>
      </c>
      <c r="AD550">
        <f t="shared" si="235"/>
        <v>0</v>
      </c>
      <c r="AE550">
        <f t="shared" si="238"/>
        <v>0</v>
      </c>
    </row>
    <row r="551" spans="1:31" x14ac:dyDescent="0.2">
      <c r="A551" s="347">
        <v>86105</v>
      </c>
      <c r="B551" s="364">
        <f t="shared" si="232"/>
        <v>86.105000000000004</v>
      </c>
      <c r="C551" s="337">
        <f t="shared" si="213"/>
        <v>9.5979823389165233</v>
      </c>
      <c r="D551" s="338">
        <f t="shared" si="214"/>
        <v>1.4664183367769885</v>
      </c>
      <c r="E551" s="338">
        <f t="shared" si="215"/>
        <v>1.0000129312164561</v>
      </c>
      <c r="F551" s="339">
        <f t="shared" si="216"/>
        <v>5.0854846594280542E-3</v>
      </c>
      <c r="G551" s="338">
        <f t="shared" si="217"/>
        <v>1</v>
      </c>
      <c r="H551" s="339">
        <f t="shared" si="218"/>
        <v>0</v>
      </c>
      <c r="I551" s="337">
        <f t="shared" si="219"/>
        <v>162751.9143253036</v>
      </c>
      <c r="J551" s="340">
        <f t="shared" si="220"/>
        <v>1.5707901824739272</v>
      </c>
      <c r="K551" s="348">
        <f t="shared" si="236"/>
        <v>15.035600341130891</v>
      </c>
      <c r="L551" s="349">
        <f t="shared" si="237"/>
        <v>1.5042383786048434</v>
      </c>
      <c r="M551" s="337">
        <f t="shared" si="221"/>
        <v>1.0030200263906108</v>
      </c>
      <c r="N551" s="340">
        <f t="shared" si="222"/>
        <v>7.7620170834204361E-2</v>
      </c>
      <c r="O551" s="341">
        <f t="shared" si="223"/>
        <v>0.99346645648985366</v>
      </c>
      <c r="P551" s="342">
        <f t="shared" si="224"/>
        <v>1.9621483956710047E-2</v>
      </c>
      <c r="Q551" s="343">
        <f t="shared" si="225"/>
        <v>-3.1447494658275108</v>
      </c>
      <c r="R551" s="344">
        <f t="shared" si="226"/>
        <v>-93.112878889616852</v>
      </c>
      <c r="S551" s="346">
        <f t="shared" si="227"/>
        <v>86.887121110383148</v>
      </c>
      <c r="U551" s="319">
        <f t="shared" si="233"/>
        <v>86105</v>
      </c>
      <c r="V551" s="319">
        <f t="shared" si="234"/>
        <v>7414071025</v>
      </c>
      <c r="X551" s="345">
        <f t="shared" si="228"/>
        <v>16.992925670056891</v>
      </c>
      <c r="Y551" s="346">
        <f t="shared" si="229"/>
        <v>-8.260445684004214</v>
      </c>
      <c r="AA551" s="345">
        <f t="shared" si="230"/>
        <v>15.872498827717063</v>
      </c>
      <c r="AB551" s="346">
        <f t="shared" si="231"/>
        <v>-84.852433205612655</v>
      </c>
      <c r="AD551">
        <f t="shared" si="235"/>
        <v>0</v>
      </c>
      <c r="AE551">
        <f t="shared" si="238"/>
        <v>0</v>
      </c>
    </row>
    <row r="552" spans="1:31" x14ac:dyDescent="0.2">
      <c r="A552" s="347">
        <v>86600.5</v>
      </c>
      <c r="B552" s="364">
        <f t="shared" si="232"/>
        <v>86.600499999999997</v>
      </c>
      <c r="C552" s="337">
        <f t="shared" si="213"/>
        <v>9.6526170397254685</v>
      </c>
      <c r="D552" s="338">
        <f t="shared" si="214"/>
        <v>1.4670112623208018</v>
      </c>
      <c r="E552" s="338">
        <f t="shared" si="215"/>
        <v>1.0000130804717093</v>
      </c>
      <c r="F552" s="339">
        <f t="shared" si="216"/>
        <v>5.1147490903818392E-3</v>
      </c>
      <c r="G552" s="338">
        <f t="shared" si="217"/>
        <v>1</v>
      </c>
      <c r="H552" s="339">
        <f t="shared" si="218"/>
        <v>0</v>
      </c>
      <c r="I552" s="337">
        <f t="shared" si="219"/>
        <v>163688.48680710082</v>
      </c>
      <c r="J552" s="340">
        <f t="shared" si="220"/>
        <v>1.5707902176297408</v>
      </c>
      <c r="K552" s="348">
        <f t="shared" si="236"/>
        <v>15.121742594362653</v>
      </c>
      <c r="L552" s="349">
        <f t="shared" si="237"/>
        <v>1.5046180875184738</v>
      </c>
      <c r="M552" s="337">
        <f t="shared" si="221"/>
        <v>1.0030548314179821</v>
      </c>
      <c r="N552" s="340">
        <f t="shared" si="222"/>
        <v>7.8065036653361147E-2</v>
      </c>
      <c r="O552" s="341">
        <f t="shared" si="223"/>
        <v>0.9933910591444296</v>
      </c>
      <c r="P552" s="342">
        <f t="shared" si="224"/>
        <v>1.9735910420467528E-2</v>
      </c>
      <c r="Q552" s="343">
        <f t="shared" si="225"/>
        <v>-3.1939121481964743</v>
      </c>
      <c r="R552" s="344">
        <f t="shared" si="226"/>
        <v>-93.155465675918492</v>
      </c>
      <c r="S552" s="346">
        <f t="shared" si="227"/>
        <v>86.844534324081508</v>
      </c>
      <c r="U552" s="319">
        <f t="shared" si="233"/>
        <v>86600.5</v>
      </c>
      <c r="V552" s="319">
        <f t="shared" si="234"/>
        <v>7499646600.25</v>
      </c>
      <c r="X552" s="345">
        <f t="shared" si="228"/>
        <v>16.992405061697493</v>
      </c>
      <c r="Y552" s="346">
        <f t="shared" si="229"/>
        <v>-8.2641809139810167</v>
      </c>
      <c r="AA552" s="345">
        <f t="shared" si="230"/>
        <v>15.823856753707497</v>
      </c>
      <c r="AB552" s="346">
        <f t="shared" si="231"/>
        <v>-84.891284761937456</v>
      </c>
      <c r="AD552">
        <f t="shared" si="235"/>
        <v>0</v>
      </c>
      <c r="AE552">
        <f t="shared" si="238"/>
        <v>0</v>
      </c>
    </row>
    <row r="553" spans="1:31" x14ac:dyDescent="0.2">
      <c r="A553" s="347">
        <v>87096</v>
      </c>
      <c r="B553" s="364">
        <f t="shared" si="232"/>
        <v>87.096000000000004</v>
      </c>
      <c r="C553" s="337">
        <f t="shared" si="213"/>
        <v>9.7072550958159241</v>
      </c>
      <c r="D553" s="338">
        <f t="shared" si="214"/>
        <v>1.467597513411782</v>
      </c>
      <c r="E553" s="338">
        <f t="shared" si="215"/>
        <v>1.0000132305833807</v>
      </c>
      <c r="F553" s="339">
        <f t="shared" si="216"/>
        <v>5.1440135125749376E-3</v>
      </c>
      <c r="G553" s="338">
        <f t="shared" si="217"/>
        <v>1</v>
      </c>
      <c r="H553" s="339">
        <f t="shared" si="218"/>
        <v>0</v>
      </c>
      <c r="I553" s="337">
        <f t="shared" si="219"/>
        <v>164625.05928889831</v>
      </c>
      <c r="J553" s="340">
        <f t="shared" si="220"/>
        <v>1.5707902523855428</v>
      </c>
      <c r="K553" s="348">
        <f t="shared" si="236"/>
        <v>15.20788700313075</v>
      </c>
      <c r="L553" s="349">
        <f t="shared" si="237"/>
        <v>1.5049934947967529</v>
      </c>
      <c r="M553" s="337">
        <f t="shared" si="221"/>
        <v>1.0030898349417197</v>
      </c>
      <c r="N553" s="340">
        <f t="shared" si="222"/>
        <v>7.8509871512738222E-2</v>
      </c>
      <c r="O553" s="341">
        <f t="shared" si="223"/>
        <v>0.99331522950740037</v>
      </c>
      <c r="P553" s="342">
        <f t="shared" si="224"/>
        <v>1.985036315377102E-2</v>
      </c>
      <c r="Q553" s="343">
        <f t="shared" si="225"/>
        <v>-3.2427937124690738</v>
      </c>
      <c r="R553" s="344">
        <f t="shared" si="226"/>
        <v>-93.197916218645062</v>
      </c>
      <c r="S553" s="346">
        <f t="shared" si="227"/>
        <v>86.802083781354938</v>
      </c>
      <c r="U553" s="319">
        <f t="shared" si="233"/>
        <v>87096</v>
      </c>
      <c r="V553" s="319">
        <f t="shared" si="234"/>
        <v>7585713216</v>
      </c>
      <c r="X553" s="345">
        <f t="shared" si="228"/>
        <v>16.991886464911712</v>
      </c>
      <c r="Y553" s="346">
        <f t="shared" si="229"/>
        <v>-8.2681608127250499</v>
      </c>
      <c r="AA553" s="345">
        <f t="shared" si="230"/>
        <v>15.775493786220682</v>
      </c>
      <c r="AB553" s="346">
        <f t="shared" si="231"/>
        <v>-84.929755405919991</v>
      </c>
      <c r="AD553">
        <f t="shared" si="235"/>
        <v>0</v>
      </c>
      <c r="AE553">
        <f t="shared" si="238"/>
        <v>0</v>
      </c>
    </row>
    <row r="554" spans="1:31" x14ac:dyDescent="0.2">
      <c r="A554" s="347">
        <v>87603.25</v>
      </c>
      <c r="B554" s="364">
        <f t="shared" si="232"/>
        <v>87.603250000000003</v>
      </c>
      <c r="C554" s="337">
        <f t="shared" si="213"/>
        <v>9.7631922238815125</v>
      </c>
      <c r="D554" s="338">
        <f t="shared" si="214"/>
        <v>1.4681908693561527</v>
      </c>
      <c r="E554" s="338">
        <f t="shared" si="215"/>
        <v>1.0000133851418342</v>
      </c>
      <c r="F554" s="339">
        <f t="shared" si="216"/>
        <v>5.1739718851984947E-3</v>
      </c>
      <c r="G554" s="338">
        <f t="shared" si="217"/>
        <v>1</v>
      </c>
      <c r="H554" s="339">
        <f t="shared" si="218"/>
        <v>0</v>
      </c>
      <c r="I554" s="337">
        <f t="shared" si="219"/>
        <v>165583.84110805442</v>
      </c>
      <c r="J554" s="340">
        <f t="shared" si="220"/>
        <v>1.5707902875582578</v>
      </c>
      <c r="K554" s="348">
        <f t="shared" si="236"/>
        <v>15.296076385305033</v>
      </c>
      <c r="L554" s="349">
        <f t="shared" si="237"/>
        <v>1.5053734241802266</v>
      </c>
      <c r="M554" s="337">
        <f t="shared" si="221"/>
        <v>1.0031258741097682</v>
      </c>
      <c r="N554" s="340">
        <f t="shared" si="222"/>
        <v>7.8965222678183372E-2</v>
      </c>
      <c r="O554" s="341">
        <f t="shared" si="223"/>
        <v>0.99323715390673251</v>
      </c>
      <c r="P554" s="342">
        <f t="shared" si="224"/>
        <v>1.9967557328112097E-2</v>
      </c>
      <c r="Q554" s="343">
        <f t="shared" si="225"/>
        <v>-3.2925464712448478</v>
      </c>
      <c r="R554" s="344">
        <f t="shared" si="226"/>
        <v>-93.241234618355278</v>
      </c>
      <c r="S554" s="346">
        <f t="shared" si="227"/>
        <v>86.758765381644722</v>
      </c>
      <c r="U554" s="319">
        <f t="shared" si="233"/>
        <v>87603.25</v>
      </c>
      <c r="V554" s="319">
        <f t="shared" si="234"/>
        <v>7674329410.5625</v>
      </c>
      <c r="X554" s="345">
        <f t="shared" si="228"/>
        <v>16.99135756718514</v>
      </c>
      <c r="Y554" s="346">
        <f t="shared" si="229"/>
        <v>-8.2724841777684404</v>
      </c>
      <c r="AA554" s="345">
        <f t="shared" si="230"/>
        <v>15.726269925171476</v>
      </c>
      <c r="AB554" s="346">
        <f t="shared" si="231"/>
        <v>-84.968750440586859</v>
      </c>
      <c r="AD554">
        <f t="shared" si="235"/>
        <v>0</v>
      </c>
      <c r="AE554">
        <f t="shared" si="238"/>
        <v>0</v>
      </c>
    </row>
    <row r="555" spans="1:31" x14ac:dyDescent="0.2">
      <c r="A555" s="347">
        <v>88110.5</v>
      </c>
      <c r="B555" s="364">
        <f t="shared" si="232"/>
        <v>88.110500000000002</v>
      </c>
      <c r="C555" s="337">
        <f t="shared" si="213"/>
        <v>9.8191327501226322</v>
      </c>
      <c r="D555" s="338">
        <f t="shared" si="214"/>
        <v>1.4687774646954299</v>
      </c>
      <c r="E555" s="338">
        <f t="shared" si="215"/>
        <v>1.0000135405978039</v>
      </c>
      <c r="F555" s="339">
        <f t="shared" si="216"/>
        <v>5.2039302485346502E-3</v>
      </c>
      <c r="G555" s="338">
        <f t="shared" si="217"/>
        <v>1</v>
      </c>
      <c r="H555" s="339">
        <f t="shared" si="218"/>
        <v>0</v>
      </c>
      <c r="I555" s="337">
        <f t="shared" si="219"/>
        <v>166542.62292721076</v>
      </c>
      <c r="J555" s="340">
        <f t="shared" si="220"/>
        <v>1.570790322325996</v>
      </c>
      <c r="K555" s="348">
        <f t="shared" si="236"/>
        <v>15.384267950098041</v>
      </c>
      <c r="L555" s="349">
        <f t="shared" si="237"/>
        <v>1.5057489976653358</v>
      </c>
      <c r="M555" s="337">
        <f t="shared" si="221"/>
        <v>1.0031621212556641</v>
      </c>
      <c r="N555" s="340">
        <f t="shared" si="222"/>
        <v>7.9420541031724176E-2</v>
      </c>
      <c r="O555" s="341">
        <f t="shared" si="223"/>
        <v>0.99315862528192389</v>
      </c>
      <c r="P555" s="342">
        <f t="shared" si="224"/>
        <v>2.0084779365656887E-2</v>
      </c>
      <c r="Q555" s="343">
        <f t="shared" si="225"/>
        <v>-3.342011151648006</v>
      </c>
      <c r="R555" s="344">
        <f t="shared" si="226"/>
        <v>-93.284414932307811</v>
      </c>
      <c r="S555" s="346">
        <f t="shared" si="227"/>
        <v>86.715585067692189</v>
      </c>
      <c r="U555" s="319">
        <f t="shared" si="233"/>
        <v>88110.5</v>
      </c>
      <c r="V555" s="319">
        <f t="shared" si="234"/>
        <v>7763460210.25</v>
      </c>
      <c r="X555" s="345">
        <f t="shared" si="228"/>
        <v>16.990830603499578</v>
      </c>
      <c r="Y555" s="346">
        <f t="shared" si="229"/>
        <v>-8.2770552142172811</v>
      </c>
      <c r="AA555" s="345">
        <f t="shared" si="230"/>
        <v>15.677332208453883</v>
      </c>
      <c r="AB555" s="346">
        <f t="shared" si="231"/>
        <v>-85.007359718090555</v>
      </c>
      <c r="AD555">
        <f t="shared" si="235"/>
        <v>0</v>
      </c>
      <c r="AE555">
        <f t="shared" si="238"/>
        <v>0</v>
      </c>
    </row>
    <row r="556" spans="1:31" x14ac:dyDescent="0.2">
      <c r="A556" s="347">
        <v>88617.75</v>
      </c>
      <c r="B556" s="364">
        <f t="shared" si="232"/>
        <v>88.617750000000001</v>
      </c>
      <c r="C556" s="337">
        <f t="shared" si="213"/>
        <v>9.8750766167891317</v>
      </c>
      <c r="D556" s="338">
        <f t="shared" si="214"/>
        <v>1.4693574139221386</v>
      </c>
      <c r="E556" s="338">
        <f t="shared" si="215"/>
        <v>1.0000136969512887</v>
      </c>
      <c r="F556" s="339">
        <f t="shared" si="216"/>
        <v>5.2338886025296329E-3</v>
      </c>
      <c r="G556" s="338">
        <f t="shared" si="217"/>
        <v>1</v>
      </c>
      <c r="H556" s="339">
        <f t="shared" si="218"/>
        <v>0</v>
      </c>
      <c r="I556" s="337">
        <f t="shared" si="219"/>
        <v>167501.40474636725</v>
      </c>
      <c r="J556" s="340">
        <f t="shared" si="220"/>
        <v>1.5707903566957113</v>
      </c>
      <c r="K556" s="348">
        <f t="shared" si="236"/>
        <v>15.472461660187612</v>
      </c>
      <c r="L556" s="349">
        <f t="shared" si="237"/>
        <v>1.5061202896316455</v>
      </c>
      <c r="M556" s="337">
        <f t="shared" si="221"/>
        <v>1.0031985763568636</v>
      </c>
      <c r="N556" s="340">
        <f t="shared" si="222"/>
        <v>7.987582638813906E-2</v>
      </c>
      <c r="O556" s="341">
        <f t="shared" si="223"/>
        <v>0.99307964363949863</v>
      </c>
      <c r="P556" s="342">
        <f t="shared" si="224"/>
        <v>2.0202029435048518E-2</v>
      </c>
      <c r="Q556" s="343">
        <f t="shared" si="225"/>
        <v>-3.3911909746230529</v>
      </c>
      <c r="R556" s="344">
        <f t="shared" si="226"/>
        <v>-93.327459458257636</v>
      </c>
      <c r="S556" s="346">
        <f t="shared" si="227"/>
        <v>86.672540541742364</v>
      </c>
      <c r="U556" s="319">
        <f t="shared" si="233"/>
        <v>88617.75</v>
      </c>
      <c r="V556" s="319">
        <f t="shared" si="234"/>
        <v>7853105615.0625</v>
      </c>
      <c r="X556" s="345">
        <f t="shared" si="228"/>
        <v>16.990305489530471</v>
      </c>
      <c r="Y556" s="346">
        <f t="shared" si="229"/>
        <v>-8.2818696502224451</v>
      </c>
      <c r="AA556" s="345">
        <f t="shared" si="230"/>
        <v>15.628677499447942</v>
      </c>
      <c r="AB556" s="346">
        <f t="shared" si="231"/>
        <v>-85.045589808035203</v>
      </c>
      <c r="AD556">
        <f t="shared" si="235"/>
        <v>0</v>
      </c>
      <c r="AE556">
        <f t="shared" si="238"/>
        <v>0</v>
      </c>
    </row>
    <row r="557" spans="1:31" x14ac:dyDescent="0.2">
      <c r="A557" s="347">
        <v>89125</v>
      </c>
      <c r="B557" s="364">
        <f t="shared" si="232"/>
        <v>89.125</v>
      </c>
      <c r="C557" s="337">
        <f t="shared" si="213"/>
        <v>9.9310237674287354</v>
      </c>
      <c r="D557" s="338">
        <f t="shared" si="214"/>
        <v>1.4699308289669104</v>
      </c>
      <c r="E557" s="338">
        <f t="shared" si="215"/>
        <v>1.0000138542022885</v>
      </c>
      <c r="F557" s="339">
        <f t="shared" si="216"/>
        <v>5.2638469471296707E-3</v>
      </c>
      <c r="G557" s="338">
        <f t="shared" si="217"/>
        <v>1</v>
      </c>
      <c r="H557" s="339">
        <f t="shared" si="218"/>
        <v>0</v>
      </c>
      <c r="I557" s="337">
        <f t="shared" si="219"/>
        <v>168460.186565524</v>
      </c>
      <c r="J557" s="340">
        <f t="shared" si="220"/>
        <v>1.5707903906742002</v>
      </c>
      <c r="K557" s="348">
        <f t="shared" si="236"/>
        <v>15.560657479096822</v>
      </c>
      <c r="L557" s="349">
        <f t="shared" si="237"/>
        <v>1.5064873727772092</v>
      </c>
      <c r="M557" s="337">
        <f t="shared" si="221"/>
        <v>1.0032352393906976</v>
      </c>
      <c r="N557" s="340">
        <f t="shared" si="222"/>
        <v>8.033107856228805E-2</v>
      </c>
      <c r="O557" s="341">
        <f t="shared" si="223"/>
        <v>0.99300020898602137</v>
      </c>
      <c r="P557" s="342">
        <f t="shared" si="224"/>
        <v>2.0319307705059068E-2</v>
      </c>
      <c r="Q557" s="343">
        <f t="shared" si="225"/>
        <v>-3.4400891072473878</v>
      </c>
      <c r="R557" s="344">
        <f t="shared" si="226"/>
        <v>-93.370370443520514</v>
      </c>
      <c r="S557" s="346">
        <f t="shared" si="227"/>
        <v>86.629629556479486</v>
      </c>
      <c r="U557" s="319">
        <f t="shared" si="233"/>
        <v>89125</v>
      </c>
      <c r="V557" s="319">
        <f t="shared" si="234"/>
        <v>7943265625</v>
      </c>
      <c r="X557" s="345">
        <f t="shared" si="228"/>
        <v>16.989782143349245</v>
      </c>
      <c r="Y557" s="346">
        <f t="shared" si="229"/>
        <v>-8.2869233102739166</v>
      </c>
      <c r="AA557" s="345">
        <f t="shared" si="230"/>
        <v>15.580302713004832</v>
      </c>
      <c r="AB557" s="346">
        <f t="shared" si="231"/>
        <v>-85.083447133246608</v>
      </c>
      <c r="AD557">
        <f t="shared" si="235"/>
        <v>0</v>
      </c>
      <c r="AE557">
        <f t="shared" si="238"/>
        <v>0</v>
      </c>
    </row>
    <row r="558" spans="1:31" x14ac:dyDescent="0.2">
      <c r="A558" s="347">
        <v>89644</v>
      </c>
      <c r="B558" s="364">
        <f t="shared" si="232"/>
        <v>89.644000000000005</v>
      </c>
      <c r="C558" s="337">
        <f t="shared" si="213"/>
        <v>9.9882702259967662</v>
      </c>
      <c r="D558" s="338">
        <f t="shared" si="214"/>
        <v>1.4705108778255189</v>
      </c>
      <c r="E558" s="338">
        <f t="shared" si="215"/>
        <v>1.0000140160248101</v>
      </c>
      <c r="F558" s="339">
        <f t="shared" si="216"/>
        <v>5.2944992406467172E-3</v>
      </c>
      <c r="G558" s="338">
        <f t="shared" si="217"/>
        <v>1</v>
      </c>
      <c r="H558" s="339">
        <f t="shared" si="218"/>
        <v>0</v>
      </c>
      <c r="I558" s="337">
        <f t="shared" si="219"/>
        <v>169441.17772203937</v>
      </c>
      <c r="J558" s="340">
        <f t="shared" si="220"/>
        <v>1.5707904250417724</v>
      </c>
      <c r="K558" s="348">
        <f t="shared" si="236"/>
        <v>15.650898422036159</v>
      </c>
      <c r="L558" s="349">
        <f t="shared" si="237"/>
        <v>1.5068586770007928</v>
      </c>
      <c r="M558" s="337">
        <f t="shared" si="221"/>
        <v>1.0032729668809641</v>
      </c>
      <c r="N558" s="340">
        <f t="shared" si="222"/>
        <v>8.0796841715404535E-2</v>
      </c>
      <c r="O558" s="341">
        <f t="shared" si="223"/>
        <v>0.992918465432574</v>
      </c>
      <c r="P558" s="342">
        <f t="shared" si="224"/>
        <v>2.0439331987234643E-2</v>
      </c>
      <c r="Q558" s="343">
        <f t="shared" si="225"/>
        <v>-3.48983161653031</v>
      </c>
      <c r="R558" s="344">
        <f t="shared" si="226"/>
        <v>-93.414139499953393</v>
      </c>
      <c r="S558" s="346">
        <f t="shared" si="227"/>
        <v>86.585860500046607</v>
      </c>
      <c r="U558" s="319">
        <f t="shared" si="233"/>
        <v>89644</v>
      </c>
      <c r="V558" s="319">
        <f t="shared" si="234"/>
        <v>8036046736</v>
      </c>
      <c r="X558" s="345">
        <f t="shared" si="228"/>
        <v>16.989248420976711</v>
      </c>
      <c r="Y558" s="346">
        <f t="shared" si="229"/>
        <v>-8.2923373773965068</v>
      </c>
      <c r="AA558" s="345">
        <f t="shared" si="230"/>
        <v>15.531093926094444</v>
      </c>
      <c r="AB558" s="346">
        <f t="shared" si="231"/>
        <v>-85.121802122556915</v>
      </c>
      <c r="AD558">
        <f t="shared" si="235"/>
        <v>0</v>
      </c>
      <c r="AE558">
        <f t="shared" si="238"/>
        <v>0</v>
      </c>
    </row>
    <row r="559" spans="1:31" x14ac:dyDescent="0.2">
      <c r="A559" s="347">
        <v>90163</v>
      </c>
      <c r="B559" s="364">
        <f t="shared" si="232"/>
        <v>90.162999999999997</v>
      </c>
      <c r="C559" s="337">
        <f t="shared" si="213"/>
        <v>10.045520006881992</v>
      </c>
      <c r="D559" s="338">
        <f t="shared" si="214"/>
        <v>1.4710843154364981</v>
      </c>
      <c r="E559" s="338">
        <f t="shared" si="215"/>
        <v>1.0000141787869077</v>
      </c>
      <c r="F559" s="339">
        <f t="shared" si="216"/>
        <v>5.3251515242146424E-3</v>
      </c>
      <c r="G559" s="338">
        <f t="shared" si="217"/>
        <v>1</v>
      </c>
      <c r="H559" s="339">
        <f t="shared" si="218"/>
        <v>0</v>
      </c>
      <c r="I559" s="337">
        <f t="shared" si="219"/>
        <v>170422.16887855498</v>
      </c>
      <c r="J559" s="340">
        <f t="shared" si="220"/>
        <v>1.5707904590136885</v>
      </c>
      <c r="K559" s="348">
        <f t="shared" si="236"/>
        <v>15.741141497975201</v>
      </c>
      <c r="L559" s="349">
        <f t="shared" si="237"/>
        <v>1.5072257239421751</v>
      </c>
      <c r="M559" s="337">
        <f t="shared" si="221"/>
        <v>1.0033109120001718</v>
      </c>
      <c r="N559" s="340">
        <f t="shared" si="222"/>
        <v>8.1262569739314991E-2</v>
      </c>
      <c r="O559" s="341">
        <f t="shared" si="223"/>
        <v>0.99283624765182676</v>
      </c>
      <c r="P559" s="342">
        <f t="shared" si="224"/>
        <v>2.0559386149518574E-2</v>
      </c>
      <c r="Q559" s="343">
        <f t="shared" si="225"/>
        <v>-3.5392857742984423</v>
      </c>
      <c r="R559" s="344">
        <f t="shared" si="226"/>
        <v>-93.457773361251483</v>
      </c>
      <c r="S559" s="346">
        <f t="shared" si="227"/>
        <v>86.542226638748517</v>
      </c>
      <c r="U559" s="319">
        <f t="shared" si="233"/>
        <v>90163</v>
      </c>
      <c r="V559" s="319">
        <f t="shared" si="234"/>
        <v>8129366569</v>
      </c>
      <c r="X559" s="345">
        <f t="shared" si="228"/>
        <v>16.988716383052889</v>
      </c>
      <c r="Y559" s="346">
        <f t="shared" si="229"/>
        <v>-8.297993333397029</v>
      </c>
      <c r="AA559" s="345">
        <f t="shared" si="230"/>
        <v>15.482171806250138</v>
      </c>
      <c r="AB559" s="346">
        <f t="shared" si="231"/>
        <v>-85.159780027854453</v>
      </c>
      <c r="AD559">
        <f t="shared" si="235"/>
        <v>0</v>
      </c>
      <c r="AE559">
        <f t="shared" si="238"/>
        <v>0</v>
      </c>
    </row>
    <row r="560" spans="1:31" x14ac:dyDescent="0.2">
      <c r="A560" s="347">
        <v>90682</v>
      </c>
      <c r="B560" s="364">
        <f t="shared" si="232"/>
        <v>90.682000000000002</v>
      </c>
      <c r="C560" s="337">
        <f t="shared" si="213"/>
        <v>10.102773053604304</v>
      </c>
      <c r="D560" s="338">
        <f t="shared" si="214"/>
        <v>1.4716512538185387</v>
      </c>
      <c r="E560" s="338">
        <f t="shared" si="215"/>
        <v>1.0000143424885806</v>
      </c>
      <c r="F560" s="339">
        <f t="shared" si="216"/>
        <v>5.3558037977758498E-3</v>
      </c>
      <c r="G560" s="338">
        <f t="shared" si="217"/>
        <v>1</v>
      </c>
      <c r="H560" s="339">
        <f t="shared" si="218"/>
        <v>0</v>
      </c>
      <c r="I560" s="337">
        <f t="shared" si="219"/>
        <v>171403.16003507079</v>
      </c>
      <c r="J560" s="340">
        <f t="shared" si="220"/>
        <v>1.5707904925967417</v>
      </c>
      <c r="K560" s="348">
        <f t="shared" si="236"/>
        <v>15.831386670437976</v>
      </c>
      <c r="L560" s="349">
        <f t="shared" si="237"/>
        <v>1.507588586306184</v>
      </c>
      <c r="M560" s="337">
        <f t="shared" si="221"/>
        <v>1.0033490747236296</v>
      </c>
      <c r="N560" s="340">
        <f t="shared" si="222"/>
        <v>8.1728262435981289E-2</v>
      </c>
      <c r="O560" s="341">
        <f t="shared" si="223"/>
        <v>0.99275355565094237</v>
      </c>
      <c r="P560" s="342">
        <f t="shared" si="224"/>
        <v>2.0679470373109552E-2</v>
      </c>
      <c r="Q560" s="343">
        <f t="shared" si="225"/>
        <v>-3.5884548054026055</v>
      </c>
      <c r="R560" s="344">
        <f t="shared" si="226"/>
        <v>-93.501274279360842</v>
      </c>
      <c r="S560" s="346">
        <f t="shared" si="227"/>
        <v>86.498725720639158</v>
      </c>
      <c r="U560" s="319">
        <f t="shared" si="233"/>
        <v>90682</v>
      </c>
      <c r="V560" s="319">
        <f t="shared" si="234"/>
        <v>8223225124</v>
      </c>
      <c r="X560" s="345">
        <f t="shared" si="228"/>
        <v>16.988185949095687</v>
      </c>
      <c r="Y560" s="346">
        <f t="shared" si="229"/>
        <v>-8.3038870016381701</v>
      </c>
      <c r="AA560" s="345">
        <f t="shared" si="230"/>
        <v>15.433533209103171</v>
      </c>
      <c r="AB560" s="346">
        <f t="shared" si="231"/>
        <v>-85.19738727772264</v>
      </c>
      <c r="AD560">
        <f t="shared" si="235"/>
        <v>0</v>
      </c>
      <c r="AE560">
        <f t="shared" si="238"/>
        <v>0</v>
      </c>
    </row>
    <row r="561" spans="1:31" x14ac:dyDescent="0.2">
      <c r="A561" s="347">
        <v>91201</v>
      </c>
      <c r="B561" s="364">
        <f t="shared" si="232"/>
        <v>91.200999999999993</v>
      </c>
      <c r="C561" s="337">
        <f t="shared" si="213"/>
        <v>10.160029310953487</v>
      </c>
      <c r="D561" s="338">
        <f t="shared" si="214"/>
        <v>1.4722118024821611</v>
      </c>
      <c r="E561" s="338">
        <f t="shared" si="215"/>
        <v>1.0000145071298285</v>
      </c>
      <c r="F561" s="339">
        <f t="shared" si="216"/>
        <v>5.3864560612727477E-3</v>
      </c>
      <c r="G561" s="338">
        <f t="shared" si="217"/>
        <v>1</v>
      </c>
      <c r="H561" s="339">
        <f t="shared" si="218"/>
        <v>0</v>
      </c>
      <c r="I561" s="337">
        <f t="shared" si="219"/>
        <v>172384.15119158674</v>
      </c>
      <c r="J561" s="340">
        <f t="shared" si="220"/>
        <v>1.5707905257975712</v>
      </c>
      <c r="K561" s="348">
        <f t="shared" si="236"/>
        <v>15.921633903774653</v>
      </c>
      <c r="L561" s="349">
        <f t="shared" si="237"/>
        <v>1.5079473351536858</v>
      </c>
      <c r="M561" s="337">
        <f t="shared" si="221"/>
        <v>1.0033874550265081</v>
      </c>
      <c r="N561" s="340">
        <f t="shared" si="222"/>
        <v>8.2193919607456659E-2</v>
      </c>
      <c r="O561" s="341">
        <f t="shared" si="223"/>
        <v>0.99267038943712749</v>
      </c>
      <c r="P561" s="342">
        <f t="shared" si="224"/>
        <v>2.0799584839351185E-2</v>
      </c>
      <c r="Q561" s="343">
        <f t="shared" si="225"/>
        <v>-3.6373418807080915</v>
      </c>
      <c r="R561" s="344">
        <f t="shared" si="226"/>
        <v>-93.544644456716782</v>
      </c>
      <c r="S561" s="346">
        <f t="shared" si="227"/>
        <v>86.455355543283218</v>
      </c>
      <c r="U561" s="319">
        <f t="shared" si="233"/>
        <v>91201</v>
      </c>
      <c r="V561" s="319">
        <f t="shared" si="234"/>
        <v>8317622401</v>
      </c>
      <c r="X561" s="345">
        <f t="shared" si="228"/>
        <v>16.987657040911841</v>
      </c>
      <c r="Y561" s="346">
        <f t="shared" si="229"/>
        <v>-8.3100142996710726</v>
      </c>
      <c r="AA561" s="345">
        <f t="shared" si="230"/>
        <v>15.385175041981533</v>
      </c>
      <c r="AB561" s="346">
        <f t="shared" si="231"/>
        <v>-85.2346301570457</v>
      </c>
      <c r="AD561">
        <f t="shared" si="235"/>
        <v>0</v>
      </c>
      <c r="AE561">
        <f t="shared" si="238"/>
        <v>0</v>
      </c>
    </row>
    <row r="562" spans="1:31" x14ac:dyDescent="0.2">
      <c r="A562" s="347">
        <v>91732</v>
      </c>
      <c r="B562" s="364">
        <f t="shared" si="232"/>
        <v>91.731999999999999</v>
      </c>
      <c r="C562" s="337">
        <f t="shared" si="213"/>
        <v>10.218612678954129</v>
      </c>
      <c r="D562" s="338">
        <f t="shared" si="214"/>
        <v>1.47277881042712</v>
      </c>
      <c r="E562" s="338">
        <f t="shared" si="215"/>
        <v>1.0000146765502227</v>
      </c>
      <c r="F562" s="339">
        <f t="shared" si="216"/>
        <v>5.4178170371489446E-3</v>
      </c>
      <c r="G562" s="338">
        <f t="shared" si="217"/>
        <v>1</v>
      </c>
      <c r="H562" s="339">
        <f t="shared" si="218"/>
        <v>0</v>
      </c>
      <c r="I562" s="337">
        <f t="shared" si="219"/>
        <v>173387.82422455415</v>
      </c>
      <c r="J562" s="340">
        <f t="shared" si="220"/>
        <v>1.5707905593772336</v>
      </c>
      <c r="K562" s="348">
        <f t="shared" si="236"/>
        <v>16.013969874906714</v>
      </c>
      <c r="L562" s="349">
        <f t="shared" si="237"/>
        <v>1.5083101939262651</v>
      </c>
      <c r="M562" s="337">
        <f t="shared" si="221"/>
        <v>1.003426947892881</v>
      </c>
      <c r="N562" s="340">
        <f t="shared" si="222"/>
        <v>8.2670306445613087E-2</v>
      </c>
      <c r="O562" s="341">
        <f t="shared" si="223"/>
        <v>0.99258480952625816</v>
      </c>
      <c r="P562" s="342">
        <f t="shared" si="224"/>
        <v>2.0922508007578569E-2</v>
      </c>
      <c r="Q562" s="343">
        <f t="shared" si="225"/>
        <v>-3.6870707346395903</v>
      </c>
      <c r="R562" s="344">
        <f t="shared" si="226"/>
        <v>-93.588884349135341</v>
      </c>
      <c r="S562" s="346">
        <f t="shared" si="227"/>
        <v>86.411115650864659</v>
      </c>
      <c r="U562" s="319">
        <f t="shared" si="233"/>
        <v>91732</v>
      </c>
      <c r="V562" s="319">
        <f t="shared" si="234"/>
        <v>8414759824</v>
      </c>
      <c r="X562" s="345">
        <f t="shared" si="228"/>
        <v>16.987117403505081</v>
      </c>
      <c r="Y562" s="346">
        <f t="shared" si="229"/>
        <v>-8.3165209026653031</v>
      </c>
      <c r="AA562" s="345">
        <f t="shared" si="230"/>
        <v>15.335985825456792</v>
      </c>
      <c r="AB562" s="346">
        <f t="shared" si="231"/>
        <v>-85.272363446470024</v>
      </c>
      <c r="AD562">
        <f t="shared" si="235"/>
        <v>0</v>
      </c>
      <c r="AE562">
        <f t="shared" si="238"/>
        <v>0</v>
      </c>
    </row>
    <row r="563" spans="1:31" x14ac:dyDescent="0.2">
      <c r="A563" s="347">
        <v>92263</v>
      </c>
      <c r="B563" s="364">
        <f t="shared" si="232"/>
        <v>92.263000000000005</v>
      </c>
      <c r="C563" s="337">
        <f t="shared" si="213"/>
        <v>10.27719929476366</v>
      </c>
      <c r="D563" s="338">
        <f t="shared" si="214"/>
        <v>1.4733393539339745</v>
      </c>
      <c r="E563" s="338">
        <f t="shared" si="215"/>
        <v>1.0000148469541419</v>
      </c>
      <c r="F563" s="339">
        <f t="shared" si="216"/>
        <v>5.4491780023680787E-3</v>
      </c>
      <c r="G563" s="338">
        <f t="shared" si="217"/>
        <v>1</v>
      </c>
      <c r="H563" s="339">
        <f t="shared" si="218"/>
        <v>0</v>
      </c>
      <c r="I563" s="337">
        <f t="shared" si="219"/>
        <v>174391.49725752178</v>
      </c>
      <c r="J563" s="340">
        <f t="shared" si="220"/>
        <v>1.5707905925703747</v>
      </c>
      <c r="K563" s="348">
        <f t="shared" si="236"/>
        <v>16.106307930366096</v>
      </c>
      <c r="L563" s="349">
        <f t="shared" si="237"/>
        <v>1.508668892180258</v>
      </c>
      <c r="M563" s="337">
        <f t="shared" si="221"/>
        <v>1.0034666684634455</v>
      </c>
      <c r="N563" s="340">
        <f t="shared" si="222"/>
        <v>8.3146655677895004E-2</v>
      </c>
      <c r="O563" s="341">
        <f t="shared" si="223"/>
        <v>0.99249873323542781</v>
      </c>
      <c r="P563" s="342">
        <f t="shared" si="224"/>
        <v>2.1045463217638626E-2</v>
      </c>
      <c r="Q563" s="343">
        <f t="shared" si="225"/>
        <v>-3.7365109908012166</v>
      </c>
      <c r="R563" s="344">
        <f t="shared" si="226"/>
        <v>-93.632991896357467</v>
      </c>
      <c r="S563" s="346">
        <f t="shared" si="227"/>
        <v>86.367008103642533</v>
      </c>
      <c r="U563" s="319">
        <f t="shared" si="233"/>
        <v>92263</v>
      </c>
      <c r="V563" s="319">
        <f t="shared" si="234"/>
        <v>8512461169</v>
      </c>
      <c r="X563" s="345">
        <f t="shared" si="228"/>
        <v>16.986579204656604</v>
      </c>
      <c r="Y563" s="346">
        <f t="shared" si="229"/>
        <v>-8.3232637090114476</v>
      </c>
      <c r="AA563" s="345">
        <f t="shared" si="230"/>
        <v>15.287083768143647</v>
      </c>
      <c r="AB563" s="346">
        <f t="shared" si="231"/>
        <v>-85.309728187346025</v>
      </c>
      <c r="AD563">
        <f t="shared" si="235"/>
        <v>0</v>
      </c>
      <c r="AE563">
        <f t="shared" si="238"/>
        <v>0</v>
      </c>
    </row>
    <row r="564" spans="1:31" x14ac:dyDescent="0.2">
      <c r="A564" s="347">
        <v>92794</v>
      </c>
      <c r="B564" s="364">
        <f t="shared" si="232"/>
        <v>92.793999999999997</v>
      </c>
      <c r="C564" s="337">
        <f t="shared" si="213"/>
        <v>10.335789103153168</v>
      </c>
      <c r="D564" s="338">
        <f t="shared" si="214"/>
        <v>1.4738935425810453</v>
      </c>
      <c r="E564" s="338">
        <f t="shared" si="215"/>
        <v>1.0000150183415852</v>
      </c>
      <c r="F564" s="339">
        <f t="shared" si="216"/>
        <v>5.4805389568684656E-3</v>
      </c>
      <c r="G564" s="338">
        <f t="shared" si="217"/>
        <v>1</v>
      </c>
      <c r="H564" s="339">
        <f t="shared" si="218"/>
        <v>0</v>
      </c>
      <c r="I564" s="337">
        <f t="shared" si="219"/>
        <v>175395.17029048959</v>
      </c>
      <c r="J564" s="340">
        <f t="shared" si="220"/>
        <v>1.5707906253836299</v>
      </c>
      <c r="K564" s="348">
        <f t="shared" si="236"/>
        <v>16.198648034508572</v>
      </c>
      <c r="L564" s="349">
        <f t="shared" si="237"/>
        <v>1.5090235009734481</v>
      </c>
      <c r="M564" s="337">
        <f t="shared" si="221"/>
        <v>1.0035066167111626</v>
      </c>
      <c r="N564" s="340">
        <f t="shared" si="222"/>
        <v>8.3622967092605333E-2</v>
      </c>
      <c r="O564" s="341">
        <f t="shared" si="223"/>
        <v>0.99241216057249881</v>
      </c>
      <c r="P564" s="342">
        <f t="shared" si="224"/>
        <v>2.1168450664223789E-2</v>
      </c>
      <c r="Q564" s="343">
        <f t="shared" si="225"/>
        <v>-3.7856658773406866</v>
      </c>
      <c r="R564" s="344">
        <f t="shared" si="226"/>
        <v>-93.676969304856797</v>
      </c>
      <c r="S564" s="346">
        <f t="shared" si="227"/>
        <v>86.323030695143203</v>
      </c>
      <c r="U564" s="319">
        <f t="shared" si="233"/>
        <v>92794</v>
      </c>
      <c r="V564" s="319">
        <f t="shared" si="234"/>
        <v>8610726436</v>
      </c>
      <c r="X564" s="345">
        <f t="shared" si="228"/>
        <v>16.986042367569357</v>
      </c>
      <c r="Y564" s="346">
        <f t="shared" si="229"/>
        <v>-8.3302386356492466</v>
      </c>
      <c r="AA564" s="345">
        <f t="shared" si="230"/>
        <v>15.238465718691426</v>
      </c>
      <c r="AB564" s="346">
        <f t="shared" si="231"/>
        <v>-85.346730669207574</v>
      </c>
      <c r="AD564">
        <f t="shared" si="235"/>
        <v>0</v>
      </c>
      <c r="AE564">
        <f t="shared" si="238"/>
        <v>0</v>
      </c>
    </row>
    <row r="565" spans="1:31" x14ac:dyDescent="0.2">
      <c r="A565" s="347">
        <v>93325</v>
      </c>
      <c r="B565" s="364">
        <f t="shared" si="232"/>
        <v>93.325000000000003</v>
      </c>
      <c r="C565" s="337">
        <f t="shared" si="213"/>
        <v>10.394382050135995</v>
      </c>
      <c r="D565" s="338">
        <f t="shared" si="214"/>
        <v>1.4744414834917059</v>
      </c>
      <c r="E565" s="338">
        <f t="shared" si="215"/>
        <v>1.0000151907125527</v>
      </c>
      <c r="F565" s="339">
        <f t="shared" si="216"/>
        <v>5.5118999005884257E-3</v>
      </c>
      <c r="G565" s="338">
        <f t="shared" si="217"/>
        <v>1</v>
      </c>
      <c r="H565" s="339">
        <f t="shared" si="218"/>
        <v>0</v>
      </c>
      <c r="I565" s="337">
        <f t="shared" si="219"/>
        <v>176398.84332345755</v>
      </c>
      <c r="J565" s="340">
        <f t="shared" si="220"/>
        <v>1.570790657823484</v>
      </c>
      <c r="K565" s="348">
        <f t="shared" si="236"/>
        <v>16.290990152497294</v>
      </c>
      <c r="L565" s="349">
        <f t="shared" si="237"/>
        <v>1.5093740897566819</v>
      </c>
      <c r="M565" s="337">
        <f t="shared" si="221"/>
        <v>1.0035467926088428</v>
      </c>
      <c r="N565" s="340">
        <f t="shared" si="222"/>
        <v>8.4099240478149304E-2</v>
      </c>
      <c r="O565" s="341">
        <f t="shared" si="223"/>
        <v>0.99232509154538295</v>
      </c>
      <c r="P565" s="342">
        <f t="shared" si="224"/>
        <v>2.1291470542189387E-2</v>
      </c>
      <c r="Q565" s="343">
        <f t="shared" si="225"/>
        <v>-3.8345385683160913</v>
      </c>
      <c r="R565" s="344">
        <f t="shared" si="226"/>
        <v>-93.720818732526141</v>
      </c>
      <c r="S565" s="346">
        <f t="shared" si="227"/>
        <v>86.279181267473859</v>
      </c>
      <c r="U565" s="319">
        <f t="shared" si="233"/>
        <v>93325</v>
      </c>
      <c r="V565" s="319">
        <f t="shared" si="234"/>
        <v>8709555625</v>
      </c>
      <c r="X565" s="345">
        <f t="shared" si="228"/>
        <v>16.985506817632352</v>
      </c>
      <c r="Y565" s="346">
        <f t="shared" si="229"/>
        <v>-8.3374416915863563</v>
      </c>
      <c r="AA565" s="345">
        <f t="shared" si="230"/>
        <v>15.190128577653025</v>
      </c>
      <c r="AB565" s="346">
        <f t="shared" si="231"/>
        <v>-85.383377040939791</v>
      </c>
      <c r="AD565">
        <f t="shared" si="235"/>
        <v>0</v>
      </c>
      <c r="AE565">
        <f t="shared" si="238"/>
        <v>0</v>
      </c>
    </row>
    <row r="566" spans="1:31" x14ac:dyDescent="0.2">
      <c r="A566" s="347">
        <v>93868.5</v>
      </c>
      <c r="B566" s="364">
        <f t="shared" si="232"/>
        <v>93.868499999999997</v>
      </c>
      <c r="C566" s="337">
        <f t="shared" si="213"/>
        <v>10.454357498990385</v>
      </c>
      <c r="D566" s="338">
        <f t="shared" si="214"/>
        <v>1.4749959624207081</v>
      </c>
      <c r="E566" s="338">
        <f t="shared" si="215"/>
        <v>1.0000153681597419</v>
      </c>
      <c r="F566" s="339">
        <f t="shared" si="216"/>
        <v>5.5439990850507355E-3</v>
      </c>
      <c r="G566" s="338">
        <f t="shared" si="217"/>
        <v>1</v>
      </c>
      <c r="H566" s="339">
        <f t="shared" si="218"/>
        <v>0</v>
      </c>
      <c r="I566" s="337">
        <f t="shared" si="219"/>
        <v>177426.14331106245</v>
      </c>
      <c r="J566" s="340">
        <f t="shared" si="220"/>
        <v>1.5707906906469122</v>
      </c>
      <c r="K566" s="348">
        <f t="shared" si="236"/>
        <v>16.385508099136651</v>
      </c>
      <c r="L566" s="349">
        <f t="shared" si="237"/>
        <v>1.5097288393455601</v>
      </c>
      <c r="M566" s="337">
        <f t="shared" si="221"/>
        <v>1.0035881499898176</v>
      </c>
      <c r="N566" s="340">
        <f t="shared" si="222"/>
        <v>8.4586685969114839E-2</v>
      </c>
      <c r="O566" s="341">
        <f t="shared" si="223"/>
        <v>0.99223545885034248</v>
      </c>
      <c r="P566" s="342">
        <f t="shared" si="224"/>
        <v>2.1417420157405595E-2</v>
      </c>
      <c r="Q566" s="343">
        <f t="shared" si="225"/>
        <v>-3.8842727653623417</v>
      </c>
      <c r="R566" s="344">
        <f t="shared" si="226"/>
        <v>-93.765570064417901</v>
      </c>
      <c r="S566" s="346">
        <f t="shared" si="227"/>
        <v>86.234429935582099</v>
      </c>
      <c r="U566" s="319">
        <f t="shared" si="233"/>
        <v>93868.5</v>
      </c>
      <c r="V566" s="319">
        <f t="shared" si="234"/>
        <v>8811295292.25</v>
      </c>
      <c r="X566" s="345">
        <f t="shared" si="228"/>
        <v>16.984959917889615</v>
      </c>
      <c r="Y566" s="346">
        <f t="shared" si="229"/>
        <v>-8.3450464873872363</v>
      </c>
      <c r="AA566" s="345">
        <f t="shared" si="230"/>
        <v>15.140941280349512</v>
      </c>
      <c r="AB566" s="346">
        <f t="shared" si="231"/>
        <v>-85.420523577030679</v>
      </c>
      <c r="AD566">
        <f t="shared" si="235"/>
        <v>0</v>
      </c>
      <c r="AE566">
        <f t="shared" si="238"/>
        <v>0</v>
      </c>
    </row>
    <row r="567" spans="1:31" x14ac:dyDescent="0.2">
      <c r="A567" s="347">
        <v>94412</v>
      </c>
      <c r="B567" s="364">
        <f t="shared" si="232"/>
        <v>94.412000000000006</v>
      </c>
      <c r="C567" s="337">
        <f t="shared" si="213"/>
        <v>10.514336125335669</v>
      </c>
      <c r="D567" s="338">
        <f t="shared" si="214"/>
        <v>1.4755441155091578</v>
      </c>
      <c r="E567" s="338">
        <f t="shared" si="215"/>
        <v>1.0000155466373042</v>
      </c>
      <c r="F567" s="339">
        <f t="shared" si="216"/>
        <v>5.5760982580883292E-3</v>
      </c>
      <c r="G567" s="338">
        <f t="shared" si="217"/>
        <v>1</v>
      </c>
      <c r="H567" s="339">
        <f t="shared" si="218"/>
        <v>0</v>
      </c>
      <c r="I567" s="337">
        <f t="shared" si="219"/>
        <v>178453.44329866755</v>
      </c>
      <c r="J567" s="340">
        <f t="shared" si="220"/>
        <v>1.5707907230924321</v>
      </c>
      <c r="K567" s="348">
        <f t="shared" si="236"/>
        <v>16.480028084194128</v>
      </c>
      <c r="L567" s="349">
        <f t="shared" si="237"/>
        <v>1.5100795196979677</v>
      </c>
      <c r="M567" s="337">
        <f t="shared" si="221"/>
        <v>1.0036297458067689</v>
      </c>
      <c r="N567" s="340">
        <f t="shared" si="222"/>
        <v>8.5074091171153443E-2</v>
      </c>
      <c r="O567" s="341">
        <f t="shared" si="223"/>
        <v>0.99214530616366947</v>
      </c>
      <c r="P567" s="342">
        <f t="shared" si="224"/>
        <v>2.1543404162482526E-2</v>
      </c>
      <c r="Q567" s="343">
        <f t="shared" si="225"/>
        <v>-3.9337178847469345</v>
      </c>
      <c r="R567" s="344">
        <f t="shared" si="226"/>
        <v>-93.810191743430039</v>
      </c>
      <c r="S567" s="346">
        <f t="shared" si="227"/>
        <v>86.189808256569961</v>
      </c>
      <c r="U567" s="319">
        <f t="shared" si="233"/>
        <v>94412</v>
      </c>
      <c r="V567" s="319">
        <f t="shared" si="234"/>
        <v>8913625744</v>
      </c>
      <c r="X567" s="345">
        <f t="shared" si="228"/>
        <v>16.98441421514152</v>
      </c>
      <c r="Y567" s="346">
        <f t="shared" si="229"/>
        <v>-8.3528821032259515</v>
      </c>
      <c r="AA567" s="345">
        <f t="shared" si="230"/>
        <v>15.09204186371301</v>
      </c>
      <c r="AB567" s="346">
        <f t="shared" si="231"/>
        <v>-85.457309640204087</v>
      </c>
      <c r="AD567">
        <f t="shared" si="235"/>
        <v>0</v>
      </c>
      <c r="AE567">
        <f t="shared" si="238"/>
        <v>0</v>
      </c>
    </row>
    <row r="568" spans="1:31" x14ac:dyDescent="0.2">
      <c r="A568" s="347">
        <v>94955.5</v>
      </c>
      <c r="B568" s="364">
        <f t="shared" si="232"/>
        <v>94.955500000000001</v>
      </c>
      <c r="C568" s="337">
        <f t="shared" si="213"/>
        <v>10.574317875102674</v>
      </c>
      <c r="D568" s="338">
        <f t="shared" si="214"/>
        <v>1.4760860500728847</v>
      </c>
      <c r="E568" s="338">
        <f t="shared" si="215"/>
        <v>1.0000157261452391</v>
      </c>
      <c r="F568" s="339">
        <f t="shared" si="216"/>
        <v>5.6081974196350651E-3</v>
      </c>
      <c r="G568" s="338">
        <f t="shared" si="217"/>
        <v>1</v>
      </c>
      <c r="H568" s="339">
        <f t="shared" si="218"/>
        <v>0</v>
      </c>
      <c r="I568" s="337">
        <f t="shared" si="219"/>
        <v>179480.74328627283</v>
      </c>
      <c r="J568" s="340">
        <f t="shared" si="220"/>
        <v>1.570790755166533</v>
      </c>
      <c r="K568" s="348">
        <f t="shared" si="236"/>
        <v>16.57455007279615</v>
      </c>
      <c r="L568" s="349">
        <f t="shared" si="237"/>
        <v>1.5104262003455071</v>
      </c>
      <c r="M568" s="337">
        <f t="shared" si="221"/>
        <v>1.003671580030052</v>
      </c>
      <c r="N568" s="340">
        <f t="shared" si="222"/>
        <v>8.5561455857709051E-2</v>
      </c>
      <c r="O568" s="341">
        <f t="shared" si="223"/>
        <v>0.99205463349400635</v>
      </c>
      <c r="P568" s="342">
        <f t="shared" si="224"/>
        <v>2.1669422766899843E-2</v>
      </c>
      <c r="Q568" s="343">
        <f t="shared" si="225"/>
        <v>-3.982877161660352</v>
      </c>
      <c r="R568" s="344">
        <f t="shared" si="226"/>
        <v>-93.854685933836492</v>
      </c>
      <c r="S568" s="346">
        <f t="shared" si="227"/>
        <v>86.145314066163508</v>
      </c>
      <c r="U568" s="319">
        <f t="shared" si="233"/>
        <v>94955.5</v>
      </c>
      <c r="V568" s="319">
        <f t="shared" si="234"/>
        <v>9016546980.25</v>
      </c>
      <c r="X568" s="345">
        <f t="shared" si="228"/>
        <v>16.983869636027027</v>
      </c>
      <c r="Y568" s="346">
        <f t="shared" si="229"/>
        <v>-8.3609445426262692</v>
      </c>
      <c r="AA568" s="345">
        <f t="shared" si="230"/>
        <v>15.043427165914087</v>
      </c>
      <c r="AB568" s="346">
        <f t="shared" si="231"/>
        <v>-85.493741391210236</v>
      </c>
      <c r="AD568">
        <f t="shared" si="235"/>
        <v>0</v>
      </c>
      <c r="AE568">
        <f t="shared" si="238"/>
        <v>0</v>
      </c>
    </row>
    <row r="569" spans="1:31" x14ac:dyDescent="0.2">
      <c r="A569" s="347">
        <v>95499</v>
      </c>
      <c r="B569" s="364">
        <f t="shared" si="232"/>
        <v>95.498999999999995</v>
      </c>
      <c r="C569" s="337">
        <f t="shared" si="213"/>
        <v>10.634302695439329</v>
      </c>
      <c r="D569" s="338">
        <f t="shared" si="214"/>
        <v>1.4766218710211778</v>
      </c>
      <c r="E569" s="338">
        <f t="shared" si="215"/>
        <v>1.0000159066835459</v>
      </c>
      <c r="F569" s="339">
        <f t="shared" si="216"/>
        <v>5.6402965696248017E-3</v>
      </c>
      <c r="G569" s="338">
        <f t="shared" si="217"/>
        <v>1</v>
      </c>
      <c r="H569" s="339">
        <f t="shared" si="218"/>
        <v>0</v>
      </c>
      <c r="I569" s="337">
        <f t="shared" si="219"/>
        <v>180508.04327387825</v>
      </c>
      <c r="J569" s="340">
        <f t="shared" si="220"/>
        <v>1.5707907868755564</v>
      </c>
      <c r="K569" s="348">
        <f t="shared" si="236"/>
        <v>16.66907403085942</v>
      </c>
      <c r="L569" s="349">
        <f t="shared" si="237"/>
        <v>1.5107689492465282</v>
      </c>
      <c r="M569" s="337">
        <f t="shared" si="221"/>
        <v>1.0037136526298571</v>
      </c>
      <c r="N569" s="340">
        <f t="shared" si="222"/>
        <v>8.6048779802340242E-2</v>
      </c>
      <c r="O569" s="341">
        <f t="shared" si="223"/>
        <v>0.99196344085005006</v>
      </c>
      <c r="P569" s="342">
        <f t="shared" si="224"/>
        <v>2.1795476180320558E-2</v>
      </c>
      <c r="Q569" s="343">
        <f t="shared" si="225"/>
        <v>-4.0317537770164602</v>
      </c>
      <c r="R569" s="344">
        <f t="shared" si="226"/>
        <v>-93.899054752175942</v>
      </c>
      <c r="S569" s="346">
        <f t="shared" si="227"/>
        <v>86.100945247824058</v>
      </c>
      <c r="U569" s="319">
        <f t="shared" si="233"/>
        <v>95499</v>
      </c>
      <c r="V569" s="319">
        <f t="shared" si="234"/>
        <v>9120059001</v>
      </c>
      <c r="X569" s="345">
        <f t="shared" si="228"/>
        <v>16.983326109276405</v>
      </c>
      <c r="Y569" s="346">
        <f t="shared" si="229"/>
        <v>-8.3692298992507226</v>
      </c>
      <c r="AA569" s="345">
        <f t="shared" si="230"/>
        <v>14.995094077308602</v>
      </c>
      <c r="AB569" s="346">
        <f t="shared" si="231"/>
        <v>-85.529824852925231</v>
      </c>
      <c r="AD569">
        <f t="shared" si="235"/>
        <v>0</v>
      </c>
      <c r="AE569">
        <f t="shared" si="238"/>
        <v>0</v>
      </c>
    </row>
    <row r="570" spans="1:31" x14ac:dyDescent="0.2">
      <c r="A570" s="347">
        <v>96611.5</v>
      </c>
      <c r="B570" s="364">
        <f t="shared" si="232"/>
        <v>96.611500000000007</v>
      </c>
      <c r="C570" s="337">
        <f t="shared" si="213"/>
        <v>10.757096070473777</v>
      </c>
      <c r="D570" s="338">
        <f t="shared" si="214"/>
        <v>1.4777000169258421</v>
      </c>
      <c r="E570" s="338">
        <f t="shared" si="215"/>
        <v>1.0000162794437837</v>
      </c>
      <c r="F570" s="339">
        <f t="shared" si="216"/>
        <v>5.7060008651629917E-3</v>
      </c>
      <c r="G570" s="338">
        <f t="shared" si="217"/>
        <v>1</v>
      </c>
      <c r="H570" s="339">
        <f t="shared" si="218"/>
        <v>0</v>
      </c>
      <c r="I570" s="337">
        <f t="shared" si="219"/>
        <v>182610.84223654869</v>
      </c>
      <c r="J570" s="340">
        <f t="shared" si="220"/>
        <v>1.5707908506687929</v>
      </c>
      <c r="K570" s="348">
        <f t="shared" si="236"/>
        <v>16.862562835939503</v>
      </c>
      <c r="L570" s="349">
        <f t="shared" si="237"/>
        <v>1.5114585452487652</v>
      </c>
      <c r="M570" s="337">
        <f t="shared" si="221"/>
        <v>1.0038005150230003</v>
      </c>
      <c r="N570" s="340">
        <f t="shared" si="222"/>
        <v>8.7046164015116029E-2</v>
      </c>
      <c r="O570" s="341">
        <f t="shared" si="223"/>
        <v>0.99177515552555895</v>
      </c>
      <c r="P570" s="342">
        <f t="shared" si="224"/>
        <v>2.2053606627963445E-2</v>
      </c>
      <c r="Q570" s="343">
        <f t="shared" si="225"/>
        <v>-4.1309318566515616</v>
      </c>
      <c r="R570" s="344">
        <f t="shared" si="226"/>
        <v>-93.989491789230371</v>
      </c>
      <c r="S570" s="346">
        <f t="shared" si="227"/>
        <v>86.010508210769629</v>
      </c>
      <c r="U570" s="319">
        <f t="shared" si="233"/>
        <v>96611.5</v>
      </c>
      <c r="V570" s="319">
        <f t="shared" si="234"/>
        <v>9333781932.25</v>
      </c>
      <c r="X570" s="345">
        <f t="shared" si="228"/>
        <v>16.982216547052957</v>
      </c>
      <c r="Y570" s="346">
        <f t="shared" si="229"/>
        <v>-8.3868685198018511</v>
      </c>
      <c r="AA570" s="345">
        <f t="shared" si="230"/>
        <v>14.897025559896946</v>
      </c>
      <c r="AB570" s="346">
        <f t="shared" si="231"/>
        <v>-85.60262326942852</v>
      </c>
      <c r="AD570">
        <f t="shared" si="235"/>
        <v>0</v>
      </c>
      <c r="AE570">
        <f t="shared" si="238"/>
        <v>0</v>
      </c>
    </row>
    <row r="571" spans="1:31" x14ac:dyDescent="0.2">
      <c r="A571" s="347">
        <v>97724</v>
      </c>
      <c r="B571" s="364">
        <f t="shared" si="232"/>
        <v>97.724000000000004</v>
      </c>
      <c r="C571" s="337">
        <f t="shared" si="213"/>
        <v>10.879901667285692</v>
      </c>
      <c r="D571" s="338">
        <f t="shared" si="214"/>
        <v>1.4787538251450261</v>
      </c>
      <c r="E571" s="338">
        <f t="shared" si="215"/>
        <v>1.000016656521143</v>
      </c>
      <c r="F571" s="339">
        <f t="shared" si="216"/>
        <v>5.7717051114344504E-3</v>
      </c>
      <c r="G571" s="338">
        <f t="shared" si="217"/>
        <v>1</v>
      </c>
      <c r="H571" s="339">
        <f t="shared" si="218"/>
        <v>0</v>
      </c>
      <c r="I571" s="337">
        <f t="shared" si="219"/>
        <v>184713.64119921983</v>
      </c>
      <c r="J571" s="340">
        <f t="shared" si="220"/>
        <v>1.5707909130095719</v>
      </c>
      <c r="K571" s="348">
        <f t="shared" si="236"/>
        <v>17.056059477948502</v>
      </c>
      <c r="L571" s="349">
        <f t="shared" si="237"/>
        <v>1.5121324949841459</v>
      </c>
      <c r="M571" s="337">
        <f t="shared" si="221"/>
        <v>1.0038883757986885</v>
      </c>
      <c r="N571" s="340">
        <f t="shared" si="222"/>
        <v>8.8043374636691665E-2</v>
      </c>
      <c r="O571" s="341">
        <f t="shared" si="223"/>
        <v>0.99158469168687524</v>
      </c>
      <c r="P571" s="342">
        <f t="shared" si="224"/>
        <v>2.2311885602535074E-2</v>
      </c>
      <c r="Q571" s="343">
        <f t="shared" si="225"/>
        <v>-4.2289648223224727</v>
      </c>
      <c r="R571" s="344">
        <f t="shared" si="226"/>
        <v>-94.079429328205208</v>
      </c>
      <c r="S571" s="346">
        <f t="shared" si="227"/>
        <v>85.920570671794792</v>
      </c>
      <c r="U571" s="319">
        <f t="shared" si="233"/>
        <v>97724</v>
      </c>
      <c r="V571" s="319">
        <f t="shared" si="234"/>
        <v>9549980176</v>
      </c>
      <c r="X571" s="345">
        <f t="shared" si="228"/>
        <v>16.981110537311217</v>
      </c>
      <c r="Y571" s="346">
        <f t="shared" si="229"/>
        <v>-8.4053935761471745</v>
      </c>
      <c r="AA571" s="345">
        <f t="shared" si="230"/>
        <v>14.800098603967777</v>
      </c>
      <c r="AB571" s="346">
        <f t="shared" si="231"/>
        <v>-85.674035752058032</v>
      </c>
      <c r="AD571">
        <f t="shared" si="235"/>
        <v>0</v>
      </c>
      <c r="AE571">
        <f t="shared" si="238"/>
        <v>0</v>
      </c>
    </row>
    <row r="572" spans="1:31" x14ac:dyDescent="0.2">
      <c r="A572" s="347">
        <v>98862</v>
      </c>
      <c r="B572" s="364">
        <f t="shared" si="232"/>
        <v>98.861999999999995</v>
      </c>
      <c r="C572" s="337">
        <f t="shared" si="213"/>
        <v>11.005534352614642</v>
      </c>
      <c r="D572" s="338">
        <f t="shared" si="214"/>
        <v>1.4798074541980348</v>
      </c>
      <c r="E572" s="338">
        <f t="shared" si="215"/>
        <v>1.0000170467083058</v>
      </c>
      <c r="F572" s="339">
        <f t="shared" si="216"/>
        <v>5.8389153360555082E-3</v>
      </c>
      <c r="G572" s="338">
        <f t="shared" si="217"/>
        <v>1</v>
      </c>
      <c r="H572" s="339">
        <f t="shared" si="218"/>
        <v>0</v>
      </c>
      <c r="I572" s="337">
        <f t="shared" si="219"/>
        <v>186864.63914935064</v>
      </c>
      <c r="J572" s="340">
        <f t="shared" si="220"/>
        <v>1.5707909753276283</v>
      </c>
      <c r="K572" s="348">
        <f t="shared" si="236"/>
        <v>17.253999157440862</v>
      </c>
      <c r="L572" s="349">
        <f t="shared" si="237"/>
        <v>1.5128062523994799</v>
      </c>
      <c r="M572" s="337">
        <f t="shared" si="221"/>
        <v>1.0039792831597609</v>
      </c>
      <c r="N572" s="340">
        <f t="shared" si="222"/>
        <v>8.906326104514925E-2</v>
      </c>
      <c r="O572" s="341">
        <f t="shared" si="223"/>
        <v>0.99138760825197747</v>
      </c>
      <c r="P572" s="342">
        <f t="shared" si="224"/>
        <v>2.257624023434707E-2</v>
      </c>
      <c r="Q572" s="343">
        <f t="shared" si="225"/>
        <v>-4.3280864039671387</v>
      </c>
      <c r="R572" s="344">
        <f t="shared" si="226"/>
        <v>-94.170928669740903</v>
      </c>
      <c r="S572" s="346">
        <f t="shared" si="227"/>
        <v>85.829071330259097</v>
      </c>
      <c r="U572" s="319">
        <f t="shared" si="233"/>
        <v>98862</v>
      </c>
      <c r="V572" s="319">
        <f t="shared" si="234"/>
        <v>9773695044</v>
      </c>
      <c r="X572" s="345">
        <f t="shared" si="228"/>
        <v>16.979982292431824</v>
      </c>
      <c r="Y572" s="346">
        <f t="shared" si="229"/>
        <v>-8.4252288772045532</v>
      </c>
      <c r="AA572" s="345">
        <f t="shared" si="230"/>
        <v>14.702105267202505</v>
      </c>
      <c r="AB572" s="346">
        <f t="shared" si="231"/>
        <v>-85.745699792536357</v>
      </c>
      <c r="AD572">
        <f t="shared" si="235"/>
        <v>0</v>
      </c>
      <c r="AE572">
        <f t="shared" si="238"/>
        <v>0</v>
      </c>
    </row>
    <row r="573" spans="1:31" x14ac:dyDescent="0.2">
      <c r="A573" s="347">
        <v>100000</v>
      </c>
      <c r="B573" s="364">
        <f t="shared" si="232"/>
        <v>100</v>
      </c>
      <c r="C573" s="337">
        <f t="shared" si="213"/>
        <v>11.131178979765926</v>
      </c>
      <c r="D573" s="338">
        <f t="shared" si="214"/>
        <v>1.4808372984235827</v>
      </c>
      <c r="E573" s="338">
        <f t="shared" si="215"/>
        <v>1.0000174414127563</v>
      </c>
      <c r="F573" s="339">
        <f t="shared" si="216"/>
        <v>5.906125507924743E-3</v>
      </c>
      <c r="G573" s="338">
        <f t="shared" si="217"/>
        <v>1</v>
      </c>
      <c r="H573" s="339">
        <f t="shared" si="218"/>
        <v>0</v>
      </c>
      <c r="I573" s="337">
        <f t="shared" si="219"/>
        <v>189015.63709948221</v>
      </c>
      <c r="J573" s="340">
        <f t="shared" si="220"/>
        <v>1.5707910362273259</v>
      </c>
      <c r="K573" s="348">
        <f t="shared" si="236"/>
        <v>17.451946491697061</v>
      </c>
      <c r="L573" s="349">
        <f t="shared" si="237"/>
        <v>1.5134647260268266</v>
      </c>
      <c r="M573" s="337">
        <f t="shared" si="221"/>
        <v>1.0040712346385092</v>
      </c>
      <c r="N573" s="340">
        <f t="shared" si="222"/>
        <v>9.008296171448435E-2</v>
      </c>
      <c r="O573" s="341">
        <f t="shared" si="223"/>
        <v>0.99118824545275175</v>
      </c>
      <c r="P573" s="342">
        <f t="shared" si="224"/>
        <v>2.2840754105281229E-2</v>
      </c>
      <c r="Q573" s="343">
        <f t="shared" si="225"/>
        <v>-4.4260623880787868</v>
      </c>
      <c r="R573" s="344">
        <f t="shared" si="226"/>
        <v>-94.261939341011043</v>
      </c>
      <c r="S573" s="346">
        <f t="shared" si="227"/>
        <v>85.738060658988957</v>
      </c>
      <c r="U573" s="319">
        <f t="shared" si="233"/>
        <v>100000</v>
      </c>
      <c r="V573" s="319">
        <f t="shared" si="234"/>
        <v>10000000000</v>
      </c>
      <c r="X573" s="345">
        <f t="shared" si="228"/>
        <v>16.978856660974991</v>
      </c>
      <c r="Y573" s="346">
        <f t="shared" si="229"/>
        <v>-8.4459291514757755</v>
      </c>
      <c r="AA573" s="345">
        <f t="shared" si="230"/>
        <v>14.60525491454769</v>
      </c>
      <c r="AB573" s="346">
        <f t="shared" si="231"/>
        <v>-85.816010189535248</v>
      </c>
      <c r="AD573">
        <f t="shared" si="235"/>
        <v>0</v>
      </c>
      <c r="AE573">
        <f t="shared" si="238"/>
        <v>0</v>
      </c>
    </row>
    <row r="574" spans="1:31" x14ac:dyDescent="0.2">
      <c r="A574" s="347">
        <v>101165</v>
      </c>
      <c r="B574" s="364">
        <f t="shared" si="232"/>
        <v>101.16500000000001</v>
      </c>
      <c r="C574" s="337">
        <f t="shared" si="213"/>
        <v>11.259816583382673</v>
      </c>
      <c r="D574" s="338">
        <f t="shared" si="214"/>
        <v>1.4818677676322207</v>
      </c>
      <c r="E574" s="338">
        <f t="shared" si="215"/>
        <v>1.0000178501612176</v>
      </c>
      <c r="F574" s="339">
        <f t="shared" si="216"/>
        <v>5.9749302419505514E-3</v>
      </c>
      <c r="G574" s="338">
        <f t="shared" si="217"/>
        <v>1</v>
      </c>
      <c r="H574" s="339">
        <f t="shared" si="218"/>
        <v>0</v>
      </c>
      <c r="I574" s="337">
        <f t="shared" si="219"/>
        <v>191217.66927162989</v>
      </c>
      <c r="J574" s="340">
        <f t="shared" si="220"/>
        <v>1.570791097152658</v>
      </c>
      <c r="K574" s="348">
        <f t="shared" si="236"/>
        <v>17.654597952220207</v>
      </c>
      <c r="L574" s="349">
        <f t="shared" si="237"/>
        <v>1.5141235266322879</v>
      </c>
      <c r="M574" s="337">
        <f t="shared" si="221"/>
        <v>1.0041664490137603</v>
      </c>
      <c r="N574" s="340">
        <f t="shared" si="222"/>
        <v>9.1126661071428958E-2</v>
      </c>
      <c r="O574" s="341">
        <f t="shared" si="223"/>
        <v>0.99098179156697597</v>
      </c>
      <c r="P574" s="342">
        <f t="shared" si="224"/>
        <v>2.3111710764984375E-2</v>
      </c>
      <c r="Q574" s="343">
        <f t="shared" si="225"/>
        <v>-4.5252026415359348</v>
      </c>
      <c r="R574" s="344">
        <f t="shared" si="226"/>
        <v>-94.354619894616036</v>
      </c>
      <c r="S574" s="346">
        <f t="shared" si="227"/>
        <v>85.645380105383964</v>
      </c>
      <c r="U574" s="319">
        <f t="shared" si="233"/>
        <v>101165</v>
      </c>
      <c r="V574" s="319">
        <f t="shared" si="234"/>
        <v>10234357225</v>
      </c>
      <c r="X574" s="345">
        <f t="shared" si="228"/>
        <v>16.977706496121307</v>
      </c>
      <c r="Y574" s="346">
        <f t="shared" si="229"/>
        <v>-8.467985716265229</v>
      </c>
      <c r="AA574" s="345">
        <f t="shared" si="230"/>
        <v>14.507264825944226</v>
      </c>
      <c r="AB574" s="346">
        <f t="shared" si="231"/>
        <v>-85.886634178350832</v>
      </c>
      <c r="AD574">
        <f t="shared" si="235"/>
        <v>0</v>
      </c>
      <c r="AE574">
        <f t="shared" si="238"/>
        <v>0</v>
      </c>
    </row>
    <row r="575" spans="1:31" x14ac:dyDescent="0.2">
      <c r="A575" s="347">
        <v>102330</v>
      </c>
      <c r="B575" s="364">
        <f t="shared" si="232"/>
        <v>102.33</v>
      </c>
      <c r="C575" s="337">
        <f t="shared" si="213"/>
        <v>11.388465873311505</v>
      </c>
      <c r="D575" s="338">
        <f t="shared" si="214"/>
        <v>1.4828749565926478</v>
      </c>
      <c r="E575" s="338">
        <f t="shared" si="215"/>
        <v>1.000018263643851</v>
      </c>
      <c r="F575" s="339">
        <f t="shared" si="216"/>
        <v>6.0437349194040011E-3</v>
      </c>
      <c r="G575" s="338">
        <f t="shared" si="217"/>
        <v>1</v>
      </c>
      <c r="H575" s="339">
        <f t="shared" si="218"/>
        <v>0</v>
      </c>
      <c r="I575" s="337">
        <f t="shared" si="219"/>
        <v>193419.70144377829</v>
      </c>
      <c r="J575" s="340">
        <f t="shared" si="220"/>
        <v>1.5707911566907524</v>
      </c>
      <c r="K575" s="348">
        <f t="shared" si="236"/>
        <v>17.857256901246426</v>
      </c>
      <c r="L575" s="349">
        <f t="shared" si="237"/>
        <v>1.5147673742815357</v>
      </c>
      <c r="M575" s="337">
        <f t="shared" si="221"/>
        <v>1.004262757027796</v>
      </c>
      <c r="N575" s="340">
        <f t="shared" si="222"/>
        <v>9.2170161384980104E-2</v>
      </c>
      <c r="O575" s="341">
        <f t="shared" si="223"/>
        <v>0.99077294905381641</v>
      </c>
      <c r="P575" s="342">
        <f t="shared" si="224"/>
        <v>2.3382838427829841E-2</v>
      </c>
      <c r="Q575" s="343">
        <f t="shared" si="225"/>
        <v>-4.6231950182245525</v>
      </c>
      <c r="R575" s="344">
        <f t="shared" si="226"/>
        <v>-94.446821646704763</v>
      </c>
      <c r="S575" s="346">
        <f t="shared" si="227"/>
        <v>85.553178353295237</v>
      </c>
      <c r="U575" s="319">
        <f t="shared" si="233"/>
        <v>102330</v>
      </c>
      <c r="V575" s="319">
        <f t="shared" si="234"/>
        <v>10471428900</v>
      </c>
      <c r="X575" s="345">
        <f t="shared" si="228"/>
        <v>16.976558016093936</v>
      </c>
      <c r="Y575" s="346">
        <f t="shared" si="229"/>
        <v>-8.4908875385086677</v>
      </c>
      <c r="AA575" s="345">
        <f t="shared" si="230"/>
        <v>14.410420929282976</v>
      </c>
      <c r="AB575" s="346">
        <f t="shared" si="231"/>
        <v>-85.955934108196118</v>
      </c>
      <c r="AD575">
        <f t="shared" si="235"/>
        <v>0</v>
      </c>
      <c r="AE575">
        <f t="shared" si="238"/>
        <v>0</v>
      </c>
    </row>
    <row r="576" spans="1:31" x14ac:dyDescent="0.2">
      <c r="A576" s="347">
        <v>103520</v>
      </c>
      <c r="B576" s="364">
        <f t="shared" si="232"/>
        <v>103.52</v>
      </c>
      <c r="C576" s="337">
        <f t="shared" si="213"/>
        <v>11.519887535680219</v>
      </c>
      <c r="D576" s="338">
        <f t="shared" si="214"/>
        <v>1.483880532986434</v>
      </c>
      <c r="E576" s="338">
        <f t="shared" si="215"/>
        <v>1.0000186908871456</v>
      </c>
      <c r="F576" s="339">
        <f t="shared" si="216"/>
        <v>6.1140160329980781E-3</v>
      </c>
      <c r="G576" s="338">
        <f t="shared" si="217"/>
        <v>1</v>
      </c>
      <c r="H576" s="339">
        <f t="shared" si="218"/>
        <v>0</v>
      </c>
      <c r="I576" s="337">
        <f t="shared" si="219"/>
        <v>195668.98752520094</v>
      </c>
      <c r="J576" s="340">
        <f t="shared" si="220"/>
        <v>1.5707912161229773</v>
      </c>
      <c r="K576" s="348">
        <f t="shared" si="236"/>
        <v>18.064272223964217</v>
      </c>
      <c r="L576" s="349">
        <f t="shared" si="237"/>
        <v>1.5154101234342292</v>
      </c>
      <c r="M576" s="337">
        <f t="shared" si="221"/>
        <v>1.0043622605038223</v>
      </c>
      <c r="N576" s="340">
        <f t="shared" si="222"/>
        <v>9.3235846609842951E-2</v>
      </c>
      <c r="O576" s="341">
        <f t="shared" si="223"/>
        <v>0.99055715897345165</v>
      </c>
      <c r="P576" s="342">
        <f t="shared" si="224"/>
        <v>2.3659963000404544E-2</v>
      </c>
      <c r="Q576" s="343">
        <f t="shared" si="225"/>
        <v>-4.722131501509125</v>
      </c>
      <c r="R576" s="344">
        <f t="shared" si="226"/>
        <v>-94.540524044528084</v>
      </c>
      <c r="S576" s="346">
        <f t="shared" si="227"/>
        <v>85.459475955471916</v>
      </c>
      <c r="U576" s="319">
        <f t="shared" si="233"/>
        <v>103520</v>
      </c>
      <c r="V576" s="319">
        <f t="shared" si="234"/>
        <v>10716390400</v>
      </c>
      <c r="X576" s="345">
        <f t="shared" si="228"/>
        <v>16.975386121997069</v>
      </c>
      <c r="Y576" s="346">
        <f t="shared" si="229"/>
        <v>-8.5151233956911554</v>
      </c>
      <c r="AA576" s="345">
        <f t="shared" si="230"/>
        <v>14.312656340095273</v>
      </c>
      <c r="AB576" s="346">
        <f t="shared" si="231"/>
        <v>-86.025400648836907</v>
      </c>
      <c r="AD576">
        <f t="shared" si="235"/>
        <v>0</v>
      </c>
      <c r="AE576">
        <f t="shared" si="238"/>
        <v>0</v>
      </c>
    </row>
    <row r="577" spans="1:31" x14ac:dyDescent="0.2">
      <c r="A577" s="347">
        <v>104710</v>
      </c>
      <c r="B577" s="364">
        <f t="shared" si="232"/>
        <v>104.71</v>
      </c>
      <c r="C577" s="337">
        <f t="shared" si="213"/>
        <v>11.651320583982011</v>
      </c>
      <c r="D577" s="338">
        <f t="shared" si="214"/>
        <v>1.4848634234901323</v>
      </c>
      <c r="E577" s="338">
        <f t="shared" si="215"/>
        <v>1.0000191230699633</v>
      </c>
      <c r="F577" s="339">
        <f t="shared" si="216"/>
        <v>6.1842970861918879E-3</v>
      </c>
      <c r="G577" s="338">
        <f t="shared" si="217"/>
        <v>1</v>
      </c>
      <c r="H577" s="339">
        <f t="shared" si="218"/>
        <v>0</v>
      </c>
      <c r="I577" s="337">
        <f t="shared" si="219"/>
        <v>197918.27360662425</v>
      </c>
      <c r="J577" s="340">
        <f t="shared" si="220"/>
        <v>1.5707912742043411</v>
      </c>
      <c r="K577" s="348">
        <f t="shared" si="236"/>
        <v>18.271294840400333</v>
      </c>
      <c r="L577" s="349">
        <f t="shared" si="237"/>
        <v>1.5160383075234001</v>
      </c>
      <c r="M577" s="337">
        <f t="shared" si="221"/>
        <v>1.0044629043922588</v>
      </c>
      <c r="N577" s="340">
        <f t="shared" si="222"/>
        <v>9.4301319488218058E-2</v>
      </c>
      <c r="O577" s="341">
        <f t="shared" si="223"/>
        <v>0.99033887684612376</v>
      </c>
      <c r="P577" s="342">
        <f t="shared" si="224"/>
        <v>2.3937270405573422E-2</v>
      </c>
      <c r="Q577" s="343">
        <f t="shared" si="225"/>
        <v>-4.81992287975089</v>
      </c>
      <c r="R577" s="344">
        <f t="shared" si="226"/>
        <v>-94.633759388302963</v>
      </c>
      <c r="S577" s="346">
        <f t="shared" si="227"/>
        <v>85.366240611697037</v>
      </c>
      <c r="U577" s="319">
        <f t="shared" si="233"/>
        <v>104710</v>
      </c>
      <c r="V577" s="319">
        <f t="shared" si="234"/>
        <v>10964184100</v>
      </c>
      <c r="X577" s="345">
        <f t="shared" si="228"/>
        <v>16.974214984538047</v>
      </c>
      <c r="Y577" s="346">
        <f t="shared" si="229"/>
        <v>-8.5401815255865934</v>
      </c>
      <c r="AA577" s="345">
        <f t="shared" si="230"/>
        <v>14.216036099312532</v>
      </c>
      <c r="AB577" s="346">
        <f t="shared" si="231"/>
        <v>-86.093577862716373</v>
      </c>
      <c r="AD577">
        <f t="shared" si="235"/>
        <v>0</v>
      </c>
      <c r="AE577">
        <f t="shared" si="238"/>
        <v>0</v>
      </c>
    </row>
    <row r="578" spans="1:31" x14ac:dyDescent="0.2">
      <c r="A578" s="347">
        <v>105930</v>
      </c>
      <c r="B578" s="364">
        <f t="shared" si="232"/>
        <v>105.93</v>
      </c>
      <c r="C578" s="337">
        <f t="shared" si="213"/>
        <v>11.786078491827078</v>
      </c>
      <c r="D578" s="338">
        <f t="shared" si="214"/>
        <v>1.4858483343336149</v>
      </c>
      <c r="E578" s="338">
        <f t="shared" si="215"/>
        <v>1.0000195712760209</v>
      </c>
      <c r="F578" s="339">
        <f t="shared" si="216"/>
        <v>6.2563498672124299E-3</v>
      </c>
      <c r="G578" s="338">
        <f t="shared" si="217"/>
        <v>1</v>
      </c>
      <c r="H578" s="339">
        <f t="shared" si="218"/>
        <v>0</v>
      </c>
      <c r="I578" s="337">
        <f t="shared" si="219"/>
        <v>200224.26437917657</v>
      </c>
      <c r="J578" s="340">
        <f t="shared" si="220"/>
        <v>1.5707913323952263</v>
      </c>
      <c r="K578" s="348">
        <f t="shared" si="236"/>
        <v>18.483543829681928</v>
      </c>
      <c r="L578" s="349">
        <f t="shared" si="237"/>
        <v>1.5166677195388518</v>
      </c>
      <c r="M578" s="337">
        <f t="shared" si="221"/>
        <v>1.0045672690623759</v>
      </c>
      <c r="N578" s="340">
        <f t="shared" si="222"/>
        <v>9.5393430118263123E-2</v>
      </c>
      <c r="O578" s="341">
        <f t="shared" si="223"/>
        <v>0.99011250483804625</v>
      </c>
      <c r="P578" s="342">
        <f t="shared" si="224"/>
        <v>2.4221760899160484E-2</v>
      </c>
      <c r="Q578" s="343">
        <f t="shared" si="225"/>
        <v>-4.9190172395028835</v>
      </c>
      <c r="R578" s="344">
        <f t="shared" si="226"/>
        <v>-94.728876419174227</v>
      </c>
      <c r="S578" s="346">
        <f t="shared" si="227"/>
        <v>85.271123580825773</v>
      </c>
      <c r="U578" s="319">
        <f t="shared" si="233"/>
        <v>105930</v>
      </c>
      <c r="V578" s="319">
        <f t="shared" si="234"/>
        <v>11221164900</v>
      </c>
      <c r="X578" s="345">
        <f t="shared" si="228"/>
        <v>16.973014622852475</v>
      </c>
      <c r="Y578" s="346">
        <f t="shared" si="229"/>
        <v>-8.5666955375117624</v>
      </c>
      <c r="AA578" s="345">
        <f t="shared" si="230"/>
        <v>14.118142101246107</v>
      </c>
      <c r="AB578" s="346">
        <f t="shared" si="231"/>
        <v>-86.162180881662451</v>
      </c>
      <c r="AD578">
        <f t="shared" si="235"/>
        <v>0</v>
      </c>
      <c r="AE578">
        <f t="shared" si="238"/>
        <v>0</v>
      </c>
    </row>
    <row r="579" spans="1:31" x14ac:dyDescent="0.2">
      <c r="A579" s="347">
        <v>107150</v>
      </c>
      <c r="B579" s="364">
        <f t="shared" si="232"/>
        <v>107.15</v>
      </c>
      <c r="C579" s="337">
        <f t="shared" si="213"/>
        <v>11.920847574255832</v>
      </c>
      <c r="D579" s="338">
        <f t="shared" si="214"/>
        <v>1.4868109766146795</v>
      </c>
      <c r="E579" s="338">
        <f t="shared" si="215"/>
        <v>1.0000200246737785</v>
      </c>
      <c r="F579" s="339">
        <f t="shared" si="216"/>
        <v>6.3284025832712112E-3</v>
      </c>
      <c r="G579" s="338">
        <f t="shared" si="217"/>
        <v>1</v>
      </c>
      <c r="H579" s="339">
        <f t="shared" si="218"/>
        <v>0</v>
      </c>
      <c r="I579" s="337">
        <f t="shared" si="219"/>
        <v>202530.25515172954</v>
      </c>
      <c r="J579" s="340">
        <f t="shared" si="220"/>
        <v>1.5707913892609995</v>
      </c>
      <c r="K579" s="348">
        <f t="shared" si="236"/>
        <v>18.695799975133404</v>
      </c>
      <c r="L579" s="349">
        <f t="shared" si="237"/>
        <v>1.5172828401804725</v>
      </c>
      <c r="M579" s="337">
        <f t="shared" si="221"/>
        <v>1.0046728316357685</v>
      </c>
      <c r="N579" s="340">
        <f t="shared" si="222"/>
        <v>9.6485312550771571E-2</v>
      </c>
      <c r="O579" s="341">
        <f t="shared" si="223"/>
        <v>0.98988351376659756</v>
      </c>
      <c r="P579" s="342">
        <f t="shared" si="224"/>
        <v>2.4506448324940935E-2</v>
      </c>
      <c r="Q579" s="343">
        <f t="shared" si="225"/>
        <v>-5.0169608578083231</v>
      </c>
      <c r="R579" s="344">
        <f t="shared" si="226"/>
        <v>-94.823534527233036</v>
      </c>
      <c r="S579" s="346">
        <f t="shared" si="227"/>
        <v>85.176465472766964</v>
      </c>
      <c r="U579" s="319">
        <f t="shared" si="233"/>
        <v>107150</v>
      </c>
      <c r="V579" s="319">
        <f t="shared" si="234"/>
        <v>11481122500</v>
      </c>
      <c r="X579" s="345">
        <f t="shared" si="228"/>
        <v>16.971814097810753</v>
      </c>
      <c r="Y579" s="346">
        <f t="shared" si="229"/>
        <v>-8.5940152341627556</v>
      </c>
      <c r="AA579" s="345">
        <f t="shared" si="230"/>
        <v>14.021399007982389</v>
      </c>
      <c r="AB579" s="346">
        <f t="shared" si="231"/>
        <v>-86.229519293070283</v>
      </c>
      <c r="AD579">
        <f t="shared" si="235"/>
        <v>0</v>
      </c>
      <c r="AE579">
        <f t="shared" si="238"/>
        <v>0</v>
      </c>
    </row>
    <row r="580" spans="1:31" x14ac:dyDescent="0.2">
      <c r="A580" s="347">
        <v>108400</v>
      </c>
      <c r="B580" s="364">
        <f t="shared" si="232"/>
        <v>108.4</v>
      </c>
      <c r="C580" s="337">
        <f t="shared" si="213"/>
        <v>12.058941848879472</v>
      </c>
      <c r="D580" s="338">
        <f t="shared" si="214"/>
        <v>1.4877749726404679</v>
      </c>
      <c r="E580" s="338">
        <f t="shared" si="215"/>
        <v>1.0000204946054212</v>
      </c>
      <c r="F580" s="339">
        <f t="shared" si="216"/>
        <v>6.4022270192700412E-3</v>
      </c>
      <c r="G580" s="338">
        <f t="shared" si="217"/>
        <v>1</v>
      </c>
      <c r="H580" s="339">
        <f t="shared" si="218"/>
        <v>0</v>
      </c>
      <c r="I580" s="337">
        <f t="shared" si="219"/>
        <v>204892.95061541154</v>
      </c>
      <c r="J580" s="340">
        <f t="shared" si="220"/>
        <v>1.5707914461975065</v>
      </c>
      <c r="K580" s="348">
        <f t="shared" si="236"/>
        <v>18.913282704347704</v>
      </c>
      <c r="L580" s="349">
        <f t="shared" si="237"/>
        <v>1.5178987665683719</v>
      </c>
      <c r="M580" s="337">
        <f t="shared" si="221"/>
        <v>1.0047822320657174</v>
      </c>
      <c r="N580" s="340">
        <f t="shared" si="222"/>
        <v>9.7603805220852602E-2</v>
      </c>
      <c r="O580" s="341">
        <f t="shared" si="223"/>
        <v>0.98964617542412769</v>
      </c>
      <c r="P580" s="342">
        <f t="shared" si="224"/>
        <v>2.4798343047384888E-2</v>
      </c>
      <c r="Q580" s="343">
        <f t="shared" si="225"/>
        <v>-5.1161459635233753</v>
      </c>
      <c r="R580" s="344">
        <f t="shared" si="226"/>
        <v>-94.920060127255056</v>
      </c>
      <c r="S580" s="346">
        <f t="shared" si="227"/>
        <v>85.079939872744944</v>
      </c>
      <c r="U580" s="319">
        <f t="shared" si="233"/>
        <v>108400</v>
      </c>
      <c r="V580" s="319">
        <f t="shared" si="234"/>
        <v>11750560000</v>
      </c>
      <c r="X580" s="345">
        <f t="shared" si="228"/>
        <v>16.970583417438409</v>
      </c>
      <c r="Y580" s="346">
        <f t="shared" si="229"/>
        <v>-8.6228134233118023</v>
      </c>
      <c r="AA580" s="345">
        <f t="shared" si="230"/>
        <v>13.923444582639684</v>
      </c>
      <c r="AB580" s="346">
        <f t="shared" si="231"/>
        <v>-86.297246703943244</v>
      </c>
      <c r="AD580">
        <f t="shared" si="235"/>
        <v>0</v>
      </c>
      <c r="AE580">
        <f t="shared" si="238"/>
        <v>0</v>
      </c>
    </row>
    <row r="581" spans="1:31" x14ac:dyDescent="0.2">
      <c r="A581" s="347">
        <v>109650</v>
      </c>
      <c r="B581" s="364">
        <f t="shared" si="232"/>
        <v>109.65</v>
      </c>
      <c r="C581" s="337">
        <f t="shared" si="213"/>
        <v>12.197047075978455</v>
      </c>
      <c r="D581" s="338">
        <f t="shared" si="214"/>
        <v>1.4887171391775265</v>
      </c>
      <c r="E581" s="338">
        <f t="shared" si="215"/>
        <v>1.0000209699872176</v>
      </c>
      <c r="F581" s="339">
        <f t="shared" si="216"/>
        <v>6.4760513854831012E-3</v>
      </c>
      <c r="G581" s="338">
        <f t="shared" si="217"/>
        <v>1</v>
      </c>
      <c r="H581" s="339">
        <f t="shared" si="218"/>
        <v>0</v>
      </c>
      <c r="I581" s="337">
        <f t="shared" si="219"/>
        <v>207255.64607909418</v>
      </c>
      <c r="J581" s="340">
        <f t="shared" si="220"/>
        <v>1.5707915018358718</v>
      </c>
      <c r="K581" s="348">
        <f t="shared" si="236"/>
        <v>19.130772445469027</v>
      </c>
      <c r="L581" s="349">
        <f t="shared" si="237"/>
        <v>1.5185006887619299</v>
      </c>
      <c r="M581" s="337">
        <f t="shared" si="221"/>
        <v>1.0048928892296023</v>
      </c>
      <c r="N581" s="340">
        <f t="shared" si="222"/>
        <v>9.8722052956462553E-2</v>
      </c>
      <c r="O581" s="341">
        <f t="shared" si="223"/>
        <v>0.98940608786748629</v>
      </c>
      <c r="P581" s="342">
        <f t="shared" si="224"/>
        <v>2.509044965551847E-2</v>
      </c>
      <c r="Q581" s="343">
        <f t="shared" si="225"/>
        <v>-5.2141761397548079</v>
      </c>
      <c r="R581" s="344">
        <f t="shared" si="226"/>
        <v>-95.016135406999354</v>
      </c>
      <c r="S581" s="346">
        <f t="shared" si="227"/>
        <v>84.983864593000646</v>
      </c>
      <c r="U581" s="319">
        <f t="shared" si="233"/>
        <v>109650</v>
      </c>
      <c r="V581" s="319">
        <f t="shared" si="234"/>
        <v>12023122500</v>
      </c>
      <c r="X581" s="345">
        <f t="shared" si="228"/>
        <v>16.969351647823743</v>
      </c>
      <c r="Y581" s="346">
        <f t="shared" si="229"/>
        <v>-8.6523998856034989</v>
      </c>
      <c r="AA581" s="345">
        <f t="shared" si="230"/>
        <v>13.826646176022914</v>
      </c>
      <c r="AB581" s="346">
        <f t="shared" si="231"/>
        <v>-86.363735521395839</v>
      </c>
      <c r="AD581">
        <f t="shared" si="235"/>
        <v>0</v>
      </c>
      <c r="AE581">
        <f t="shared" si="238"/>
        <v>0</v>
      </c>
    </row>
    <row r="582" spans="1:31" x14ac:dyDescent="0.2">
      <c r="A582" s="347">
        <v>110925</v>
      </c>
      <c r="B582" s="364">
        <f t="shared" si="232"/>
        <v>110.925</v>
      </c>
      <c r="C582" s="337">
        <f t="shared" si="213"/>
        <v>12.337925309434718</v>
      </c>
      <c r="D582" s="338">
        <f t="shared" si="214"/>
        <v>1.4896564188222692</v>
      </c>
      <c r="E582" s="338">
        <f t="shared" si="215"/>
        <v>1.0000214604913904</v>
      </c>
      <c r="F582" s="339">
        <f t="shared" si="216"/>
        <v>6.5513521662927095E-3</v>
      </c>
      <c r="G582" s="338">
        <f t="shared" si="217"/>
        <v>1</v>
      </c>
      <c r="H582" s="339">
        <f t="shared" si="218"/>
        <v>0</v>
      </c>
      <c r="I582" s="337">
        <f t="shared" si="219"/>
        <v>209665.59545205111</v>
      </c>
      <c r="J582" s="340">
        <f t="shared" si="220"/>
        <v>1.5707915572951709</v>
      </c>
      <c r="K582" s="348">
        <f t="shared" si="236"/>
        <v>19.352618959911421</v>
      </c>
      <c r="L582" s="349">
        <f t="shared" si="237"/>
        <v>1.5191007114836441</v>
      </c>
      <c r="M582" s="337">
        <f t="shared" si="221"/>
        <v>1.0050070537935332</v>
      </c>
      <c r="N582" s="340">
        <f t="shared" si="222"/>
        <v>9.9862410499344453E-2</v>
      </c>
      <c r="O582" s="341">
        <f t="shared" si="223"/>
        <v>0.98915836644726629</v>
      </c>
      <c r="P582" s="342">
        <f t="shared" si="224"/>
        <v>2.5388619392156097E-2</v>
      </c>
      <c r="Q582" s="343">
        <f t="shared" si="225"/>
        <v>-5.3130035911438531</v>
      </c>
      <c r="R582" s="344">
        <f t="shared" si="226"/>
        <v>-95.113683699451201</v>
      </c>
      <c r="S582" s="346">
        <f t="shared" si="227"/>
        <v>84.886316300548799</v>
      </c>
      <c r="U582" s="319">
        <f t="shared" si="233"/>
        <v>110925</v>
      </c>
      <c r="V582" s="319">
        <f t="shared" si="234"/>
        <v>12304355625</v>
      </c>
      <c r="X582" s="345">
        <f t="shared" si="228"/>
        <v>16.968093679631593</v>
      </c>
      <c r="Y582" s="346">
        <f t="shared" si="229"/>
        <v>-8.6833619679995184</v>
      </c>
      <c r="AA582" s="345">
        <f t="shared" si="230"/>
        <v>13.72907669282602</v>
      </c>
      <c r="AB582" s="346">
        <f t="shared" si="231"/>
        <v>-86.43032173145167</v>
      </c>
      <c r="AD582">
        <f t="shared" si="235"/>
        <v>0</v>
      </c>
      <c r="AE582">
        <f t="shared" si="238"/>
        <v>0</v>
      </c>
    </row>
    <row r="583" spans="1:31" x14ac:dyDescent="0.2">
      <c r="A583" s="347">
        <v>112200</v>
      </c>
      <c r="B583" s="364">
        <f t="shared" si="232"/>
        <v>112.2</v>
      </c>
      <c r="C583" s="337">
        <f t="shared" si="213"/>
        <v>12.478814182201734</v>
      </c>
      <c r="D583" s="338">
        <f t="shared" si="214"/>
        <v>1.4905744898666764</v>
      </c>
      <c r="E583" s="338">
        <f t="shared" si="215"/>
        <v>1.0000219566658868</v>
      </c>
      <c r="F583" s="339">
        <f t="shared" si="216"/>
        <v>6.6266528728062745E-3</v>
      </c>
      <c r="G583" s="338">
        <f t="shared" si="217"/>
        <v>1</v>
      </c>
      <c r="H583" s="339">
        <f t="shared" si="218"/>
        <v>0</v>
      </c>
      <c r="I583" s="337">
        <f t="shared" si="219"/>
        <v>212075.54482500869</v>
      </c>
      <c r="J583" s="340">
        <f t="shared" si="220"/>
        <v>1.5707916114940315</v>
      </c>
      <c r="K583" s="348">
        <f t="shared" si="236"/>
        <v>19.574472283891762</v>
      </c>
      <c r="L583" s="349">
        <f t="shared" si="237"/>
        <v>1.5196871333270467</v>
      </c>
      <c r="M583" s="337">
        <f t="shared" si="221"/>
        <v>1.0051225249861588</v>
      </c>
      <c r="N583" s="340">
        <f t="shared" si="222"/>
        <v>0.10100250750982948</v>
      </c>
      <c r="O583" s="341">
        <f t="shared" si="223"/>
        <v>0.98890778500566823</v>
      </c>
      <c r="P583" s="342">
        <f t="shared" si="224"/>
        <v>2.568701507637098E-2</v>
      </c>
      <c r="Q583" s="343">
        <f t="shared" si="225"/>
        <v>-5.4106822144182249</v>
      </c>
      <c r="R583" s="344">
        <f t="shared" si="226"/>
        <v>-95.210794052013682</v>
      </c>
      <c r="S583" s="346">
        <f t="shared" si="227"/>
        <v>84.789205947986318</v>
      </c>
      <c r="U583" s="319">
        <f t="shared" si="233"/>
        <v>112200</v>
      </c>
      <c r="V583" s="319">
        <f t="shared" si="234"/>
        <v>12588840000</v>
      </c>
      <c r="X583" s="345">
        <f t="shared" si="228"/>
        <v>16.966833709930928</v>
      </c>
      <c r="Y583" s="346">
        <f t="shared" si="229"/>
        <v>-8.7150883236967598</v>
      </c>
      <c r="AA583" s="345">
        <f t="shared" si="230"/>
        <v>13.632658039252309</v>
      </c>
      <c r="AB583" s="346">
        <f t="shared" si="231"/>
        <v>-86.495705728316935</v>
      </c>
      <c r="AD583">
        <f t="shared" si="235"/>
        <v>0</v>
      </c>
      <c r="AE583">
        <f t="shared" si="238"/>
        <v>0</v>
      </c>
    </row>
    <row r="584" spans="1:31" x14ac:dyDescent="0.2">
      <c r="A584" s="347">
        <v>113510</v>
      </c>
      <c r="B584" s="364">
        <f t="shared" si="232"/>
        <v>113.51</v>
      </c>
      <c r="C584" s="337">
        <f t="shared" si="213"/>
        <v>12.623581299634859</v>
      </c>
      <c r="D584" s="338">
        <f t="shared" si="214"/>
        <v>1.4914964177643049</v>
      </c>
      <c r="E584" s="338">
        <f t="shared" si="215"/>
        <v>1.000022472366795</v>
      </c>
      <c r="F584" s="339">
        <f t="shared" si="216"/>
        <v>6.7040205792571299E-3</v>
      </c>
      <c r="G584" s="338">
        <f t="shared" si="217"/>
        <v>1</v>
      </c>
      <c r="H584" s="339">
        <f t="shared" si="218"/>
        <v>0</v>
      </c>
      <c r="I584" s="337">
        <f t="shared" si="219"/>
        <v>214551.64967095005</v>
      </c>
      <c r="J584" s="340">
        <f t="shared" si="220"/>
        <v>1.5707916659125332</v>
      </c>
      <c r="K584" s="348">
        <f t="shared" si="236"/>
        <v>19.802422551054711</v>
      </c>
      <c r="L584" s="349">
        <f t="shared" si="237"/>
        <v>1.5202759670470261</v>
      </c>
      <c r="M584" s="337">
        <f t="shared" si="221"/>
        <v>1.0052425264262801</v>
      </c>
      <c r="N584" s="340">
        <f t="shared" si="222"/>
        <v>0.10217362692232008</v>
      </c>
      <c r="O584" s="341">
        <f t="shared" si="223"/>
        <v>0.98864734613449312</v>
      </c>
      <c r="P584" s="342">
        <f t="shared" si="224"/>
        <v>2.5993840281521453E-2</v>
      </c>
      <c r="Q584" s="343">
        <f t="shared" si="225"/>
        <v>-5.5098722515537428</v>
      </c>
      <c r="R584" s="344">
        <f t="shared" si="226"/>
        <v>-95.310129206531997</v>
      </c>
      <c r="S584" s="346">
        <f t="shared" si="227"/>
        <v>84.689870793468003</v>
      </c>
      <c r="U584" s="319">
        <f t="shared" si="233"/>
        <v>113510</v>
      </c>
      <c r="V584" s="319">
        <f t="shared" si="234"/>
        <v>12884520100</v>
      </c>
      <c r="X584" s="345">
        <f t="shared" si="228"/>
        <v>16.96553664628183</v>
      </c>
      <c r="Y584" s="346">
        <f t="shared" si="229"/>
        <v>-8.7484539543371103</v>
      </c>
      <c r="AA584" s="345">
        <f t="shared" si="230"/>
        <v>13.534765065765894</v>
      </c>
      <c r="AB584" s="346">
        <f t="shared" si="231"/>
        <v>-86.561675252194902</v>
      </c>
      <c r="AD584">
        <f t="shared" si="235"/>
        <v>0</v>
      </c>
      <c r="AE584">
        <f t="shared" si="238"/>
        <v>0</v>
      </c>
    </row>
    <row r="585" spans="1:31" x14ac:dyDescent="0.2">
      <c r="A585" s="347">
        <v>114820</v>
      </c>
      <c r="B585" s="364">
        <f t="shared" si="232"/>
        <v>114.82</v>
      </c>
      <c r="C585" s="337">
        <f t="shared" si="213"/>
        <v>12.768358903189329</v>
      </c>
      <c r="D585" s="338">
        <f t="shared" si="214"/>
        <v>1.4923974393394379</v>
      </c>
      <c r="E585" s="338">
        <f t="shared" si="215"/>
        <v>1.0000229940535932</v>
      </c>
      <c r="F585" s="339">
        <f t="shared" si="216"/>
        <v>6.7813882054495213E-3</v>
      </c>
      <c r="G585" s="338">
        <f t="shared" si="217"/>
        <v>1</v>
      </c>
      <c r="H585" s="339">
        <f t="shared" si="218"/>
        <v>0</v>
      </c>
      <c r="I585" s="337">
        <f t="shared" si="219"/>
        <v>217027.75451689202</v>
      </c>
      <c r="J585" s="340">
        <f t="shared" si="220"/>
        <v>1.5707917190892959</v>
      </c>
      <c r="K585" s="348">
        <f t="shared" si="236"/>
        <v>20.03037952794098</v>
      </c>
      <c r="L585" s="349">
        <f t="shared" si="237"/>
        <v>1.5208513984453929</v>
      </c>
      <c r="M585" s="337">
        <f t="shared" si="221"/>
        <v>1.0053639062470809</v>
      </c>
      <c r="N585" s="340">
        <f t="shared" si="222"/>
        <v>0.10334446515661452</v>
      </c>
      <c r="O585" s="341">
        <f t="shared" si="223"/>
        <v>0.9883838883553957</v>
      </c>
      <c r="P585" s="342">
        <f t="shared" si="224"/>
        <v>2.630090998396846E-2</v>
      </c>
      <c r="Q585" s="343">
        <f t="shared" si="225"/>
        <v>-5.607902786240869</v>
      </c>
      <c r="R585" s="344">
        <f t="shared" si="226"/>
        <v>-95.40903224526113</v>
      </c>
      <c r="S585" s="346">
        <f t="shared" si="227"/>
        <v>84.59096775473887</v>
      </c>
      <c r="U585" s="319">
        <f t="shared" si="233"/>
        <v>114820</v>
      </c>
      <c r="V585" s="319">
        <f t="shared" si="234"/>
        <v>13183632400</v>
      </c>
      <c r="X585" s="345">
        <f t="shared" si="228"/>
        <v>16.96423663533399</v>
      </c>
      <c r="Y585" s="346">
        <f t="shared" si="229"/>
        <v>-8.7825712999720533</v>
      </c>
      <c r="AA585" s="345">
        <f t="shared" si="230"/>
        <v>13.438034542026607</v>
      </c>
      <c r="AB585" s="346">
        <f t="shared" si="231"/>
        <v>-86.626460945289068</v>
      </c>
      <c r="AD585">
        <f t="shared" si="235"/>
        <v>0</v>
      </c>
      <c r="AE585">
        <f t="shared" si="238"/>
        <v>0</v>
      </c>
    </row>
    <row r="586" spans="1:31" x14ac:dyDescent="0.2">
      <c r="A586" s="347">
        <v>116155</v>
      </c>
      <c r="B586" s="364">
        <f t="shared" si="232"/>
        <v>116.155</v>
      </c>
      <c r="C586" s="337">
        <f t="shared" si="213"/>
        <v>12.915909861224575</v>
      </c>
      <c r="D586" s="338">
        <f t="shared" si="214"/>
        <v>1.493294873787357</v>
      </c>
      <c r="E586" s="338">
        <f t="shared" si="215"/>
        <v>1.0000235318545689</v>
      </c>
      <c r="F586" s="339">
        <f t="shared" si="216"/>
        <v>6.8602322295284275E-3</v>
      </c>
      <c r="G586" s="338">
        <f t="shared" si="217"/>
        <v>1</v>
      </c>
      <c r="H586" s="339">
        <f t="shared" si="218"/>
        <v>0</v>
      </c>
      <c r="I586" s="337">
        <f t="shared" si="219"/>
        <v>219551.11327210831</v>
      </c>
      <c r="J586" s="340">
        <f t="shared" si="220"/>
        <v>1.5707917720468696</v>
      </c>
      <c r="K586" s="348">
        <f t="shared" si="236"/>
        <v>20.262693497370389</v>
      </c>
      <c r="L586" s="349">
        <f t="shared" si="237"/>
        <v>1.521424490877594</v>
      </c>
      <c r="M586" s="337">
        <f t="shared" si="221"/>
        <v>1.005489020048961</v>
      </c>
      <c r="N586" s="340">
        <f t="shared" si="222"/>
        <v>0.10453735513608661</v>
      </c>
      <c r="O586" s="341">
        <f t="shared" si="223"/>
        <v>0.98811229703410342</v>
      </c>
      <c r="P586" s="342">
        <f t="shared" si="224"/>
        <v>2.6614094482454678E-2</v>
      </c>
      <c r="Q586" s="343">
        <f t="shared" si="225"/>
        <v>-5.7066377791855842</v>
      </c>
      <c r="R586" s="344">
        <f t="shared" si="226"/>
        <v>-95.509392989640503</v>
      </c>
      <c r="S586" s="346">
        <f t="shared" si="227"/>
        <v>84.490607010359497</v>
      </c>
      <c r="U586" s="319">
        <f t="shared" si="233"/>
        <v>116155</v>
      </c>
      <c r="V586" s="319">
        <f t="shared" si="234"/>
        <v>13491984025</v>
      </c>
      <c r="X586" s="345">
        <f t="shared" si="228"/>
        <v>16.962908382139581</v>
      </c>
      <c r="Y586" s="346">
        <f t="shared" si="229"/>
        <v>-8.8180861178692904</v>
      </c>
      <c r="AA586" s="345">
        <f t="shared" si="230"/>
        <v>13.340627802276298</v>
      </c>
      <c r="AB586" s="346">
        <f t="shared" si="231"/>
        <v>-86.691306871771218</v>
      </c>
      <c r="AD586">
        <f t="shared" si="235"/>
        <v>0</v>
      </c>
      <c r="AE586">
        <f t="shared" si="238"/>
        <v>0</v>
      </c>
    </row>
    <row r="587" spans="1:31" x14ac:dyDescent="0.2">
      <c r="A587" s="347">
        <v>117490</v>
      </c>
      <c r="B587" s="364">
        <f t="shared" si="232"/>
        <v>117.49</v>
      </c>
      <c r="C587" s="337">
        <f t="shared" si="213"/>
        <v>13.063470986594366</v>
      </c>
      <c r="D587" s="338">
        <f t="shared" si="214"/>
        <v>1.4941720346174432</v>
      </c>
      <c r="E587" s="338">
        <f t="shared" si="215"/>
        <v>1.0000240758720647</v>
      </c>
      <c r="F587" s="339">
        <f t="shared" si="216"/>
        <v>6.9390761683144645E-3</v>
      </c>
      <c r="G587" s="338">
        <f t="shared" si="217"/>
        <v>1</v>
      </c>
      <c r="H587" s="339">
        <f t="shared" si="218"/>
        <v>0</v>
      </c>
      <c r="I587" s="337">
        <f t="shared" si="219"/>
        <v>222074.47202732522</v>
      </c>
      <c r="J587" s="340">
        <f t="shared" si="220"/>
        <v>1.5707918238009646</v>
      </c>
      <c r="K587" s="348">
        <f t="shared" si="236"/>
        <v>20.495013970904722</v>
      </c>
      <c r="L587" s="349">
        <f t="shared" si="237"/>
        <v>1.5219845909541156</v>
      </c>
      <c r="M587" s="337">
        <f t="shared" si="221"/>
        <v>1.0056155642909324</v>
      </c>
      <c r="N587" s="340">
        <f t="shared" si="222"/>
        <v>0.10572994659143896</v>
      </c>
      <c r="O587" s="341">
        <f t="shared" si="223"/>
        <v>0.9878375707954633</v>
      </c>
      <c r="P587" s="342">
        <f t="shared" si="224"/>
        <v>2.6927539279848277E-2</v>
      </c>
      <c r="Q587" s="343">
        <f t="shared" si="225"/>
        <v>-5.8042214624281065</v>
      </c>
      <c r="R587" s="344">
        <f t="shared" si="226"/>
        <v>-95.609334294217831</v>
      </c>
      <c r="S587" s="346">
        <f t="shared" si="227"/>
        <v>84.390665705782169</v>
      </c>
      <c r="U587" s="319">
        <f t="shared" si="233"/>
        <v>117490</v>
      </c>
      <c r="V587" s="319">
        <f t="shared" si="234"/>
        <v>13803900100</v>
      </c>
      <c r="X587" s="345">
        <f t="shared" si="228"/>
        <v>16.961576279928686</v>
      </c>
      <c r="Y587" s="346">
        <f t="shared" si="229"/>
        <v>-8.854328169787328</v>
      </c>
      <c r="AA587" s="345">
        <f t="shared" si="230"/>
        <v>13.244376221244675</v>
      </c>
      <c r="AB587" s="346">
        <f t="shared" si="231"/>
        <v>-86.75500612443048</v>
      </c>
      <c r="AD587">
        <f t="shared" si="235"/>
        <v>0</v>
      </c>
      <c r="AE587">
        <f t="shared" si="238"/>
        <v>0</v>
      </c>
    </row>
    <row r="588" spans="1:31" x14ac:dyDescent="0.2">
      <c r="A588" s="347">
        <v>118860</v>
      </c>
      <c r="B588" s="364">
        <f t="shared" si="232"/>
        <v>118.86</v>
      </c>
      <c r="C588" s="337">
        <f t="shared" si="213"/>
        <v>13.214910969169047</v>
      </c>
      <c r="D588" s="338">
        <f t="shared" si="214"/>
        <v>1.4950518251729656</v>
      </c>
      <c r="E588" s="338">
        <f t="shared" si="215"/>
        <v>1.0000246406153064</v>
      </c>
      <c r="F588" s="339">
        <f t="shared" si="216"/>
        <v>7.0199870869524054E-3</v>
      </c>
      <c r="G588" s="338">
        <f t="shared" si="217"/>
        <v>1</v>
      </c>
      <c r="H588" s="339">
        <f t="shared" si="218"/>
        <v>0</v>
      </c>
      <c r="I588" s="337">
        <f t="shared" si="219"/>
        <v>224663.98625552593</v>
      </c>
      <c r="J588" s="340">
        <f t="shared" si="220"/>
        <v>1.5707918757032167</v>
      </c>
      <c r="K588" s="348">
        <f t="shared" si="236"/>
        <v>20.733431776192781</v>
      </c>
      <c r="L588" s="349">
        <f t="shared" si="237"/>
        <v>1.5225463252199984</v>
      </c>
      <c r="M588" s="337">
        <f t="shared" si="221"/>
        <v>1.0057469127908556</v>
      </c>
      <c r="N588" s="340">
        <f t="shared" si="222"/>
        <v>0.10695349068412206</v>
      </c>
      <c r="O588" s="341">
        <f t="shared" si="223"/>
        <v>0.9875523828885453</v>
      </c>
      <c r="P588" s="342">
        <f t="shared" si="224"/>
        <v>2.7249475746599021E-2</v>
      </c>
      <c r="Q588" s="343">
        <f t="shared" si="225"/>
        <v>-5.9031931257707608</v>
      </c>
      <c r="R588" s="344">
        <f t="shared" si="226"/>
        <v>-95.711474210379038</v>
      </c>
      <c r="S588" s="346">
        <f t="shared" si="227"/>
        <v>84.288525789620962</v>
      </c>
      <c r="U588" s="319">
        <f t="shared" si="233"/>
        <v>118860</v>
      </c>
      <c r="V588" s="319">
        <f t="shared" si="234"/>
        <v>14127699600</v>
      </c>
      <c r="X588" s="345">
        <f t="shared" si="228"/>
        <v>16.960204870298792</v>
      </c>
      <c r="Y588" s="346">
        <f t="shared" si="229"/>
        <v>-8.8922500535265918</v>
      </c>
      <c r="AA588" s="345">
        <f t="shared" si="230"/>
        <v>13.146775967531912</v>
      </c>
      <c r="AB588" s="346">
        <f t="shared" si="231"/>
        <v>-86.819224156852471</v>
      </c>
      <c r="AD588">
        <f t="shared" si="235"/>
        <v>0</v>
      </c>
      <c r="AE588">
        <f t="shared" si="238"/>
        <v>0</v>
      </c>
    </row>
    <row r="589" spans="1:31" x14ac:dyDescent="0.2">
      <c r="A589" s="347">
        <v>120230</v>
      </c>
      <c r="B589" s="364">
        <f t="shared" si="232"/>
        <v>120.23</v>
      </c>
      <c r="C589" s="337">
        <f t="shared" ref="C589:C613" si="239">SQRT(1+(A589/pole1)^2)</f>
        <v>13.366360948713234</v>
      </c>
      <c r="D589" s="338">
        <f t="shared" ref="D589:D613" si="240">ATAN(A589/pole1)</f>
        <v>1.4959116791282798</v>
      </c>
      <c r="E589" s="338">
        <f t="shared" ref="E589:E613" si="241">SQRT(1+(A589/Zero1)^2)</f>
        <v>1.000025211905279</v>
      </c>
      <c r="F589" s="339">
        <f t="shared" ref="F589:F613" si="242">ATAN(A589/Zero1)</f>
        <v>7.1008979136751704E-3</v>
      </c>
      <c r="G589" s="338">
        <f t="shared" ref="G589:G613" si="243">IF(VIN_nom&gt;Vout, 1, SQRT(1+(A589/z_RHP)^2))</f>
        <v>1</v>
      </c>
      <c r="H589" s="339">
        <f t="shared" ref="H589:H613" si="244">IF(VIN_nom&gt;Vout, 0, -ATAN(A589/z_RHP))</f>
        <v>0</v>
      </c>
      <c r="I589" s="337">
        <f t="shared" ref="I589:I613" si="245">SQRT(1+(A589/Pole2)^2)</f>
        <v>227253.50048372723</v>
      </c>
      <c r="J589" s="340">
        <f t="shared" ref="J589:J613" si="246">ATAN(A589/Pole2)</f>
        <v>1.5707919264226344</v>
      </c>
      <c r="K589" s="348">
        <f t="shared" si="236"/>
        <v>20.971855975065676</v>
      </c>
      <c r="L589" s="349">
        <f t="shared" si="237"/>
        <v>1.5230952872009349</v>
      </c>
      <c r="M589" s="337">
        <f t="shared" ref="M589:M613" si="247">SQRT(1+(A589/pole4)^2)</f>
        <v>1.0058797665598638</v>
      </c>
      <c r="N589" s="340">
        <f t="shared" ref="N589:N613" si="248">ATAN(A589/pole4)</f>
        <v>0.10817671340312073</v>
      </c>
      <c r="O589" s="341">
        <f t="shared" ref="O589:O613" si="249">SQRT((1-(V589/pterm2))^2+(A589/pterm1)^2)</f>
        <v>0.98726389388055436</v>
      </c>
      <c r="P589" s="342">
        <f t="shared" ref="P589:P613" si="250">IF((ATAN((A589/pterm1)/(1-A589^2/pterm2))&gt;0),ATAN((A589/pterm1)/(1-A589^2/pterm2)),PI()+ATAN((A589/pterm1)/(1-A589^2/pterm2)))</f>
        <v>2.7571693247897055E-2</v>
      </c>
      <c r="Q589" s="343">
        <f t="shared" ref="Q589:Q613" si="251">20*LOG10(((E589*K589*G589)/(C589*I589*O589*M589))*Adc)</f>
        <v>-6.0010055060124232</v>
      </c>
      <c r="R589" s="344">
        <f t="shared" ref="R589:R613" si="252">((F589+L589+H589)-(D589+J589+P589+N589))*radconv</f>
        <v>-95.813201267744859</v>
      </c>
      <c r="S589" s="346">
        <f t="shared" ref="S589:S613" si="253">IF(R589&gt;0,R589,R589+180)</f>
        <v>84.186798732255141</v>
      </c>
      <c r="U589" s="319">
        <f t="shared" si="233"/>
        <v>120230</v>
      </c>
      <c r="V589" s="319">
        <f t="shared" si="234"/>
        <v>14455252900</v>
      </c>
      <c r="X589" s="345">
        <f t="shared" ref="X589:X613" si="254">20*LOG10((K589/(I589*M589))*AEA)</f>
        <v>16.958828653008993</v>
      </c>
      <c r="Y589" s="346">
        <f t="shared" ref="Y589:Y613" si="255">(L589-(J589+N589))*radconv</f>
        <v>-8.9308852541616517</v>
      </c>
      <c r="AA589" s="345">
        <f t="shared" ref="AA589:AA613" si="256">20*LOG10((E589*G589/(C589*O589))*Acs*Am)</f>
        <v>13.050339804580046</v>
      </c>
      <c r="AB589" s="346">
        <f t="shared" ref="AB589:AB613" si="257">(F589+H589-(D589+P589))*radconv</f>
        <v>-86.882316013583207</v>
      </c>
      <c r="AD589">
        <f t="shared" si="235"/>
        <v>0</v>
      </c>
      <c r="AE589">
        <f t="shared" si="238"/>
        <v>0</v>
      </c>
    </row>
    <row r="590" spans="1:31" x14ac:dyDescent="0.2">
      <c r="A590" s="347">
        <v>126030</v>
      </c>
      <c r="B590" s="364">
        <f t="shared" ref="B590:B613" si="258">A590/1000</f>
        <v>126.03</v>
      </c>
      <c r="C590" s="337">
        <f t="shared" si="239"/>
        <v>14.007639330117383</v>
      </c>
      <c r="D590" s="338">
        <f t="shared" si="240"/>
        <v>1.4993459315291247</v>
      </c>
      <c r="E590" s="338">
        <f t="shared" si="241"/>
        <v>1.0000277030320319</v>
      </c>
      <c r="F590" s="339">
        <f t="shared" si="242"/>
        <v>7.4434390571477913E-3</v>
      </c>
      <c r="G590" s="338">
        <f t="shared" si="243"/>
        <v>1</v>
      </c>
      <c r="H590" s="339">
        <f t="shared" si="244"/>
        <v>0</v>
      </c>
      <c r="I590" s="337">
        <f t="shared" si="245"/>
        <v>238216.40743524249</v>
      </c>
      <c r="J590" s="340">
        <f t="shared" si="246"/>
        <v>1.5707921289312365</v>
      </c>
      <c r="K590" s="348">
        <f t="shared" si="236"/>
        <v>21.981309135694872</v>
      </c>
      <c r="L590" s="349">
        <f t="shared" si="237"/>
        <v>1.5252874240288727</v>
      </c>
      <c r="M590" s="337">
        <f t="shared" si="247"/>
        <v>1.0064588752596493</v>
      </c>
      <c r="N590" s="340">
        <f t="shared" si="248"/>
        <v>0.1133516790288874</v>
      </c>
      <c r="O590" s="341">
        <f t="shared" si="249"/>
        <v>0.98600598691106478</v>
      </c>
      <c r="P590" s="342">
        <f t="shared" si="250"/>
        <v>2.8939020189152741E-2</v>
      </c>
      <c r="Q590" s="343">
        <f t="shared" si="251"/>
        <v>-6.4028324106877008</v>
      </c>
      <c r="R590" s="344">
        <f t="shared" si="252"/>
        <v>-96.239600441714984</v>
      </c>
      <c r="S590" s="346">
        <f t="shared" si="253"/>
        <v>83.760399558285016</v>
      </c>
      <c r="U590" s="319">
        <f t="shared" ref="U590:U613" si="259">IF(Q590&lt;0,A590,1000000000)</f>
        <v>126030</v>
      </c>
      <c r="V590" s="319">
        <f t="shared" ref="V590:V613" si="260">A590^2</f>
        <v>15883560900</v>
      </c>
      <c r="X590" s="345">
        <f t="shared" si="254"/>
        <v>16.952941387757413</v>
      </c>
      <c r="Y590" s="346">
        <f t="shared" si="255"/>
        <v>-9.1018003583708413</v>
      </c>
      <c r="AA590" s="345">
        <f t="shared" si="256"/>
        <v>12.654400165156352</v>
      </c>
      <c r="AB590" s="346">
        <f t="shared" si="257"/>
        <v>-87.137800083344132</v>
      </c>
      <c r="AD590">
        <f t="shared" ref="AD590:AD613" si="261">SUM((Q591&lt;0)*(Q590&gt;0))*A590</f>
        <v>0</v>
      </c>
      <c r="AE590">
        <f t="shared" si="238"/>
        <v>0</v>
      </c>
    </row>
    <row r="591" spans="1:31" x14ac:dyDescent="0.2">
      <c r="A591" s="347">
        <v>131830</v>
      </c>
      <c r="B591" s="364">
        <f t="shared" si="258"/>
        <v>131.83000000000001</v>
      </c>
      <c r="C591" s="337">
        <f t="shared" si="239"/>
        <v>14.649068453550321</v>
      </c>
      <c r="D591" s="338">
        <f t="shared" si="240"/>
        <v>1.5024794715364094</v>
      </c>
      <c r="E591" s="338">
        <f t="shared" si="241"/>
        <v>1.0000303114958777</v>
      </c>
      <c r="F591" s="339">
        <f t="shared" si="242"/>
        <v>7.785978453853694E-3</v>
      </c>
      <c r="G591" s="338">
        <f t="shared" si="243"/>
        <v>1</v>
      </c>
      <c r="H591" s="339">
        <f t="shared" si="244"/>
        <v>0</v>
      </c>
      <c r="I591" s="337">
        <f t="shared" si="245"/>
        <v>249179.31438676672</v>
      </c>
      <c r="J591" s="340">
        <f t="shared" si="246"/>
        <v>1.5707923136206792</v>
      </c>
      <c r="K591" s="348">
        <f t="shared" si="236"/>
        <v>22.990858650664268</v>
      </c>
      <c r="L591" s="349">
        <f t="shared" si="237"/>
        <v>1.5272870523310897</v>
      </c>
      <c r="M591" s="337">
        <f t="shared" si="247"/>
        <v>1.0070649057796024</v>
      </c>
      <c r="N591" s="340">
        <f t="shared" si="248"/>
        <v>0.11852055457114409</v>
      </c>
      <c r="O591" s="341">
        <f t="shared" si="249"/>
        <v>0.98468893115674871</v>
      </c>
      <c r="P591" s="342">
        <f t="shared" si="250"/>
        <v>3.0311715907475001E-2</v>
      </c>
      <c r="Q591" s="343">
        <f t="shared" si="251"/>
        <v>-6.7861031150814739</v>
      </c>
      <c r="R591" s="344">
        <f t="shared" si="252"/>
        <v>-96.659757742028575</v>
      </c>
      <c r="S591" s="346">
        <f t="shared" si="253"/>
        <v>83.340242257971425</v>
      </c>
      <c r="U591" s="319">
        <f t="shared" si="259"/>
        <v>131830</v>
      </c>
      <c r="V591" s="319">
        <f t="shared" si="260"/>
        <v>17379148900</v>
      </c>
      <c r="X591" s="345">
        <f t="shared" si="254"/>
        <v>16.946939258818869</v>
      </c>
      <c r="Y591" s="346">
        <f t="shared" si="255"/>
        <v>-9.2833954315916891</v>
      </c>
      <c r="AA591" s="345">
        <f t="shared" si="256"/>
        <v>12.277131589701122</v>
      </c>
      <c r="AB591" s="346">
        <f t="shared" si="257"/>
        <v>-87.376362310436875</v>
      </c>
      <c r="AD591">
        <f t="shared" si="261"/>
        <v>0</v>
      </c>
      <c r="AE591">
        <f t="shared" si="238"/>
        <v>0</v>
      </c>
    </row>
    <row r="592" spans="1:31" x14ac:dyDescent="0.2">
      <c r="A592" s="347">
        <v>144540</v>
      </c>
      <c r="B592" s="364">
        <f t="shared" si="258"/>
        <v>144.54</v>
      </c>
      <c r="C592" s="337">
        <f t="shared" si="239"/>
        <v>16.055121800867273</v>
      </c>
      <c r="D592" s="338">
        <f t="shared" si="240"/>
        <v>1.5084705641680893</v>
      </c>
      <c r="E592" s="338">
        <f t="shared" si="241"/>
        <v>1.0000364379248405</v>
      </c>
      <c r="F592" s="339">
        <f t="shared" si="242"/>
        <v>8.5366057001167363E-3</v>
      </c>
      <c r="G592" s="338">
        <f t="shared" si="243"/>
        <v>1</v>
      </c>
      <c r="H592" s="339">
        <f t="shared" si="244"/>
        <v>0</v>
      </c>
      <c r="I592" s="337">
        <f t="shared" si="245"/>
        <v>273203.2018615983</v>
      </c>
      <c r="J592" s="340">
        <f t="shared" si="246"/>
        <v>1.5707926665156862</v>
      </c>
      <c r="K592" s="348">
        <f t="shared" si="236"/>
        <v>25.203444930275502</v>
      </c>
      <c r="L592" s="349">
        <f t="shared" si="237"/>
        <v>1.5311087932956098</v>
      </c>
      <c r="M592" s="337">
        <f t="shared" si="247"/>
        <v>1.0084868474530493</v>
      </c>
      <c r="N592" s="340">
        <f t="shared" si="248"/>
        <v>0.12982493445202847</v>
      </c>
      <c r="O592" s="341">
        <f t="shared" si="249"/>
        <v>0.9815960071209392</v>
      </c>
      <c r="P592" s="342">
        <f t="shared" si="250"/>
        <v>3.3339919418883444E-2</v>
      </c>
      <c r="Q592" s="343">
        <f t="shared" si="251"/>
        <v>-7.5684335691795006</v>
      </c>
      <c r="R592" s="344">
        <f t="shared" si="252"/>
        <v>-97.562261421961523</v>
      </c>
      <c r="S592" s="346">
        <f t="shared" si="253"/>
        <v>82.437738578038477</v>
      </c>
      <c r="U592" s="319">
        <f t="shared" si="259"/>
        <v>144540</v>
      </c>
      <c r="V592" s="319">
        <f t="shared" si="260"/>
        <v>20891811600</v>
      </c>
      <c r="X592" s="345">
        <f t="shared" si="254"/>
        <v>16.933302058931094</v>
      </c>
      <c r="Y592" s="346">
        <f t="shared" si="255"/>
        <v>-9.7121392810041272</v>
      </c>
      <c r="AA592" s="345">
        <f t="shared" si="256"/>
        <v>11.508438335490872</v>
      </c>
      <c r="AB592" s="346">
        <f t="shared" si="257"/>
        <v>-87.85012214095741</v>
      </c>
      <c r="AD592">
        <f t="shared" si="261"/>
        <v>0</v>
      </c>
      <c r="AE592">
        <f t="shared" si="238"/>
        <v>0</v>
      </c>
    </row>
    <row r="593" spans="1:31" x14ac:dyDescent="0.2">
      <c r="A593" s="347">
        <v>158490</v>
      </c>
      <c r="B593" s="364">
        <f t="shared" si="258"/>
        <v>158.49</v>
      </c>
      <c r="C593" s="337">
        <f t="shared" si="239"/>
        <v>17.598903249474365</v>
      </c>
      <c r="D593" s="338">
        <f t="shared" si="240"/>
        <v>1.513943982805469</v>
      </c>
      <c r="E593" s="338">
        <f t="shared" si="241"/>
        <v>1.0000438106467868</v>
      </c>
      <c r="F593" s="339">
        <f t="shared" si="242"/>
        <v>9.3604537677618466E-3</v>
      </c>
      <c r="G593" s="338">
        <f t="shared" si="243"/>
        <v>1</v>
      </c>
      <c r="H593" s="339">
        <f t="shared" si="244"/>
        <v>0</v>
      </c>
      <c r="I593" s="337">
        <f t="shared" si="245"/>
        <v>299570.88323644589</v>
      </c>
      <c r="J593" s="340">
        <f t="shared" si="246"/>
        <v>1.5707929886867695</v>
      </c>
      <c r="K593" s="348">
        <f t="shared" si="236"/>
        <v>27.632245849087123</v>
      </c>
      <c r="L593" s="349">
        <f t="shared" si="237"/>
        <v>1.5345988198881655</v>
      </c>
      <c r="M593" s="337">
        <f t="shared" si="247"/>
        <v>1.0101954110722908</v>
      </c>
      <c r="N593" s="340">
        <f t="shared" si="248"/>
        <v>0.14219378366400712</v>
      </c>
      <c r="O593" s="341">
        <f t="shared" si="249"/>
        <v>0.97787466083437458</v>
      </c>
      <c r="P593" s="342">
        <f t="shared" si="250"/>
        <v>3.6698218130051218E-2</v>
      </c>
      <c r="Q593" s="343">
        <f t="shared" si="251"/>
        <v>-8.3486715028566945</v>
      </c>
      <c r="R593" s="344">
        <f t="shared" si="252"/>
        <v>-98.529816057936898</v>
      </c>
      <c r="S593" s="346">
        <f t="shared" si="253"/>
        <v>81.470183942063102</v>
      </c>
      <c r="U593" s="319">
        <f t="shared" si="259"/>
        <v>158490</v>
      </c>
      <c r="V593" s="319">
        <f t="shared" si="260"/>
        <v>25119080100</v>
      </c>
      <c r="X593" s="345">
        <f t="shared" si="254"/>
        <v>16.917448261044541</v>
      </c>
      <c r="Y593" s="346">
        <f t="shared" si="255"/>
        <v>-10.220876803767029</v>
      </c>
      <c r="AA593" s="345">
        <f t="shared" si="256"/>
        <v>10.744054199700233</v>
      </c>
      <c r="AB593" s="346">
        <f t="shared" si="257"/>
        <v>-88.308939254169857</v>
      </c>
      <c r="AD593">
        <f t="shared" si="261"/>
        <v>0</v>
      </c>
      <c r="AE593">
        <f t="shared" si="238"/>
        <v>0</v>
      </c>
    </row>
    <row r="594" spans="1:31" x14ac:dyDescent="0.2">
      <c r="A594" s="347">
        <v>173780</v>
      </c>
      <c r="B594" s="364">
        <f t="shared" si="258"/>
        <v>173.78</v>
      </c>
      <c r="C594" s="337">
        <f t="shared" si="239"/>
        <v>19.291480285955696</v>
      </c>
      <c r="D594" s="338">
        <f t="shared" si="240"/>
        <v>1.5189367306344652</v>
      </c>
      <c r="E594" s="338">
        <f t="shared" si="241"/>
        <v>1.0000526712464297</v>
      </c>
      <c r="F594" s="339">
        <f t="shared" si="242"/>
        <v>1.0263423858560806E-2</v>
      </c>
      <c r="G594" s="338">
        <f t="shared" si="243"/>
        <v>1</v>
      </c>
      <c r="H594" s="339">
        <f t="shared" si="244"/>
        <v>0</v>
      </c>
      <c r="I594" s="337">
        <f t="shared" si="245"/>
        <v>328471.37414840545</v>
      </c>
      <c r="J594" s="340">
        <f t="shared" si="246"/>
        <v>1.5707932823895734</v>
      </c>
      <c r="K594" s="348">
        <f t="shared" si="236"/>
        <v>30.294672586291966</v>
      </c>
      <c r="L594" s="349">
        <f t="shared" si="237"/>
        <v>1.5377812253307812</v>
      </c>
      <c r="M594" s="337">
        <f t="shared" si="247"/>
        <v>1.0122449783295391</v>
      </c>
      <c r="N594" s="340">
        <f t="shared" si="248"/>
        <v>0.15570048546484525</v>
      </c>
      <c r="O594" s="341">
        <f t="shared" si="249"/>
        <v>0.97340343865261847</v>
      </c>
      <c r="P594" s="342">
        <f t="shared" si="250"/>
        <v>4.0425372484615675E-2</v>
      </c>
      <c r="Q594" s="343">
        <f t="shared" si="251"/>
        <v>-9.1249489715387853</v>
      </c>
      <c r="R594" s="344">
        <f t="shared" si="252"/>
        <v>-99.56924871247972</v>
      </c>
      <c r="S594" s="346">
        <f t="shared" si="253"/>
        <v>80.43075128752028</v>
      </c>
      <c r="U594" s="319">
        <f t="shared" si="259"/>
        <v>173780</v>
      </c>
      <c r="V594" s="319">
        <f t="shared" si="260"/>
        <v>30199488400</v>
      </c>
      <c r="X594" s="345">
        <f t="shared" si="254"/>
        <v>16.898886498050921</v>
      </c>
      <c r="Y594" s="346">
        <f t="shared" si="255"/>
        <v>-10.812432240142501</v>
      </c>
      <c r="AA594" s="345">
        <f t="shared" si="256"/>
        <v>9.9863384940117577</v>
      </c>
      <c r="AB594" s="346">
        <f t="shared" si="257"/>
        <v>-88.756816472337235</v>
      </c>
      <c r="AD594">
        <f t="shared" si="261"/>
        <v>0</v>
      </c>
      <c r="AE594">
        <f t="shared" si="238"/>
        <v>0</v>
      </c>
    </row>
    <row r="595" spans="1:31" x14ac:dyDescent="0.2">
      <c r="A595" s="347">
        <v>190550</v>
      </c>
      <c r="B595" s="364">
        <f t="shared" si="258"/>
        <v>190.55</v>
      </c>
      <c r="C595" s="337">
        <f t="shared" si="239"/>
        <v>21.148350969803015</v>
      </c>
      <c r="D595" s="338">
        <f t="shared" si="240"/>
        <v>1.5234936778917316</v>
      </c>
      <c r="E595" s="338">
        <f t="shared" si="241"/>
        <v>1.0000633271002886</v>
      </c>
      <c r="F595" s="339">
        <f t="shared" si="242"/>
        <v>1.1253777902055983E-2</v>
      </c>
      <c r="G595" s="338">
        <f t="shared" si="243"/>
        <v>1</v>
      </c>
      <c r="H595" s="339">
        <f t="shared" si="244"/>
        <v>0</v>
      </c>
      <c r="I595" s="337">
        <f t="shared" si="245"/>
        <v>360169.29648941103</v>
      </c>
      <c r="J595" s="340">
        <f t="shared" si="246"/>
        <v>1.570793550322805</v>
      </c>
      <c r="K595" s="348">
        <f t="shared" si="236"/>
        <v>33.215103196369753</v>
      </c>
      <c r="L595" s="349">
        <f t="shared" si="237"/>
        <v>1.5406849908312759</v>
      </c>
      <c r="M595" s="337">
        <f t="shared" si="247"/>
        <v>1.0147043512769374</v>
      </c>
      <c r="N595" s="340">
        <f t="shared" si="248"/>
        <v>0.17044883075771239</v>
      </c>
      <c r="O595" s="341">
        <f t="shared" si="249"/>
        <v>0.96802794567687134</v>
      </c>
      <c r="P595" s="342">
        <f t="shared" si="250"/>
        <v>4.4575241721247209E-2</v>
      </c>
      <c r="Q595" s="343">
        <f t="shared" si="251"/>
        <v>-9.896850094563419</v>
      </c>
      <c r="R595" s="344">
        <f t="shared" si="252"/>
        <v>-100.69002922859191</v>
      </c>
      <c r="S595" s="346">
        <f t="shared" si="253"/>
        <v>79.309970771408089</v>
      </c>
      <c r="U595" s="319">
        <f t="shared" si="259"/>
        <v>190550</v>
      </c>
      <c r="V595" s="319">
        <f t="shared" si="260"/>
        <v>36309302500</v>
      </c>
      <c r="X595" s="345">
        <f t="shared" si="254"/>
        <v>16.877012316549624</v>
      </c>
      <c r="Y595" s="346">
        <f t="shared" si="255"/>
        <v>-11.491092024570232</v>
      </c>
      <c r="AA595" s="345">
        <f t="shared" si="256"/>
        <v>9.2363115524884218</v>
      </c>
      <c r="AB595" s="346">
        <f t="shared" si="257"/>
        <v>-89.198937204021689</v>
      </c>
      <c r="AD595">
        <f t="shared" si="261"/>
        <v>0</v>
      </c>
      <c r="AE595">
        <f t="shared" si="238"/>
        <v>0</v>
      </c>
    </row>
    <row r="596" spans="1:31" x14ac:dyDescent="0.2">
      <c r="A596" s="347">
        <v>208930</v>
      </c>
      <c r="B596" s="364">
        <f t="shared" si="258"/>
        <v>208.93</v>
      </c>
      <c r="C596" s="337">
        <f t="shared" si="239"/>
        <v>23.183909838252774</v>
      </c>
      <c r="D596" s="338">
        <f t="shared" si="240"/>
        <v>1.5276495776899941</v>
      </c>
      <c r="E596" s="338">
        <f t="shared" si="241"/>
        <v>1.000076132575898</v>
      </c>
      <c r="F596" s="339">
        <f t="shared" si="242"/>
        <v>1.2339185230071142E-2</v>
      </c>
      <c r="G596" s="338">
        <f t="shared" si="243"/>
        <v>1</v>
      </c>
      <c r="H596" s="339">
        <f t="shared" si="244"/>
        <v>0</v>
      </c>
      <c r="I596" s="337">
        <f t="shared" si="245"/>
        <v>394910.37058768753</v>
      </c>
      <c r="J596" s="340">
        <f t="shared" si="246"/>
        <v>1.5707937945747412</v>
      </c>
      <c r="K596" s="348">
        <f t="shared" si="236"/>
        <v>36.416176689337867</v>
      </c>
      <c r="L596" s="349">
        <f t="shared" si="237"/>
        <v>1.5433325507530753</v>
      </c>
      <c r="M596" s="337">
        <f t="shared" si="247"/>
        <v>1.0176520288040662</v>
      </c>
      <c r="N596" s="340">
        <f t="shared" si="248"/>
        <v>0.18652731252646829</v>
      </c>
      <c r="O596" s="341">
        <f t="shared" si="249"/>
        <v>0.96157046821048187</v>
      </c>
      <c r="P596" s="342">
        <f t="shared" si="250"/>
        <v>4.9206647785839962E-2</v>
      </c>
      <c r="Q596" s="343">
        <f t="shared" si="251"/>
        <v>-10.66266450555619</v>
      </c>
      <c r="R596" s="344">
        <f t="shared" si="252"/>
        <v>-101.90086464166555</v>
      </c>
      <c r="S596" s="346">
        <f t="shared" si="253"/>
        <v>78.099135358334451</v>
      </c>
      <c r="U596" s="319">
        <f t="shared" si="259"/>
        <v>208930</v>
      </c>
      <c r="V596" s="319">
        <f t="shared" si="260"/>
        <v>43651744900</v>
      </c>
      <c r="X596" s="345">
        <f t="shared" si="254"/>
        <v>16.851154522267311</v>
      </c>
      <c r="Y596" s="346">
        <f t="shared" si="255"/>
        <v>-12.26064115685532</v>
      </c>
      <c r="AA596" s="345">
        <f t="shared" si="256"/>
        <v>8.4963549357779691</v>
      </c>
      <c r="AB596" s="346">
        <f t="shared" si="257"/>
        <v>-89.640223484810249</v>
      </c>
      <c r="AD596">
        <f t="shared" si="261"/>
        <v>0</v>
      </c>
      <c r="AE596">
        <f t="shared" si="238"/>
        <v>0</v>
      </c>
    </row>
    <row r="597" spans="1:31" x14ac:dyDescent="0.2">
      <c r="A597" s="347">
        <v>229090</v>
      </c>
      <c r="B597" s="364">
        <f t="shared" si="258"/>
        <v>229.09</v>
      </c>
      <c r="C597" s="337">
        <f t="shared" si="239"/>
        <v>25.416984312201457</v>
      </c>
      <c r="D597" s="338">
        <f t="shared" si="240"/>
        <v>1.5314423988740786</v>
      </c>
      <c r="E597" s="338">
        <f t="shared" si="241"/>
        <v>1.0000915330293807</v>
      </c>
      <c r="F597" s="339">
        <f t="shared" si="242"/>
        <v>1.3529674645991382E-2</v>
      </c>
      <c r="G597" s="338">
        <f t="shared" si="243"/>
        <v>1</v>
      </c>
      <c r="H597" s="339">
        <f t="shared" si="244"/>
        <v>0</v>
      </c>
      <c r="I597" s="337">
        <f t="shared" si="245"/>
        <v>433015.92302629841</v>
      </c>
      <c r="J597" s="340">
        <f t="shared" si="246"/>
        <v>1.5707940174109991</v>
      </c>
      <c r="K597" s="348">
        <f t="shared" si="236"/>
        <v>39.927500403716444</v>
      </c>
      <c r="L597" s="349">
        <f t="shared" si="237"/>
        <v>1.5457483131525001</v>
      </c>
      <c r="M597" s="337">
        <f t="shared" si="247"/>
        <v>1.0211858214976426</v>
      </c>
      <c r="N597" s="340">
        <f t="shared" si="248"/>
        <v>0.20405111382551946</v>
      </c>
      <c r="O597" s="341">
        <f t="shared" si="249"/>
        <v>0.95380798517999121</v>
      </c>
      <c r="P597" s="342">
        <f t="shared" si="250"/>
        <v>5.439866143837311E-2</v>
      </c>
      <c r="Q597" s="343">
        <f t="shared" si="251"/>
        <v>-11.421534854014354</v>
      </c>
      <c r="R597" s="344">
        <f t="shared" si="252"/>
        <v>-103.21308737308325</v>
      </c>
      <c r="S597" s="346">
        <f t="shared" si="253"/>
        <v>76.786912626916745</v>
      </c>
      <c r="U597" s="319">
        <f t="shared" si="259"/>
        <v>229090</v>
      </c>
      <c r="V597" s="319">
        <f t="shared" si="260"/>
        <v>52482228100</v>
      </c>
      <c r="X597" s="345">
        <f t="shared" si="254"/>
        <v>16.820493996209965</v>
      </c>
      <c r="Y597" s="346">
        <f t="shared" si="255"/>
        <v>-13.126280791089616</v>
      </c>
      <c r="AA597" s="345">
        <f t="shared" si="256"/>
        <v>7.7681451133771446</v>
      </c>
      <c r="AB597" s="346">
        <f t="shared" si="257"/>
        <v>-90.086806581993642</v>
      </c>
      <c r="AD597">
        <f t="shared" si="261"/>
        <v>0</v>
      </c>
      <c r="AE597">
        <f t="shared" si="238"/>
        <v>0</v>
      </c>
    </row>
    <row r="598" spans="1:31" x14ac:dyDescent="0.2">
      <c r="A598" s="347">
        <v>251190</v>
      </c>
      <c r="B598" s="364">
        <f t="shared" si="258"/>
        <v>251.19</v>
      </c>
      <c r="C598" s="337">
        <f t="shared" si="239"/>
        <v>27.865297427407071</v>
      </c>
      <c r="D598" s="338">
        <f t="shared" si="240"/>
        <v>1.5349016885841495</v>
      </c>
      <c r="E598" s="338">
        <f t="shared" si="241"/>
        <v>1.0001100439685324</v>
      </c>
      <c r="F598" s="339">
        <f t="shared" si="242"/>
        <v>1.4834680858321828E-2</v>
      </c>
      <c r="G598" s="338">
        <f t="shared" si="243"/>
        <v>1</v>
      </c>
      <c r="H598" s="339">
        <f t="shared" si="244"/>
        <v>0</v>
      </c>
      <c r="I598" s="337">
        <f t="shared" si="245"/>
        <v>474788.37882459781</v>
      </c>
      <c r="J598" s="340">
        <f t="shared" si="246"/>
        <v>1.5707942205933876</v>
      </c>
      <c r="K598" s="348">
        <f t="shared" si="236"/>
        <v>43.776942067187257</v>
      </c>
      <c r="L598" s="349">
        <f t="shared" si="237"/>
        <v>1.5479512640544049</v>
      </c>
      <c r="M598" s="337">
        <f t="shared" si="247"/>
        <v>1.0254173028391793</v>
      </c>
      <c r="N598" s="340">
        <f t="shared" si="248"/>
        <v>0.22311593818831796</v>
      </c>
      <c r="O598" s="341">
        <f t="shared" si="249"/>
        <v>0.94448298613365411</v>
      </c>
      <c r="P598" s="342">
        <f t="shared" si="250"/>
        <v>6.0242049828893723E-2</v>
      </c>
      <c r="Q598" s="343">
        <f t="shared" si="251"/>
        <v>-12.171206625967482</v>
      </c>
      <c r="R598" s="344">
        <f t="shared" si="252"/>
        <v>-104.63744604532479</v>
      </c>
      <c r="S598" s="346">
        <f t="shared" si="253"/>
        <v>75.362553954675207</v>
      </c>
      <c r="U598" s="319">
        <f t="shared" si="259"/>
        <v>251190</v>
      </c>
      <c r="V598" s="319">
        <f t="shared" si="260"/>
        <v>63096416100</v>
      </c>
      <c r="X598" s="345">
        <f t="shared" si="254"/>
        <v>16.784118398230873</v>
      </c>
      <c r="Y598" s="346">
        <f t="shared" si="255"/>
        <v>-14.092406617679762</v>
      </c>
      <c r="AA598" s="345">
        <f t="shared" si="256"/>
        <v>7.0548489394031098</v>
      </c>
      <c r="AB598" s="346">
        <f t="shared" si="257"/>
        <v>-90.545039427645037</v>
      </c>
      <c r="AD598">
        <f t="shared" si="261"/>
        <v>0</v>
      </c>
      <c r="AE598">
        <f t="shared" si="238"/>
        <v>0</v>
      </c>
    </row>
    <row r="599" spans="1:31" x14ac:dyDescent="0.2">
      <c r="A599" s="347">
        <v>275420</v>
      </c>
      <c r="B599" s="364">
        <f t="shared" si="258"/>
        <v>275.42</v>
      </c>
      <c r="C599" s="337">
        <f t="shared" si="239"/>
        <v>30.549898009018129</v>
      </c>
      <c r="D599" s="338">
        <f t="shared" si="240"/>
        <v>1.5380571450017577</v>
      </c>
      <c r="E599" s="338">
        <f t="shared" si="241"/>
        <v>1.0001322962908998</v>
      </c>
      <c r="F599" s="339">
        <f t="shared" si="242"/>
        <v>1.6265405453849018E-2</v>
      </c>
      <c r="G599" s="338">
        <f t="shared" si="243"/>
        <v>1</v>
      </c>
      <c r="H599" s="339">
        <f t="shared" si="244"/>
        <v>0</v>
      </c>
      <c r="I599" s="337">
        <f t="shared" si="245"/>
        <v>520586.86769306875</v>
      </c>
      <c r="J599" s="340">
        <f t="shared" si="246"/>
        <v>1.5707944058858956</v>
      </c>
      <c r="K599" s="348">
        <f t="shared" ref="K599:K613" si="262">SQRT(1+(A599/Zero2)^2)</f>
        <v>47.99759636640055</v>
      </c>
      <c r="L599" s="349">
        <f t="shared" ref="L599:L613" si="263">ATAN(A599/Zero2)</f>
        <v>1.5499604426037599</v>
      </c>
      <c r="M599" s="337">
        <f t="shared" si="247"/>
        <v>1.0304811448179214</v>
      </c>
      <c r="N599" s="340">
        <f t="shared" si="248"/>
        <v>0.24382991206275717</v>
      </c>
      <c r="O599" s="341">
        <f t="shared" si="249"/>
        <v>0.93328114185592337</v>
      </c>
      <c r="P599" s="342">
        <f t="shared" si="250"/>
        <v>6.6855227749544277E-2</v>
      </c>
      <c r="Q599" s="343">
        <f t="shared" si="251"/>
        <v>-12.909471407200193</v>
      </c>
      <c r="R599" s="344">
        <f t="shared" si="252"/>
        <v>-106.18688953057688</v>
      </c>
      <c r="S599" s="346">
        <f t="shared" si="253"/>
        <v>73.813110469423123</v>
      </c>
      <c r="U599" s="319">
        <f t="shared" si="259"/>
        <v>275420</v>
      </c>
      <c r="V599" s="319">
        <f t="shared" si="260"/>
        <v>75856176400</v>
      </c>
      <c r="X599" s="345">
        <f t="shared" si="254"/>
        <v>16.740949022895258</v>
      </c>
      <c r="Y599" s="346">
        <f t="shared" si="255"/>
        <v>-15.164123064166423</v>
      </c>
      <c r="AA599" s="345">
        <f t="shared" si="256"/>
        <v>6.3597535335060158</v>
      </c>
      <c r="AB599" s="346">
        <f t="shared" si="257"/>
        <v>-91.022766466410445</v>
      </c>
      <c r="AD599">
        <f t="shared" si="261"/>
        <v>0</v>
      </c>
      <c r="AE599">
        <f t="shared" si="238"/>
        <v>0</v>
      </c>
    </row>
    <row r="600" spans="1:31" x14ac:dyDescent="0.2">
      <c r="A600" s="347">
        <v>302000</v>
      </c>
      <c r="B600" s="364">
        <f t="shared" si="258"/>
        <v>302</v>
      </c>
      <c r="C600" s="337">
        <f t="shared" si="239"/>
        <v>33.495161561514927</v>
      </c>
      <c r="D600" s="338">
        <f t="shared" si="240"/>
        <v>1.5409368316596581</v>
      </c>
      <c r="E600" s="338">
        <f t="shared" si="241"/>
        <v>1.0001590613978644</v>
      </c>
      <c r="F600" s="339">
        <f t="shared" si="242"/>
        <v>1.7834815219239842E-2</v>
      </c>
      <c r="G600" s="338">
        <f t="shared" si="243"/>
        <v>1</v>
      </c>
      <c r="H600" s="339">
        <f t="shared" si="244"/>
        <v>0</v>
      </c>
      <c r="I600" s="337">
        <f t="shared" si="245"/>
        <v>570827.22403332347</v>
      </c>
      <c r="J600" s="340">
        <f t="shared" si="246"/>
        <v>1.5707945749513301</v>
      </c>
      <c r="K600" s="348">
        <f t="shared" si="262"/>
        <v>52.627785509918084</v>
      </c>
      <c r="L600" s="349">
        <f t="shared" si="263"/>
        <v>1.5517938136655689</v>
      </c>
      <c r="M600" s="337">
        <f t="shared" si="247"/>
        <v>1.0365393128008296</v>
      </c>
      <c r="N600" s="340">
        <f t="shared" si="248"/>
        <v>0.26630934593321509</v>
      </c>
      <c r="O600" s="341">
        <f t="shared" si="249"/>
        <v>0.9198194174309805</v>
      </c>
      <c r="P600" s="342">
        <f t="shared" si="250"/>
        <v>7.4393304992858775E-2</v>
      </c>
      <c r="Q600" s="343">
        <f t="shared" si="251"/>
        <v>-13.633718679201701</v>
      </c>
      <c r="R600" s="344">
        <f t="shared" si="252"/>
        <v>-107.87680482936116</v>
      </c>
      <c r="S600" s="346">
        <f t="shared" si="253"/>
        <v>72.123195170638837</v>
      </c>
      <c r="U600" s="319">
        <f t="shared" si="259"/>
        <v>302000</v>
      </c>
      <c r="V600" s="319">
        <f t="shared" si="260"/>
        <v>91204000000</v>
      </c>
      <c r="X600" s="345">
        <f t="shared" si="254"/>
        <v>16.689717208113613</v>
      </c>
      <c r="Y600" s="346">
        <f t="shared" si="255"/>
        <v>-16.347065014751589</v>
      </c>
      <c r="AA600" s="345">
        <f t="shared" si="256"/>
        <v>5.6867380762861517</v>
      </c>
      <c r="AB600" s="346">
        <f t="shared" si="257"/>
        <v>-91.529739814609584</v>
      </c>
      <c r="AD600">
        <f t="shared" si="261"/>
        <v>0</v>
      </c>
      <c r="AE600">
        <f t="shared" si="238"/>
        <v>0</v>
      </c>
    </row>
    <row r="601" spans="1:31" x14ac:dyDescent="0.2">
      <c r="A601" s="347">
        <v>331130</v>
      </c>
      <c r="B601" s="364">
        <f t="shared" si="258"/>
        <v>331.13</v>
      </c>
      <c r="C601" s="337">
        <f t="shared" si="239"/>
        <v>36.723249643314119</v>
      </c>
      <c r="D601" s="338">
        <f t="shared" si="240"/>
        <v>1.5435622547508518</v>
      </c>
      <c r="E601" s="338">
        <f t="shared" si="241"/>
        <v>1.0001912233771313</v>
      </c>
      <c r="F601" s="339">
        <f t="shared" si="242"/>
        <v>1.9554687935100356E-2</v>
      </c>
      <c r="G601" s="338">
        <f t="shared" si="243"/>
        <v>1</v>
      </c>
      <c r="H601" s="339">
        <f t="shared" si="244"/>
        <v>0</v>
      </c>
      <c r="I601" s="337">
        <f t="shared" si="245"/>
        <v>625887.47911955498</v>
      </c>
      <c r="J601" s="340">
        <f t="shared" si="246"/>
        <v>1.5707947290636217</v>
      </c>
      <c r="K601" s="348">
        <f t="shared" si="262"/>
        <v>57.702349154026351</v>
      </c>
      <c r="L601" s="349">
        <f t="shared" si="263"/>
        <v>1.5534651422231092</v>
      </c>
      <c r="M601" s="337">
        <f t="shared" si="247"/>
        <v>1.0437727410673694</v>
      </c>
      <c r="N601" s="340">
        <f t="shared" si="248"/>
        <v>0.29063201445216846</v>
      </c>
      <c r="O601" s="341">
        <f t="shared" si="249"/>
        <v>0.90366122369498258</v>
      </c>
      <c r="P601" s="342">
        <f t="shared" si="250"/>
        <v>8.3046439307953801E-2</v>
      </c>
      <c r="Q601" s="343">
        <f t="shared" si="251"/>
        <v>-14.339348614916382</v>
      </c>
      <c r="R601" s="344">
        <f t="shared" si="252"/>
        <v>-109.7223121320167</v>
      </c>
      <c r="S601" s="346">
        <f t="shared" si="253"/>
        <v>70.277687867983303</v>
      </c>
      <c r="U601" s="319">
        <f t="shared" si="259"/>
        <v>331130</v>
      </c>
      <c r="V601" s="319">
        <f t="shared" si="260"/>
        <v>109647076900</v>
      </c>
      <c r="X601" s="345">
        <f t="shared" si="254"/>
        <v>16.629050001082398</v>
      </c>
      <c r="Y601" s="346">
        <f t="shared" si="255"/>
        <v>-17.644900026323452</v>
      </c>
      <c r="AA601" s="345">
        <f t="shared" si="256"/>
        <v>5.041775347602683</v>
      </c>
      <c r="AB601" s="346">
        <f t="shared" si="257"/>
        <v>-92.077412105693242</v>
      </c>
      <c r="AD601">
        <f t="shared" si="261"/>
        <v>0</v>
      </c>
      <c r="AE601">
        <f t="shared" si="238"/>
        <v>0</v>
      </c>
    </row>
    <row r="602" spans="1:31" x14ac:dyDescent="0.2">
      <c r="A602" s="347">
        <v>363080</v>
      </c>
      <c r="B602" s="364">
        <f t="shared" si="258"/>
        <v>363.08</v>
      </c>
      <c r="C602" s="337">
        <f t="shared" si="239"/>
        <v>40.264082726381254</v>
      </c>
      <c r="D602" s="338">
        <f t="shared" si="240"/>
        <v>1.5459577419926427</v>
      </c>
      <c r="E602" s="338">
        <f t="shared" si="241"/>
        <v>1.000229900640593</v>
      </c>
      <c r="F602" s="339">
        <f t="shared" si="242"/>
        <v>2.1440923673126177E-2</v>
      </c>
      <c r="G602" s="338">
        <f t="shared" si="243"/>
        <v>1</v>
      </c>
      <c r="H602" s="339">
        <f t="shared" si="244"/>
        <v>0</v>
      </c>
      <c r="I602" s="337">
        <f t="shared" si="245"/>
        <v>686277.9751719241</v>
      </c>
      <c r="J602" s="340">
        <f t="shared" si="246"/>
        <v>1.5707948696593974</v>
      </c>
      <c r="K602" s="348">
        <f t="shared" si="262"/>
        <v>63.268322358881065</v>
      </c>
      <c r="L602" s="349">
        <f t="shared" si="263"/>
        <v>1.554989970563563</v>
      </c>
      <c r="M602" s="337">
        <f t="shared" si="247"/>
        <v>1.0524059591456123</v>
      </c>
      <c r="N602" s="340">
        <f t="shared" si="248"/>
        <v>0.31690752909392977</v>
      </c>
      <c r="O602" s="341">
        <f t="shared" si="249"/>
        <v>0.88425714841625547</v>
      </c>
      <c r="P602" s="342">
        <f t="shared" si="250"/>
        <v>9.308504833035483E-2</v>
      </c>
      <c r="Q602" s="343">
        <f t="shared" si="251"/>
        <v>-15.021771902560161</v>
      </c>
      <c r="R602" s="344">
        <f t="shared" si="252"/>
        <v>-111.74477794603139</v>
      </c>
      <c r="S602" s="346">
        <f t="shared" si="253"/>
        <v>68.255222053968609</v>
      </c>
      <c r="U602" s="319">
        <f t="shared" si="259"/>
        <v>363080</v>
      </c>
      <c r="V602" s="319">
        <f t="shared" si="260"/>
        <v>131827086400</v>
      </c>
      <c r="X602" s="345">
        <f t="shared" si="254"/>
        <v>16.557283579245123</v>
      </c>
      <c r="Y602" s="346">
        <f t="shared" si="255"/>
        <v>-19.063017948605637</v>
      </c>
      <c r="AA602" s="345">
        <f t="shared" si="256"/>
        <v>4.4311184817961848</v>
      </c>
      <c r="AB602" s="346">
        <f t="shared" si="257"/>
        <v>-92.681759997425772</v>
      </c>
      <c r="AD602">
        <f t="shared" si="261"/>
        <v>0</v>
      </c>
      <c r="AE602">
        <f t="shared" ref="AE602:AE613" si="264">IF(AD602&gt;0,S602,0)</f>
        <v>0</v>
      </c>
    </row>
    <row r="603" spans="1:31" x14ac:dyDescent="0.2">
      <c r="A603" s="347">
        <v>398110</v>
      </c>
      <c r="B603" s="364">
        <f t="shared" si="258"/>
        <v>398.11</v>
      </c>
      <c r="C603" s="337">
        <f t="shared" si="239"/>
        <v>44.146475219539433</v>
      </c>
      <c r="D603" s="338">
        <f t="shared" si="240"/>
        <v>1.5481425241388431</v>
      </c>
      <c r="E603" s="338">
        <f t="shared" si="241"/>
        <v>1.0002763959060703</v>
      </c>
      <c r="F603" s="339">
        <f t="shared" si="242"/>
        <v>2.3508817870517798E-2</v>
      </c>
      <c r="G603" s="338">
        <f t="shared" si="243"/>
        <v>1</v>
      </c>
      <c r="H603" s="339">
        <f t="shared" si="244"/>
        <v>0</v>
      </c>
      <c r="I603" s="337">
        <f t="shared" si="245"/>
        <v>752490.152846882</v>
      </c>
      <c r="J603" s="340">
        <f t="shared" si="246"/>
        <v>1.570794997873852</v>
      </c>
      <c r="K603" s="348">
        <f t="shared" si="262"/>
        <v>69.370999488291289</v>
      </c>
      <c r="L603" s="349">
        <f t="shared" si="263"/>
        <v>1.5563805818318204</v>
      </c>
      <c r="M603" s="337">
        <f t="shared" si="247"/>
        <v>1.0626918531074039</v>
      </c>
      <c r="N603" s="340">
        <f t="shared" si="248"/>
        <v>0.34520366204130309</v>
      </c>
      <c r="O603" s="341">
        <f t="shared" si="249"/>
        <v>0.86097322770177553</v>
      </c>
      <c r="P603" s="342">
        <f t="shared" si="250"/>
        <v>0.10486692780922867</v>
      </c>
      <c r="Q603" s="343">
        <f t="shared" si="251"/>
        <v>-15.673817580266359</v>
      </c>
      <c r="R603" s="344">
        <f t="shared" si="252"/>
        <v>-113.96810728754407</v>
      </c>
      <c r="S603" s="346">
        <f t="shared" si="253"/>
        <v>66.031892712455928</v>
      </c>
      <c r="U603" s="319">
        <f t="shared" si="259"/>
        <v>398110</v>
      </c>
      <c r="V603" s="319">
        <f t="shared" si="260"/>
        <v>158491572100</v>
      </c>
      <c r="X603" s="345">
        <f t="shared" si="254"/>
        <v>16.472619991573907</v>
      </c>
      <c r="Y603" s="346">
        <f t="shared" si="255"/>
        <v>-20.60459813432535</v>
      </c>
      <c r="AA603" s="345">
        <f t="shared" si="256"/>
        <v>3.863736391761198</v>
      </c>
      <c r="AB603" s="346">
        <f t="shared" si="257"/>
        <v>-93.363509153218729</v>
      </c>
      <c r="AD603">
        <f t="shared" si="261"/>
        <v>0</v>
      </c>
      <c r="AE603">
        <f t="shared" si="264"/>
        <v>0</v>
      </c>
    </row>
    <row r="604" spans="1:31" x14ac:dyDescent="0.2">
      <c r="A604" s="347">
        <v>436520</v>
      </c>
      <c r="B604" s="364">
        <f t="shared" si="258"/>
        <v>436.52</v>
      </c>
      <c r="C604" s="337">
        <f t="shared" si="239"/>
        <v>48.403676284331517</v>
      </c>
      <c r="D604" s="338">
        <f t="shared" si="240"/>
        <v>1.5501352690640757</v>
      </c>
      <c r="E604" s="338">
        <f t="shared" si="241"/>
        <v>1.0003322933038368</v>
      </c>
      <c r="F604" s="339">
        <f t="shared" si="242"/>
        <v>2.5776008776420965E-2</v>
      </c>
      <c r="G604" s="338">
        <f t="shared" si="243"/>
        <v>1</v>
      </c>
      <c r="H604" s="339">
        <f t="shared" si="244"/>
        <v>0</v>
      </c>
      <c r="I604" s="337">
        <f t="shared" si="245"/>
        <v>825091.05905571859</v>
      </c>
      <c r="J604" s="340">
        <f t="shared" si="246"/>
        <v>1.570795114807457</v>
      </c>
      <c r="K604" s="348">
        <f t="shared" si="262"/>
        <v>76.062644400727038</v>
      </c>
      <c r="L604" s="349">
        <f t="shared" si="263"/>
        <v>1.5576488899993148</v>
      </c>
      <c r="M604" s="337">
        <f t="shared" si="247"/>
        <v>1.0749280680530009</v>
      </c>
      <c r="N604" s="340">
        <f t="shared" si="248"/>
        <v>0.37558059971121283</v>
      </c>
      <c r="O604" s="341">
        <f t="shared" si="249"/>
        <v>0.83304748442518695</v>
      </c>
      <c r="P604" s="342">
        <f t="shared" si="250"/>
        <v>0.11890140882202543</v>
      </c>
      <c r="Q604" s="343">
        <f t="shared" si="251"/>
        <v>-16.286173561070886</v>
      </c>
      <c r="R604" s="344">
        <f t="shared" si="252"/>
        <v>-116.42430754134415</v>
      </c>
      <c r="S604" s="346">
        <f t="shared" si="253"/>
        <v>63.575692458655851</v>
      </c>
      <c r="U604" s="319">
        <f t="shared" si="259"/>
        <v>436520</v>
      </c>
      <c r="V604" s="319">
        <f t="shared" si="260"/>
        <v>190549710400</v>
      </c>
      <c r="X604" s="345">
        <f t="shared" si="254"/>
        <v>16.373027119169233</v>
      </c>
      <c r="Y604" s="346">
        <f t="shared" si="255"/>
        <v>-22.272406453931534</v>
      </c>
      <c r="AA604" s="345">
        <f t="shared" si="256"/>
        <v>3.3509732833613515</v>
      </c>
      <c r="AB604" s="346">
        <f t="shared" si="257"/>
        <v>-94.151901087412597</v>
      </c>
      <c r="AD604">
        <f t="shared" si="261"/>
        <v>0</v>
      </c>
      <c r="AE604">
        <f t="shared" si="264"/>
        <v>0</v>
      </c>
    </row>
    <row r="605" spans="1:31" x14ac:dyDescent="0.2">
      <c r="A605" s="347">
        <v>478630</v>
      </c>
      <c r="B605" s="364">
        <f t="shared" si="258"/>
        <v>478.63</v>
      </c>
      <c r="C605" s="337">
        <f t="shared" si="239"/>
        <v>53.071153349512656</v>
      </c>
      <c r="D605" s="338">
        <f t="shared" si="240"/>
        <v>1.5519525836228742</v>
      </c>
      <c r="E605" s="338">
        <f t="shared" si="241"/>
        <v>1.0003994832198981</v>
      </c>
      <c r="F605" s="339">
        <f t="shared" si="242"/>
        <v>2.8261290705894775E-2</v>
      </c>
      <c r="G605" s="338">
        <f t="shared" si="243"/>
        <v>1</v>
      </c>
      <c r="H605" s="339">
        <f t="shared" si="244"/>
        <v>0</v>
      </c>
      <c r="I605" s="337">
        <f t="shared" si="245"/>
        <v>904685.54383714334</v>
      </c>
      <c r="J605" s="340">
        <f t="shared" si="246"/>
        <v>1.5707952214384477</v>
      </c>
      <c r="K605" s="348">
        <f t="shared" si="262"/>
        <v>83.399006270032103</v>
      </c>
      <c r="L605" s="349">
        <f t="shared" si="263"/>
        <v>1.5588054889121334</v>
      </c>
      <c r="M605" s="337">
        <f t="shared" si="247"/>
        <v>1.0894552918310743</v>
      </c>
      <c r="N605" s="340">
        <f t="shared" si="248"/>
        <v>0.40806631686317574</v>
      </c>
      <c r="O605" s="341">
        <f t="shared" si="249"/>
        <v>0.7995867563436716</v>
      </c>
      <c r="P605" s="342">
        <f t="shared" si="250"/>
        <v>0.13592560927931588</v>
      </c>
      <c r="Q605" s="343">
        <f t="shared" si="251"/>
        <v>-16.845836900403544</v>
      </c>
      <c r="R605" s="344">
        <f t="shared" si="252"/>
        <v>-119.15648302953643</v>
      </c>
      <c r="S605" s="346">
        <f t="shared" si="253"/>
        <v>60.843516970463568</v>
      </c>
      <c r="U605" s="319">
        <f t="shared" si="259"/>
        <v>478630</v>
      </c>
      <c r="V605" s="319">
        <f t="shared" si="260"/>
        <v>229086676900</v>
      </c>
      <c r="X605" s="345">
        <f t="shared" si="254"/>
        <v>16.256300650080032</v>
      </c>
      <c r="Y605" s="346">
        <f t="shared" si="255"/>
        <v>-24.067438816457695</v>
      </c>
      <c r="AA605" s="345">
        <f t="shared" si="256"/>
        <v>2.9080364131178911</v>
      </c>
      <c r="AB605" s="346">
        <f t="shared" si="257"/>
        <v>-95.089044213078722</v>
      </c>
      <c r="AD605">
        <f t="shared" si="261"/>
        <v>0</v>
      </c>
      <c r="AE605">
        <f t="shared" si="264"/>
        <v>0</v>
      </c>
    </row>
    <row r="606" spans="1:31" x14ac:dyDescent="0.2">
      <c r="A606" s="347">
        <v>524810</v>
      </c>
      <c r="B606" s="364">
        <f t="shared" si="258"/>
        <v>524.80999999999995</v>
      </c>
      <c r="C606" s="337">
        <f t="shared" si="239"/>
        <v>58.189917281338694</v>
      </c>
      <c r="D606" s="338">
        <f t="shared" si="240"/>
        <v>1.5536103730319961</v>
      </c>
      <c r="E606" s="338">
        <f t="shared" si="241"/>
        <v>1.0004802699055457</v>
      </c>
      <c r="F606" s="339">
        <f t="shared" si="242"/>
        <v>3.0986376629206881E-2</v>
      </c>
      <c r="G606" s="338">
        <f t="shared" si="243"/>
        <v>1</v>
      </c>
      <c r="H606" s="339">
        <f t="shared" si="244"/>
        <v>0</v>
      </c>
      <c r="I606" s="337">
        <f t="shared" si="245"/>
        <v>991972.96504841384</v>
      </c>
      <c r="J606" s="340">
        <f t="shared" si="246"/>
        <v>1.5707953187029069</v>
      </c>
      <c r="K606" s="348">
        <f t="shared" si="262"/>
        <v>91.444546133462794</v>
      </c>
      <c r="L606" s="349">
        <f t="shared" si="263"/>
        <v>1.5598605195265367</v>
      </c>
      <c r="M606" s="337">
        <f t="shared" si="247"/>
        <v>1.1066710952536154</v>
      </c>
      <c r="N606" s="340">
        <f t="shared" si="248"/>
        <v>0.44267079242708524</v>
      </c>
      <c r="O606" s="341">
        <f t="shared" si="249"/>
        <v>0.75952998185824527</v>
      </c>
      <c r="P606" s="342">
        <f t="shared" si="250"/>
        <v>0.15706269624274419</v>
      </c>
      <c r="Q606" s="343">
        <f t="shared" si="251"/>
        <v>-17.334794515433806</v>
      </c>
      <c r="R606" s="344">
        <f t="shared" si="252"/>
        <v>-122.22864449495638</v>
      </c>
      <c r="S606" s="346">
        <f t="shared" si="253"/>
        <v>57.771355505043616</v>
      </c>
      <c r="U606" s="319">
        <f t="shared" si="259"/>
        <v>524810</v>
      </c>
      <c r="V606" s="319">
        <f t="shared" si="260"/>
        <v>275425536100</v>
      </c>
      <c r="X606" s="345">
        <f t="shared" si="254"/>
        <v>16.120012513289083</v>
      </c>
      <c r="Y606" s="346">
        <f t="shared" si="255"/>
        <v>-25.989685992110388</v>
      </c>
      <c r="AA606" s="345">
        <f t="shared" si="256"/>
        <v>2.5553669348785779</v>
      </c>
      <c r="AB606" s="346">
        <f t="shared" si="257"/>
        <v>-96.238958502845989</v>
      </c>
      <c r="AD606">
        <f t="shared" si="261"/>
        <v>0</v>
      </c>
      <c r="AE606">
        <f t="shared" si="264"/>
        <v>0</v>
      </c>
    </row>
    <row r="607" spans="1:31" x14ac:dyDescent="0.2">
      <c r="A607" s="347">
        <v>575440</v>
      </c>
      <c r="B607" s="364">
        <f t="shared" si="258"/>
        <v>575.44000000000005</v>
      </c>
      <c r="C607" s="337">
        <f t="shared" si="239"/>
        <v>63.802088727445835</v>
      </c>
      <c r="D607" s="338">
        <f t="shared" si="240"/>
        <v>1.5551222169435359</v>
      </c>
      <c r="E607" s="338">
        <f t="shared" si="241"/>
        <v>1.0005773779363192</v>
      </c>
      <c r="F607" s="339">
        <f t="shared" si="242"/>
        <v>3.3973527009193982E-2</v>
      </c>
      <c r="G607" s="338">
        <f t="shared" si="243"/>
        <v>1</v>
      </c>
      <c r="H607" s="339">
        <f t="shared" si="244"/>
        <v>0</v>
      </c>
      <c r="I607" s="337">
        <f t="shared" si="245"/>
        <v>1087671.5821104981</v>
      </c>
      <c r="J607" s="340">
        <f t="shared" si="246"/>
        <v>1.5707954073997259</v>
      </c>
      <c r="K607" s="348">
        <f t="shared" si="262"/>
        <v>100.26546809841173</v>
      </c>
      <c r="L607" s="349">
        <f t="shared" si="263"/>
        <v>1.5608226379642711</v>
      </c>
      <c r="M607" s="337">
        <f t="shared" si="247"/>
        <v>1.1270188132422001</v>
      </c>
      <c r="N607" s="340">
        <f t="shared" si="248"/>
        <v>0.47934622149804385</v>
      </c>
      <c r="O607" s="341">
        <f t="shared" si="249"/>
        <v>0.71167768133756393</v>
      </c>
      <c r="P607" s="342">
        <f t="shared" si="250"/>
        <v>0.18407759964371881</v>
      </c>
      <c r="Q607" s="343">
        <f t="shared" si="251"/>
        <v>-17.726802464356588</v>
      </c>
      <c r="R607" s="344">
        <f t="shared" si="252"/>
        <v>-125.73818266734253</v>
      </c>
      <c r="S607" s="346">
        <f t="shared" si="253"/>
        <v>54.261817332657472</v>
      </c>
      <c r="U607" s="319">
        <f t="shared" si="259"/>
        <v>575440</v>
      </c>
      <c r="V607" s="319">
        <f t="shared" si="260"/>
        <v>331131193600</v>
      </c>
      <c r="X607" s="345">
        <f t="shared" si="254"/>
        <v>15.961673164489412</v>
      </c>
      <c r="Y607" s="346">
        <f t="shared" si="255"/>
        <v>-28.035913048125369</v>
      </c>
      <c r="AA607" s="345">
        <f t="shared" si="256"/>
        <v>2.3216983347554665</v>
      </c>
      <c r="AB607" s="346">
        <f t="shared" si="257"/>
        <v>-97.702269619217148</v>
      </c>
      <c r="AD607">
        <f t="shared" si="261"/>
        <v>0</v>
      </c>
      <c r="AE607">
        <f t="shared" si="264"/>
        <v>0</v>
      </c>
    </row>
    <row r="608" spans="1:31" x14ac:dyDescent="0.2">
      <c r="A608" s="347">
        <v>630960</v>
      </c>
      <c r="B608" s="364">
        <f t="shared" si="258"/>
        <v>630.96</v>
      </c>
      <c r="C608" s="337">
        <f t="shared" si="239"/>
        <v>69.956440270469301</v>
      </c>
      <c r="D608" s="338">
        <f t="shared" si="240"/>
        <v>1.5565012303714283</v>
      </c>
      <c r="E608" s="338">
        <f t="shared" si="241"/>
        <v>1.0006941261427527</v>
      </c>
      <c r="F608" s="339">
        <f t="shared" si="242"/>
        <v>3.7248486443873609E-2</v>
      </c>
      <c r="G608" s="338">
        <f t="shared" si="243"/>
        <v>1</v>
      </c>
      <c r="H608" s="339">
        <f t="shared" si="244"/>
        <v>0</v>
      </c>
      <c r="I608" s="337">
        <f t="shared" si="245"/>
        <v>1192613.0638266217</v>
      </c>
      <c r="J608" s="340">
        <f t="shared" si="246"/>
        <v>1.5707954882999728</v>
      </c>
      <c r="K608" s="348">
        <f t="shared" si="262"/>
        <v>109.9384303859496</v>
      </c>
      <c r="L608" s="349">
        <f t="shared" si="263"/>
        <v>1.5617002010221361</v>
      </c>
      <c r="M608" s="337">
        <f t="shared" si="247"/>
        <v>1.1510083124619828</v>
      </c>
      <c r="N608" s="340">
        <f t="shared" si="248"/>
        <v>0.51801564663752497</v>
      </c>
      <c r="O608" s="341">
        <f t="shared" si="249"/>
        <v>0.65467339555734805</v>
      </c>
      <c r="P608" s="342">
        <f t="shared" si="250"/>
        <v>0.21994452728471037</v>
      </c>
      <c r="Q608" s="343">
        <f t="shared" si="251"/>
        <v>-17.983490651219856</v>
      </c>
      <c r="R608" s="344">
        <f t="shared" si="252"/>
        <v>-129.84989537805697</v>
      </c>
      <c r="S608" s="346">
        <f t="shared" si="253"/>
        <v>50.150104621943029</v>
      </c>
      <c r="U608" s="319">
        <f t="shared" si="259"/>
        <v>630960</v>
      </c>
      <c r="V608" s="319">
        <f t="shared" si="260"/>
        <v>398110521600</v>
      </c>
      <c r="X608" s="345">
        <f t="shared" si="254"/>
        <v>15.778654596892171</v>
      </c>
      <c r="Y608" s="346">
        <f t="shared" si="255"/>
        <v>-30.201231883059407</v>
      </c>
      <c r="AA608" s="345">
        <f t="shared" si="256"/>
        <v>2.2480287154894367</v>
      </c>
      <c r="AB608" s="346">
        <f t="shared" si="257"/>
        <v>-99.648663494997564</v>
      </c>
      <c r="AD608">
        <f t="shared" si="261"/>
        <v>0</v>
      </c>
      <c r="AE608">
        <f t="shared" si="264"/>
        <v>0</v>
      </c>
    </row>
    <row r="609" spans="1:31" x14ac:dyDescent="0.2">
      <c r="A609" s="347">
        <v>691830</v>
      </c>
      <c r="B609" s="364">
        <f t="shared" si="258"/>
        <v>691.83</v>
      </c>
      <c r="C609" s="337">
        <f t="shared" si="239"/>
        <v>76.703962581321321</v>
      </c>
      <c r="D609" s="338">
        <f t="shared" si="240"/>
        <v>1.5577588213475571</v>
      </c>
      <c r="E609" s="338">
        <f t="shared" si="241"/>
        <v>1.0008344552788659</v>
      </c>
      <c r="F609" s="339">
        <f t="shared" si="242"/>
        <v>4.083810545905877E-2</v>
      </c>
      <c r="G609" s="338">
        <f t="shared" si="243"/>
        <v>1</v>
      </c>
      <c r="H609" s="339">
        <f t="shared" si="244"/>
        <v>0</v>
      </c>
      <c r="I609" s="337">
        <f t="shared" si="245"/>
        <v>1307666.8821274294</v>
      </c>
      <c r="J609" s="340">
        <f t="shared" si="246"/>
        <v>1.5707955620741458</v>
      </c>
      <c r="K609" s="348">
        <f t="shared" si="262"/>
        <v>120.54357641648785</v>
      </c>
      <c r="L609" s="349">
        <f t="shared" si="263"/>
        <v>1.5625004764475847</v>
      </c>
      <c r="M609" s="337">
        <f t="shared" si="247"/>
        <v>1.1792011334503953</v>
      </c>
      <c r="N609" s="340">
        <f t="shared" si="248"/>
        <v>0.55853620766359502</v>
      </c>
      <c r="O609" s="341">
        <f t="shared" si="249"/>
        <v>0.58714231561016916</v>
      </c>
      <c r="P609" s="342">
        <f t="shared" si="250"/>
        <v>0.27000677026647757</v>
      </c>
      <c r="Q609" s="343">
        <f t="shared" si="251"/>
        <v>-18.046697443499163</v>
      </c>
      <c r="R609" s="344">
        <f t="shared" si="252"/>
        <v>-134.86044420817055</v>
      </c>
      <c r="S609" s="346">
        <f t="shared" si="253"/>
        <v>45.139555791829451</v>
      </c>
      <c r="U609" s="319">
        <f t="shared" si="259"/>
        <v>691830</v>
      </c>
      <c r="V609" s="319">
        <f t="shared" si="260"/>
        <v>478628748900</v>
      </c>
      <c r="X609" s="345">
        <f t="shared" si="254"/>
        <v>15.568405590862167</v>
      </c>
      <c r="Y609" s="346">
        <f t="shared" si="255"/>
        <v>-32.477040838578503</v>
      </c>
      <c r="AA609" s="345">
        <f t="shared" si="256"/>
        <v>2.3950709292401342</v>
      </c>
      <c r="AB609" s="346">
        <f t="shared" si="257"/>
        <v>-102.38340336959205</v>
      </c>
      <c r="AD609">
        <f t="shared" si="261"/>
        <v>0</v>
      </c>
      <c r="AE609">
        <f t="shared" si="264"/>
        <v>0</v>
      </c>
    </row>
    <row r="610" spans="1:31" s="627" customFormat="1" x14ac:dyDescent="0.2">
      <c r="A610" s="629">
        <v>758580</v>
      </c>
      <c r="B610" s="630">
        <f t="shared" si="258"/>
        <v>758.58</v>
      </c>
      <c r="C610" s="621">
        <f t="shared" si="239"/>
        <v>84.103406888012842</v>
      </c>
      <c r="D610" s="618">
        <f t="shared" si="240"/>
        <v>1.5589059218634791</v>
      </c>
      <c r="E610" s="618">
        <f t="shared" si="241"/>
        <v>1.0010031605501968</v>
      </c>
      <c r="F610" s="619">
        <f t="shared" si="242"/>
        <v>4.4773265643780022E-2</v>
      </c>
      <c r="G610" s="618">
        <f t="shared" si="243"/>
        <v>1</v>
      </c>
      <c r="H610" s="619">
        <f t="shared" si="244"/>
        <v>0</v>
      </c>
      <c r="I610" s="621">
        <f t="shared" si="245"/>
        <v>1433834.8198895345</v>
      </c>
      <c r="J610" s="622">
        <f t="shared" si="246"/>
        <v>1.5707956293644909</v>
      </c>
      <c r="K610" s="616">
        <f t="shared" si="262"/>
        <v>132.17324605411932</v>
      </c>
      <c r="L610" s="617">
        <f t="shared" si="263"/>
        <v>1.5632304269597088</v>
      </c>
      <c r="M610" s="621">
        <f t="shared" si="247"/>
        <v>1.2122322350612482</v>
      </c>
      <c r="N610" s="622">
        <f t="shared" si="248"/>
        <v>0.60072781350666749</v>
      </c>
      <c r="O610" s="631">
        <f t="shared" si="249"/>
        <v>0.5079628481609868</v>
      </c>
      <c r="P610" s="623">
        <f t="shared" si="250"/>
        <v>0.34485846619946009</v>
      </c>
      <c r="Q610" s="624">
        <f t="shared" si="251"/>
        <v>-17.826929656915993</v>
      </c>
      <c r="R610" s="625">
        <f t="shared" si="252"/>
        <v>-141.36496814744891</v>
      </c>
      <c r="S610" s="626">
        <f t="shared" si="253"/>
        <v>38.635031852551094</v>
      </c>
      <c r="U610" s="627">
        <f t="shared" si="259"/>
        <v>758580</v>
      </c>
      <c r="V610" s="627">
        <f t="shared" si="260"/>
        <v>575443616400</v>
      </c>
      <c r="X610" s="628">
        <f t="shared" si="254"/>
        <v>15.328396497819774</v>
      </c>
      <c r="Y610" s="626">
        <f t="shared" si="255"/>
        <v>-34.852622558835222</v>
      </c>
      <c r="AA610" s="628">
        <f t="shared" si="256"/>
        <v>2.8548478088657014</v>
      </c>
      <c r="AB610" s="626">
        <f t="shared" si="257"/>
        <v>-106.51234558861366</v>
      </c>
      <c r="AD610" s="2">
        <f t="shared" si="261"/>
        <v>0</v>
      </c>
      <c r="AE610" s="2">
        <f t="shared" si="264"/>
        <v>0</v>
      </c>
    </row>
    <row r="611" spans="1:31" x14ac:dyDescent="0.2">
      <c r="A611" s="347">
        <v>831760</v>
      </c>
      <c r="B611" s="364">
        <f t="shared" si="258"/>
        <v>831.76</v>
      </c>
      <c r="C611" s="337">
        <f t="shared" si="239"/>
        <v>92.215742395483204</v>
      </c>
      <c r="D611" s="338">
        <f t="shared" si="240"/>
        <v>1.5599519788097045</v>
      </c>
      <c r="E611" s="338">
        <f t="shared" si="241"/>
        <v>1.0012059234077053</v>
      </c>
      <c r="F611" s="339">
        <f t="shared" si="242"/>
        <v>4.9085899756038415E-2</v>
      </c>
      <c r="G611" s="338">
        <f t="shared" si="243"/>
        <v>1</v>
      </c>
      <c r="H611" s="339">
        <f t="shared" si="244"/>
        <v>0</v>
      </c>
      <c r="I611" s="337">
        <f t="shared" si="245"/>
        <v>1572156.463116969</v>
      </c>
      <c r="J611" s="340">
        <f t="shared" si="246"/>
        <v>1.5707956907258898</v>
      </c>
      <c r="K611" s="348">
        <f t="shared" si="262"/>
        <v>144.92326429096425</v>
      </c>
      <c r="L611" s="349">
        <f t="shared" si="263"/>
        <v>1.5638960686442789</v>
      </c>
      <c r="M611" s="337">
        <f t="shared" si="247"/>
        <v>1.2507848858251926</v>
      </c>
      <c r="N611" s="340">
        <f t="shared" si="248"/>
        <v>0.64433732889909567</v>
      </c>
      <c r="O611" s="341">
        <f t="shared" si="249"/>
        <v>0.41737907098726301</v>
      </c>
      <c r="P611" s="342">
        <f t="shared" si="250"/>
        <v>0.46802466744542259</v>
      </c>
      <c r="Q611" s="343">
        <f t="shared" si="251"/>
        <v>-17.190952104743506</v>
      </c>
      <c r="R611" s="344">
        <f t="shared" si="252"/>
        <v>-150.69521681824762</v>
      </c>
      <c r="S611" s="346">
        <f t="shared" si="253"/>
        <v>29.304783181752384</v>
      </c>
      <c r="U611" s="319">
        <f t="shared" si="259"/>
        <v>831760</v>
      </c>
      <c r="V611" s="319">
        <f t="shared" si="260"/>
        <v>691824697600</v>
      </c>
      <c r="X611" s="345">
        <f t="shared" si="254"/>
        <v>15.056418751052053</v>
      </c>
      <c r="Y611" s="346">
        <f t="shared" si="255"/>
        <v>-37.313128796799027</v>
      </c>
      <c r="AA611" s="345">
        <f t="shared" si="256"/>
        <v>3.7628031078059072</v>
      </c>
      <c r="AB611" s="346">
        <f t="shared" si="257"/>
        <v>-113.38208802144858</v>
      </c>
      <c r="AD611">
        <f t="shared" si="261"/>
        <v>0</v>
      </c>
      <c r="AE611">
        <f t="shared" si="264"/>
        <v>0</v>
      </c>
    </row>
    <row r="612" spans="1:31" x14ac:dyDescent="0.2">
      <c r="A612" s="347">
        <v>912010</v>
      </c>
      <c r="B612" s="364">
        <f t="shared" si="258"/>
        <v>912.01</v>
      </c>
      <c r="C612" s="337">
        <f t="shared" si="239"/>
        <v>101.11191601361038</v>
      </c>
      <c r="D612" s="338">
        <f t="shared" si="240"/>
        <v>1.5609061343995476</v>
      </c>
      <c r="E612" s="338">
        <f t="shared" si="241"/>
        <v>1.0014496727301805</v>
      </c>
      <c r="F612" s="339">
        <f t="shared" si="242"/>
        <v>5.381307650326133E-2</v>
      </c>
      <c r="G612" s="338">
        <f t="shared" si="243"/>
        <v>1</v>
      </c>
      <c r="H612" s="339">
        <f t="shared" si="244"/>
        <v>0</v>
      </c>
      <c r="I612" s="337">
        <f t="shared" si="245"/>
        <v>1723841.5118871527</v>
      </c>
      <c r="J612" s="340">
        <f t="shared" si="246"/>
        <v>1.5707957466951641</v>
      </c>
      <c r="K612" s="348">
        <f t="shared" si="262"/>
        <v>158.90513716234176</v>
      </c>
      <c r="L612" s="349">
        <f t="shared" si="263"/>
        <v>1.564503222503776</v>
      </c>
      <c r="M612" s="337">
        <f t="shared" si="247"/>
        <v>1.2956228195185733</v>
      </c>
      <c r="N612" s="340">
        <f t="shared" si="248"/>
        <v>0.68908272961123151</v>
      </c>
      <c r="O612" s="341">
        <f t="shared" si="249"/>
        <v>0.32082311880876724</v>
      </c>
      <c r="P612" s="342">
        <f t="shared" si="250"/>
        <v>0.69908953437699284</v>
      </c>
      <c r="Q612" s="343">
        <f t="shared" si="251"/>
        <v>-16.009437028365177</v>
      </c>
      <c r="R612" s="344">
        <f t="shared" si="252"/>
        <v>-166.24701878318362</v>
      </c>
      <c r="S612" s="346">
        <f t="shared" si="253"/>
        <v>13.75298121681638</v>
      </c>
      <c r="U612" s="319">
        <f t="shared" si="259"/>
        <v>912010</v>
      </c>
      <c r="V612" s="319">
        <f t="shared" si="260"/>
        <v>831762240100</v>
      </c>
      <c r="X612" s="345">
        <f t="shared" si="254"/>
        <v>14.75046468496426</v>
      </c>
      <c r="Y612" s="346">
        <f t="shared" si="255"/>
        <v>-39.842067266254752</v>
      </c>
      <c r="AA612" s="345">
        <f t="shared" si="256"/>
        <v>5.2502722502720287</v>
      </c>
      <c r="AB612" s="346">
        <f t="shared" si="257"/>
        <v>-126.40495151692889</v>
      </c>
      <c r="AD612">
        <f t="shared" si="261"/>
        <v>0</v>
      </c>
      <c r="AE612">
        <f t="shared" si="264"/>
        <v>0</v>
      </c>
    </row>
    <row r="613" spans="1:31" x14ac:dyDescent="0.2">
      <c r="A613" s="347">
        <v>1000000</v>
      </c>
      <c r="B613" s="364">
        <f t="shared" si="258"/>
        <v>1000</v>
      </c>
      <c r="C613" s="337">
        <f t="shared" si="239"/>
        <v>110.86620110727291</v>
      </c>
      <c r="D613" s="338">
        <f t="shared" si="240"/>
        <v>1.5617763229504487</v>
      </c>
      <c r="E613" s="338">
        <f t="shared" si="241"/>
        <v>1.0017426380920147</v>
      </c>
      <c r="F613" s="339">
        <f t="shared" si="242"/>
        <v>5.8993409687243287E-2</v>
      </c>
      <c r="G613" s="338">
        <f t="shared" si="243"/>
        <v>1</v>
      </c>
      <c r="H613" s="339">
        <f t="shared" si="244"/>
        <v>0</v>
      </c>
      <c r="I613" s="337">
        <f t="shared" si="245"/>
        <v>1890156.3709686338</v>
      </c>
      <c r="J613" s="340">
        <f t="shared" si="246"/>
        <v>1.5707957977381395</v>
      </c>
      <c r="K613" s="348">
        <f t="shared" si="262"/>
        <v>174.23559807027308</v>
      </c>
      <c r="L613" s="349">
        <f t="shared" si="263"/>
        <v>1.5650569400037357</v>
      </c>
      <c r="M613" s="337">
        <f t="shared" si="247"/>
        <v>1.3475549795277568</v>
      </c>
      <c r="N613" s="340">
        <f t="shared" si="248"/>
        <v>0.7346211532425666</v>
      </c>
      <c r="O613" s="341">
        <f t="shared" si="249"/>
        <v>0.24472278687205729</v>
      </c>
      <c r="P613" s="342">
        <f t="shared" si="250"/>
        <v>1.1811066586065915</v>
      </c>
      <c r="Q613" s="343">
        <f t="shared" si="251"/>
        <v>-14.79639504040701</v>
      </c>
      <c r="R613" s="344">
        <f t="shared" si="252"/>
        <v>-196.19504932073804</v>
      </c>
      <c r="S613" s="346">
        <f t="shared" si="253"/>
        <v>-16.195049320738036</v>
      </c>
      <c r="U613" s="319">
        <f t="shared" si="259"/>
        <v>1000000</v>
      </c>
      <c r="V613" s="319">
        <f t="shared" si="260"/>
        <v>1000000000000</v>
      </c>
      <c r="X613" s="345">
        <f t="shared" si="254"/>
        <v>14.40907765598164</v>
      </c>
      <c r="Y613" s="346">
        <f t="shared" si="255"/>
        <v>-42.419503997711033</v>
      </c>
      <c r="AA613" s="345">
        <f t="shared" si="256"/>
        <v>6.8047012672128169</v>
      </c>
      <c r="AB613" s="346">
        <f t="shared" si="257"/>
        <v>-153.77554532302693</v>
      </c>
      <c r="AD613">
        <f t="shared" si="261"/>
        <v>0</v>
      </c>
      <c r="AE613">
        <f t="shared" si="264"/>
        <v>0</v>
      </c>
    </row>
    <row r="614" spans="1:31" x14ac:dyDescent="0.2">
      <c r="A614" s="350"/>
      <c r="B614" s="350"/>
      <c r="C614" s="351"/>
      <c r="D614" s="351"/>
      <c r="E614" s="351"/>
      <c r="F614" s="351"/>
      <c r="G614" s="338"/>
      <c r="H614" s="339"/>
      <c r="I614" s="351"/>
      <c r="J614" s="351"/>
      <c r="K614" s="351"/>
      <c r="L614" s="351"/>
      <c r="M614" s="351"/>
      <c r="N614" s="351"/>
      <c r="O614" s="351"/>
      <c r="P614" s="352"/>
      <c r="Q614" s="428"/>
      <c r="R614" s="344"/>
      <c r="S614" s="353"/>
      <c r="AA614" s="345"/>
      <c r="AB614" s="346"/>
    </row>
    <row r="615" spans="1:31" x14ac:dyDescent="0.2">
      <c r="A615" s="350"/>
      <c r="B615" s="350"/>
      <c r="C615" s="351"/>
      <c r="D615" s="351"/>
      <c r="E615" s="351"/>
      <c r="F615" s="351"/>
      <c r="G615" s="338"/>
      <c r="H615" s="339"/>
      <c r="I615" s="351"/>
      <c r="J615" s="351"/>
      <c r="K615" s="351"/>
      <c r="L615" s="351"/>
      <c r="M615" s="351"/>
      <c r="N615" s="351"/>
      <c r="O615" s="351"/>
      <c r="P615" s="352"/>
      <c r="Q615" s="353"/>
      <c r="R615" s="344"/>
      <c r="S615" s="353"/>
      <c r="AA615" s="345"/>
      <c r="AB615" s="346"/>
    </row>
    <row r="616" spans="1:31" x14ac:dyDescent="0.2">
      <c r="A616" s="319" t="s">
        <v>362</v>
      </c>
      <c r="G616" s="338"/>
      <c r="H616" s="339"/>
      <c r="Q616" s="343"/>
      <c r="R616" s="344"/>
      <c r="S616" s="353"/>
      <c r="AA616" s="345"/>
      <c r="AB616" s="346"/>
    </row>
    <row r="617" spans="1:31" x14ac:dyDescent="0.2">
      <c r="A617" s="354">
        <f>Q4*1000</f>
        <v>59570</v>
      </c>
      <c r="B617" s="354"/>
      <c r="C617" s="355">
        <f t="shared" ref="C617:C626" si="265">SQRT(1+(A617/pole1)^2)</f>
        <v>6.6793131848368281</v>
      </c>
      <c r="D617" s="348">
        <f t="shared" ref="D617:D626" si="266">ATAN(A617/pole1)</f>
        <v>1.4205153057022777</v>
      </c>
      <c r="E617" s="348">
        <f t="shared" ref="E617:E626" si="267">SQRT(1+(A617/Zero1)^2)</f>
        <v>1.0000061892682151</v>
      </c>
      <c r="F617" s="349">
        <f t="shared" ref="F617:F626" si="268">ATAN(A617/Zero1)</f>
        <v>3.5183053570633834E-3</v>
      </c>
      <c r="G617" s="338">
        <f>IF(VIN_nom&gt;Vout, 1, SQRT(1+(A617/z_RHP)^2))</f>
        <v>1</v>
      </c>
      <c r="H617" s="339">
        <f>IF(VIN_nom&gt;Vout, 0, -ATAN(A617/z_RHP))</f>
        <v>0</v>
      </c>
      <c r="I617" s="355">
        <f t="shared" ref="I617:I626" si="269">SQRT(1+(A617/Pole2)^2)</f>
        <v>112596.6150230264</v>
      </c>
      <c r="J617" s="356">
        <f t="shared" ref="J617:J626" si="270">ATAN(A617/Pole2)</f>
        <v>1.5707874455332369</v>
      </c>
      <c r="K617" s="348">
        <f t="shared" ref="K617:K626" si="271">SQRT(1+(A617/Zero2)^2)</f>
        <v>10.427106341237135</v>
      </c>
      <c r="L617" s="349">
        <f t="shared" ref="L617:L626" si="272">ATAN(A617/Zero2)</f>
        <v>1.4747448171391029</v>
      </c>
      <c r="M617" s="355">
        <f t="shared" ref="M617:M626" si="273">SQRT(1+(A617/pole4)^2)</f>
        <v>1.0014466067218806</v>
      </c>
      <c r="N617" s="356">
        <f t="shared" ref="N617:N626" si="274">ATAN(A617/pole4)</f>
        <v>5.3756208560375163E-2</v>
      </c>
      <c r="O617" s="355">
        <f>SQRT((1-(A617^2/(pole3^2)))^2+(A617/(Q_Ch2*pole3))^2)</f>
        <v>0.99687254321993779</v>
      </c>
      <c r="P617" s="420">
        <f>ATAN((A617/(Q_Ch2*pole3))/(1-A617^2/pole3^2))</f>
        <v>1.3527888993936935E-2</v>
      </c>
      <c r="Q617" s="343">
        <f>20*LOG10(((E617*K617*G617)/(C617*I617*O617*M617))*Adc)</f>
        <v>8.9383355218888485E-3</v>
      </c>
      <c r="R617" s="344">
        <f>((F617+L617+H617)-(D617+J617+P617+N617))*radconv</f>
        <v>-90.545879884477984</v>
      </c>
      <c r="S617" s="346">
        <f t="shared" ref="S617:S626" si="275">IF(R617&gt;0,R617,R617+180)</f>
        <v>89.454120115522016</v>
      </c>
      <c r="T617" s="319" t="s">
        <v>363</v>
      </c>
      <c r="X617" s="345">
        <f t="shared" ref="X617:X626" si="276">20*LOG10((K617/(I617*M617))*AEA)</f>
        <v>17.027437777043144</v>
      </c>
      <c r="Y617" s="346">
        <f t="shared" ref="Y617:Y626" si="277">(L617-(J617+N617))*radconv</f>
        <v>-8.5828411432690483</v>
      </c>
      <c r="AA617" s="345">
        <f>20*LOG10((E617*G617/(C617*O617))*Acs*Am)</f>
        <v>18.991674522080213</v>
      </c>
      <c r="AB617" s="346">
        <f>(F617+H617-(D617+P617))*radconv</f>
        <v>-81.963038741208919</v>
      </c>
    </row>
    <row r="618" spans="1:31" x14ac:dyDescent="0.2">
      <c r="A618" s="354">
        <f>A617</f>
        <v>59570</v>
      </c>
      <c r="B618" s="354"/>
      <c r="C618" s="355"/>
      <c r="D618" s="348"/>
      <c r="E618" s="348"/>
      <c r="F618" s="349"/>
      <c r="G618" s="338"/>
      <c r="H618" s="339"/>
      <c r="I618" s="355"/>
      <c r="J618" s="356"/>
      <c r="K618" s="348"/>
      <c r="L618" s="349"/>
      <c r="M618" s="337"/>
      <c r="N618" s="340"/>
      <c r="O618" s="355"/>
      <c r="P618" s="342"/>
      <c r="Q618" s="343"/>
      <c r="R618" s="344">
        <v>-135</v>
      </c>
      <c r="S618" s="346"/>
      <c r="X618" s="345"/>
      <c r="Y618" s="346"/>
      <c r="AA618" s="345"/>
      <c r="AB618" s="346"/>
    </row>
    <row r="619" spans="1:31" x14ac:dyDescent="0.2">
      <c r="A619" s="319">
        <f>A618</f>
        <v>59570</v>
      </c>
      <c r="B619" s="354"/>
      <c r="C619" s="355"/>
      <c r="D619" s="348"/>
      <c r="E619" s="348"/>
      <c r="F619" s="349"/>
      <c r="G619" s="338"/>
      <c r="H619" s="339"/>
      <c r="I619" s="355"/>
      <c r="J619" s="356"/>
      <c r="K619" s="348"/>
      <c r="L619" s="349"/>
      <c r="M619" s="337"/>
      <c r="N619" s="340"/>
      <c r="O619" s="355"/>
      <c r="P619" s="342"/>
      <c r="Q619" s="343"/>
      <c r="R619" s="344"/>
      <c r="S619" s="346"/>
      <c r="X619" s="345"/>
      <c r="Y619" s="346"/>
      <c r="AA619" s="345"/>
      <c r="AB619" s="346"/>
    </row>
    <row r="620" spans="1:31" x14ac:dyDescent="0.2">
      <c r="A620" s="354">
        <v>1000000</v>
      </c>
      <c r="B620" s="354"/>
      <c r="C620" s="355"/>
      <c r="D620" s="348"/>
      <c r="E620" s="348"/>
      <c r="F620" s="349"/>
      <c r="G620" s="338"/>
      <c r="H620" s="339"/>
      <c r="I620" s="355"/>
      <c r="J620" s="356"/>
      <c r="K620" s="348"/>
      <c r="L620" s="349"/>
      <c r="M620" s="337"/>
      <c r="N620" s="340"/>
      <c r="O620" s="355"/>
      <c r="P620" s="342"/>
      <c r="Q620" s="343"/>
      <c r="R620" s="344">
        <f>R617</f>
        <v>-90.545879884477984</v>
      </c>
      <c r="S620" s="346"/>
      <c r="X620" s="345"/>
      <c r="Y620" s="346"/>
      <c r="AA620" s="345"/>
      <c r="AB620" s="346"/>
    </row>
    <row r="621" spans="1:31" x14ac:dyDescent="0.2">
      <c r="A621" s="354"/>
      <c r="B621" s="354"/>
      <c r="C621" s="355"/>
      <c r="D621" s="348"/>
      <c r="E621" s="348"/>
      <c r="F621" s="349"/>
      <c r="G621" s="338"/>
      <c r="H621" s="339"/>
      <c r="I621" s="355"/>
      <c r="J621" s="356"/>
      <c r="K621" s="348"/>
      <c r="L621" s="349"/>
      <c r="M621" s="337"/>
      <c r="N621" s="340"/>
      <c r="O621" s="355"/>
      <c r="P621" s="342"/>
      <c r="Q621" s="343"/>
      <c r="R621" s="344"/>
      <c r="S621" s="346"/>
      <c r="X621" s="345"/>
      <c r="Y621" s="346"/>
      <c r="AA621" s="345"/>
      <c r="AB621" s="346"/>
    </row>
    <row r="622" spans="1:31" x14ac:dyDescent="0.2">
      <c r="A622" s="429">
        <f>pole1</f>
        <v>9020.2484763247376</v>
      </c>
      <c r="B622" s="354"/>
      <c r="C622" s="355">
        <f t="shared" si="265"/>
        <v>1.4142135623730951</v>
      </c>
      <c r="D622" s="348">
        <f t="shared" si="266"/>
        <v>0.78539816339744828</v>
      </c>
      <c r="E622" s="348">
        <f t="shared" si="267"/>
        <v>1.0000001419130775</v>
      </c>
      <c r="F622" s="349">
        <f t="shared" si="268"/>
        <v>5.3275334030752485E-4</v>
      </c>
      <c r="G622" s="338">
        <f t="shared" ref="G622:G628" si="278">IF(VIN_nom&gt;Vout, 1, SQRT(1+(A622/z_RHP)^2))</f>
        <v>1</v>
      </c>
      <c r="H622" s="339">
        <f t="shared" ref="H622:H628" si="279">IF(VIN_nom&gt;Vout, 0, -ATAN(A622/z_RHP))</f>
        <v>0</v>
      </c>
      <c r="I622" s="355">
        <f t="shared" si="269"/>
        <v>17049.680154568992</v>
      </c>
      <c r="J622" s="356">
        <f t="shared" si="270"/>
        <v>1.5707376746681994</v>
      </c>
      <c r="K622" s="348">
        <f t="shared" si="271"/>
        <v>1.8627928737965718</v>
      </c>
      <c r="L622" s="349">
        <f t="shared" si="272"/>
        <v>1.0041230021689231</v>
      </c>
      <c r="M622" s="337">
        <f t="shared" si="273"/>
        <v>1.0000331924329098</v>
      </c>
      <c r="N622" s="340">
        <f t="shared" si="274"/>
        <v>8.1475781458290562E-3</v>
      </c>
      <c r="O622" s="355">
        <f t="shared" ref="O622:O628" si="280">SQRT((1-(A622^2/(pole3^2)))^2+(A622/(Q_Ch2*pole3))^2)</f>
        <v>0.99992828460587002</v>
      </c>
      <c r="P622" s="342">
        <f t="shared" ref="P622:P628" si="281">ATAN((A622/(Q_Ch2*pole3))/(1-A622^2/pole3^2))</f>
        <v>2.0421082904935818E-3</v>
      </c>
      <c r="Q622" s="343">
        <f t="shared" ref="Q622:Q628" si="282">20*LOG10(((E622*K622*G622)/(C622*I622*O622*M622))*Adc)</f>
        <v>14.915102580225771</v>
      </c>
      <c r="R622" s="344">
        <f t="shared" ref="R622:R628" si="283">((F622+L622+H622)-(D622+J622+P622+N622))*radconv</f>
        <v>-78.01793094298624</v>
      </c>
      <c r="S622" s="346">
        <f t="shared" si="275"/>
        <v>101.98206905701376</v>
      </c>
      <c r="T622" s="319" t="s">
        <v>337</v>
      </c>
      <c r="X622" s="345">
        <f t="shared" si="276"/>
        <v>18.475902732440648</v>
      </c>
      <c r="Y622" s="346">
        <f t="shared" si="277"/>
        <v>-32.931451223034578</v>
      </c>
      <c r="AA622" s="345">
        <f t="shared" ref="AA622:AA628" si="284">20*LOG10((E622*G622/(C622*O622))*Acs*Am)</f>
        <v>32.449373811386586</v>
      </c>
      <c r="AB622" s="346">
        <f t="shared" ref="AB622:AB628" si="285">(F622+H622-(D622+P622))*radconv</f>
        <v>-45.086479719951647</v>
      </c>
    </row>
    <row r="623" spans="1:31" s="627" customFormat="1" x14ac:dyDescent="0.2">
      <c r="A623" s="613">
        <f>Zero1</f>
        <v>16931376.944016635</v>
      </c>
      <c r="B623" s="614"/>
      <c r="C623" s="615">
        <f t="shared" si="265"/>
        <v>1877.0413466147736</v>
      </c>
      <c r="D623" s="616">
        <f t="shared" si="266"/>
        <v>1.5702635734545891</v>
      </c>
      <c r="E623" s="616">
        <f t="shared" si="267"/>
        <v>1.4142135623730951</v>
      </c>
      <c r="F623" s="617">
        <f t="shared" si="268"/>
        <v>0.78539816339744828</v>
      </c>
      <c r="G623" s="618">
        <f t="shared" si="278"/>
        <v>1</v>
      </c>
      <c r="H623" s="619">
        <f t="shared" si="279"/>
        <v>0</v>
      </c>
      <c r="I623" s="615">
        <f t="shared" si="269"/>
        <v>32002950.000000019</v>
      </c>
      <c r="J623" s="620">
        <f t="shared" si="270"/>
        <v>1.5707962955477772</v>
      </c>
      <c r="K623" s="616">
        <f t="shared" si="271"/>
        <v>2950.0001694915204</v>
      </c>
      <c r="L623" s="617">
        <f t="shared" si="272"/>
        <v>1.5704573437570333</v>
      </c>
      <c r="M623" s="621">
        <f t="shared" si="273"/>
        <v>15.326335678578783</v>
      </c>
      <c r="N623" s="622">
        <f t="shared" si="274"/>
        <v>1.5055027748412484</v>
      </c>
      <c r="O623" s="615">
        <f t="shared" si="280"/>
        <v>259.04788072492994</v>
      </c>
      <c r="P623" s="623">
        <f t="shared" si="281"/>
        <v>-1.4796428534615279E-2</v>
      </c>
      <c r="Q623" s="624">
        <f>20*LOG10(((E623*K623*G623)/(C623*I623*O623*M623))*Adc)</f>
        <v>-117.98680376884619</v>
      </c>
      <c r="R623" s="625">
        <f t="shared" si="283"/>
        <v>-130.40007827488813</v>
      </c>
      <c r="S623" s="626">
        <f t="shared" si="275"/>
        <v>49.599921725111869</v>
      </c>
      <c r="T623" s="627" t="s">
        <v>332</v>
      </c>
      <c r="X623" s="628">
        <f t="shared" si="276"/>
        <v>-6.7089017062209191</v>
      </c>
      <c r="Y623" s="626">
        <f t="shared" si="277"/>
        <v>-86.278375649293238</v>
      </c>
      <c r="AA623" s="628">
        <f t="shared" si="284"/>
        <v>-75.267728099023813</v>
      </c>
      <c r="AB623" s="626">
        <f t="shared" si="285"/>
        <v>-44.121702625594878</v>
      </c>
      <c r="AD623" s="2"/>
      <c r="AE623" s="2"/>
    </row>
    <row r="624" spans="1:31" x14ac:dyDescent="0.2">
      <c r="A624" s="429">
        <f>Pole2</f>
        <v>0.52905675708072641</v>
      </c>
      <c r="B624" s="354"/>
      <c r="C624" s="355">
        <f t="shared" si="265"/>
        <v>1.0000000017200359</v>
      </c>
      <c r="D624" s="348">
        <f t="shared" si="266"/>
        <v>5.8652126697248579E-5</v>
      </c>
      <c r="E624" s="348">
        <f t="shared" si="267"/>
        <v>1.0000000000000004</v>
      </c>
      <c r="F624" s="349">
        <f t="shared" si="268"/>
        <v>3.1247119406179724E-8</v>
      </c>
      <c r="G624" s="338">
        <f t="shared" si="278"/>
        <v>1</v>
      </c>
      <c r="H624" s="339">
        <f t="shared" si="279"/>
        <v>0</v>
      </c>
      <c r="I624" s="355">
        <f t="shared" si="269"/>
        <v>1.4142135623730951</v>
      </c>
      <c r="J624" s="356">
        <f t="shared" si="270"/>
        <v>0.78539816339744828</v>
      </c>
      <c r="K624" s="348">
        <f t="shared" si="271"/>
        <v>1.0000000042484842</v>
      </c>
      <c r="L624" s="349">
        <f t="shared" si="272"/>
        <v>9.217900198714954E-5</v>
      </c>
      <c r="M624" s="337">
        <f t="shared" si="273"/>
        <v>1.0000000000001141</v>
      </c>
      <c r="N624" s="340">
        <f t="shared" si="274"/>
        <v>4.7788336072806685E-7</v>
      </c>
      <c r="O624" s="355">
        <f t="shared" si="280"/>
        <v>0.99999999999975331</v>
      </c>
      <c r="P624" s="342">
        <f t="shared" si="281"/>
        <v>1.1976532144063931E-7</v>
      </c>
      <c r="Q624" s="343">
        <f t="shared" si="282"/>
        <v>94.145800103401086</v>
      </c>
      <c r="R624" s="344">
        <f t="shared" si="283"/>
        <v>-44.998111555382515</v>
      </c>
      <c r="S624" s="346">
        <f t="shared" si="275"/>
        <v>135.00188844461749</v>
      </c>
      <c r="T624" s="319" t="s">
        <v>340</v>
      </c>
      <c r="W624" s="319">
        <f>Pole2</f>
        <v>0.52905675708072641</v>
      </c>
      <c r="X624" s="345">
        <f t="shared" si="276"/>
        <v>94.696924480891312</v>
      </c>
      <c r="Y624" s="346">
        <f t="shared" si="277"/>
        <v>-44.994745964340069</v>
      </c>
      <c r="AA624" s="345">
        <f t="shared" si="284"/>
        <v>35.459049586111242</v>
      </c>
      <c r="AB624" s="346">
        <f t="shared" si="285"/>
        <v>-3.3655910424513326E-3</v>
      </c>
    </row>
    <row r="625" spans="1:28" x14ac:dyDescent="0.2">
      <c r="A625" s="429">
        <f>Zero2</f>
        <v>5739.4498115310626</v>
      </c>
      <c r="B625" s="354"/>
      <c r="C625" s="355">
        <f t="shared" si="265"/>
        <v>1.1852673722342191</v>
      </c>
      <c r="D625" s="348">
        <f t="shared" si="266"/>
        <v>0.56667332462597353</v>
      </c>
      <c r="E625" s="348">
        <f t="shared" si="267"/>
        <v>1.0000000574547527</v>
      </c>
      <c r="F625" s="349">
        <f t="shared" si="268"/>
        <v>3.3898303786333319E-4</v>
      </c>
      <c r="G625" s="338">
        <f t="shared" si="278"/>
        <v>1</v>
      </c>
      <c r="H625" s="339">
        <f t="shared" si="279"/>
        <v>0</v>
      </c>
      <c r="I625" s="355">
        <f t="shared" si="269"/>
        <v>10848.457673208146</v>
      </c>
      <c r="J625" s="356">
        <f t="shared" si="270"/>
        <v>1.5707041477929096</v>
      </c>
      <c r="K625" s="348">
        <f t="shared" si="271"/>
        <v>1.4142135623730951</v>
      </c>
      <c r="L625" s="349">
        <f t="shared" si="272"/>
        <v>0.78539816339744828</v>
      </c>
      <c r="M625" s="337">
        <f t="shared" si="273"/>
        <v>1.0000134383794166</v>
      </c>
      <c r="N625" s="340">
        <f t="shared" si="274"/>
        <v>5.1842509442972338E-3</v>
      </c>
      <c r="O625" s="355">
        <f t="shared" si="280"/>
        <v>0.9999709653590777</v>
      </c>
      <c r="P625" s="342">
        <f t="shared" si="281"/>
        <v>1.2993071053327846E-3</v>
      </c>
      <c r="Q625" s="343">
        <f t="shared" si="282"/>
        <v>17.982849400179411</v>
      </c>
      <c r="R625" s="344">
        <f t="shared" si="283"/>
        <v>-77.814766699933614</v>
      </c>
      <c r="S625" s="346">
        <f t="shared" si="275"/>
        <v>102.18523330006639</v>
      </c>
      <c r="T625" s="319" t="s">
        <v>335</v>
      </c>
      <c r="W625" s="319">
        <f>Zero2</f>
        <v>5739.4498115310626</v>
      </c>
      <c r="X625" s="345">
        <f t="shared" si="276"/>
        <v>20.010047656492482</v>
      </c>
      <c r="Y625" s="346">
        <f t="shared" si="277"/>
        <v>-45.29175428302473</v>
      </c>
      <c r="AA625" s="345">
        <f t="shared" si="284"/>
        <v>33.982975707288404</v>
      </c>
      <c r="AB625" s="346">
        <f t="shared" si="285"/>
        <v>-32.523012416908898</v>
      </c>
    </row>
    <row r="626" spans="1:28" x14ac:dyDescent="0.2">
      <c r="A626" s="429">
        <f>pole3</f>
        <v>1050000</v>
      </c>
      <c r="B626" s="354"/>
      <c r="C626" s="355">
        <f t="shared" si="265"/>
        <v>116.4090709056816</v>
      </c>
      <c r="D626" s="348">
        <f t="shared" si="266"/>
        <v>1.5622058252834736</v>
      </c>
      <c r="E626" s="348">
        <f t="shared" si="267"/>
        <v>1.0019210872374793</v>
      </c>
      <c r="F626" s="349">
        <f t="shared" si="268"/>
        <v>6.1935721367190132E-2</v>
      </c>
      <c r="G626" s="338">
        <f t="shared" si="278"/>
        <v>1</v>
      </c>
      <c r="H626" s="339">
        <f t="shared" si="279"/>
        <v>0</v>
      </c>
      <c r="I626" s="355">
        <f t="shared" si="269"/>
        <v>1984664.1895170398</v>
      </c>
      <c r="J626" s="356">
        <f t="shared" si="270"/>
        <v>1.5707958229313184</v>
      </c>
      <c r="K626" s="348">
        <f t="shared" si="271"/>
        <v>182.94709783837399</v>
      </c>
      <c r="L626" s="349">
        <f t="shared" si="272"/>
        <v>1.5653302385567132</v>
      </c>
      <c r="M626" s="337">
        <f t="shared" si="273"/>
        <v>1.3782360560485214</v>
      </c>
      <c r="N626" s="340">
        <f t="shared" si="274"/>
        <v>0.75894108542694649</v>
      </c>
      <c r="O626" s="355">
        <f t="shared" si="280"/>
        <v>0.23769394460914481</v>
      </c>
      <c r="P626" s="342" t="e">
        <f t="shared" si="281"/>
        <v>#DIV/0!</v>
      </c>
      <c r="Q626" s="343">
        <f t="shared" si="282"/>
        <v>-15.161030764248144</v>
      </c>
      <c r="R626" s="344" t="e">
        <f t="shared" si="283"/>
        <v>#DIV/0!</v>
      </c>
      <c r="S626" s="346" t="e">
        <f t="shared" si="275"/>
        <v>#DIV/0!</v>
      </c>
      <c r="T626" s="319" t="s">
        <v>333</v>
      </c>
      <c r="X626" s="345">
        <f t="shared" si="276"/>
        <v>14.213522073725539</v>
      </c>
      <c r="Y626" s="346">
        <f t="shared" si="277"/>
        <v>-43.797276061324901</v>
      </c>
      <c r="AA626" s="345">
        <f t="shared" si="284"/>
        <v>6.6356211256277833</v>
      </c>
      <c r="AB626" s="346" t="e">
        <f t="shared" si="285"/>
        <v>#DIV/0!</v>
      </c>
    </row>
    <row r="627" spans="1:28" ht="13.5" thickBot="1" x14ac:dyDescent="0.25">
      <c r="A627" s="406">
        <f>Fp2_u</f>
        <v>1017886.0502993048</v>
      </c>
      <c r="C627" s="355">
        <f>SQRT(1+(A627/pole1)^2)</f>
        <v>112.84899964402892</v>
      </c>
      <c r="D627" s="348">
        <f>ATAN(A627/pole1)</f>
        <v>1.5619348119297645</v>
      </c>
      <c r="E627" s="348">
        <f>SQRT(1+(A627/Zero1)^2)</f>
        <v>1.0018054767284235</v>
      </c>
      <c r="F627" s="349">
        <f>ATAN(A627/Zero1)</f>
        <v>6.0046056520735559E-2</v>
      </c>
      <c r="G627" s="338">
        <f t="shared" si="278"/>
        <v>1</v>
      </c>
      <c r="H627" s="339">
        <f t="shared" si="279"/>
        <v>0</v>
      </c>
      <c r="I627" s="355">
        <f>SQRT(1+(A627/Pole2)^2)</f>
        <v>1923963.8028933208</v>
      </c>
      <c r="J627" s="356">
        <f>ATAN(A627/Pole2)</f>
        <v>1.5707958070345984</v>
      </c>
      <c r="K627" s="348">
        <f>SQRT(1+(A627/Zero2)^2)</f>
        <v>177.35188298877026</v>
      </c>
      <c r="L627" s="349">
        <f>ATAN(A627/Zero2)</f>
        <v>1.5651577889794599</v>
      </c>
      <c r="M627" s="337">
        <f>SQRT(1+(A627/pole4)^2)</f>
        <v>1.3584373576193736</v>
      </c>
      <c r="N627" s="340">
        <f>ATAN(A627/pole4)</f>
        <v>0.74344694386048937</v>
      </c>
      <c r="O627" s="355">
        <f t="shared" si="280"/>
        <v>0.23816679231709009</v>
      </c>
      <c r="P627" s="342">
        <f t="shared" si="281"/>
        <v>1.3151127640515865</v>
      </c>
      <c r="Q627" s="343">
        <f t="shared" si="282"/>
        <v>-14.783824543836745</v>
      </c>
      <c r="R627" s="344">
        <f t="shared" si="283"/>
        <v>-204.32170499498841</v>
      </c>
      <c r="S627" s="346">
        <f>IF(R627&gt;0,R627,R627+180)</f>
        <v>-24.321704994988409</v>
      </c>
      <c r="T627" s="319" t="s">
        <v>345</v>
      </c>
      <c r="X627" s="357"/>
      <c r="Y627" s="358"/>
      <c r="AA627" s="345">
        <f t="shared" si="284"/>
        <v>6.8871392100994075</v>
      </c>
      <c r="AB627" s="346">
        <f t="shared" si="285"/>
        <v>-161.40229813146229</v>
      </c>
    </row>
    <row r="628" spans="1:28" x14ac:dyDescent="0.2">
      <c r="A628" s="406">
        <f>z_RHP</f>
        <v>0</v>
      </c>
      <c r="C628" s="355">
        <f>SQRT(1+(A628/pole1)^2)</f>
        <v>1</v>
      </c>
      <c r="D628" s="348">
        <f>ATAN(A628/pole1)</f>
        <v>0</v>
      </c>
      <c r="E628" s="348">
        <f>SQRT(1+(A628/Zero1)^2)</f>
        <v>1</v>
      </c>
      <c r="F628" s="349">
        <f>ATAN(A628/Zero1)</f>
        <v>0</v>
      </c>
      <c r="G628" s="338">
        <f t="shared" si="278"/>
        <v>1</v>
      </c>
      <c r="H628" s="339">
        <f t="shared" si="279"/>
        <v>0</v>
      </c>
      <c r="I628" s="355">
        <f>SQRT(1+(A628/Pole2)^2)</f>
        <v>1</v>
      </c>
      <c r="J628" s="356">
        <f>ATAN(A628/Pole2)</f>
        <v>0</v>
      </c>
      <c r="K628" s="348">
        <f>SQRT(1+(A628/Zero2)^2)</f>
        <v>1</v>
      </c>
      <c r="L628" s="349">
        <f>ATAN(A628/Zero2)</f>
        <v>0</v>
      </c>
      <c r="M628" s="337">
        <f>SQRT(1+(A628/pole4)^2)</f>
        <v>1</v>
      </c>
      <c r="N628" s="340">
        <f>ATAN(A628/pole4)</f>
        <v>0</v>
      </c>
      <c r="O628" s="355">
        <f t="shared" si="280"/>
        <v>1</v>
      </c>
      <c r="P628" s="342">
        <f t="shared" si="281"/>
        <v>0</v>
      </c>
      <c r="Q628" s="343">
        <f t="shared" si="282"/>
        <v>97.156100038077909</v>
      </c>
      <c r="R628" s="344">
        <f t="shared" si="283"/>
        <v>0</v>
      </c>
      <c r="S628" s="346">
        <f>IF(R628&gt;0,R628,R628+180)</f>
        <v>180</v>
      </c>
      <c r="T628" s="319" t="s">
        <v>439</v>
      </c>
      <c r="X628" s="353"/>
      <c r="Y628" s="353"/>
      <c r="AA628" s="345">
        <f t="shared" si="284"/>
        <v>35.459049601049138</v>
      </c>
      <c r="AB628" s="346">
        <f t="shared" si="285"/>
        <v>0</v>
      </c>
    </row>
    <row r="629" spans="1:28" x14ac:dyDescent="0.2">
      <c r="A629" s="406">
        <f>Fp2_u</f>
        <v>1017886.0502993048</v>
      </c>
      <c r="Q629" s="343">
        <v>-25</v>
      </c>
    </row>
    <row r="631" spans="1:28" x14ac:dyDescent="0.2">
      <c r="D631" s="319" t="s">
        <v>364</v>
      </c>
      <c r="E631" s="319" t="s">
        <v>365</v>
      </c>
    </row>
    <row r="632" spans="1:28" x14ac:dyDescent="0.2">
      <c r="A632" s="319" t="s">
        <v>337</v>
      </c>
      <c r="B632" s="319" t="s">
        <v>436</v>
      </c>
      <c r="C632" s="359">
        <f>pole1</f>
        <v>9020.2484763247376</v>
      </c>
      <c r="D632" s="359">
        <f>Q622</f>
        <v>14.915102580225771</v>
      </c>
      <c r="E632" s="359">
        <f>AA622</f>
        <v>32.449373811386586</v>
      </c>
    </row>
    <row r="633" spans="1:28" x14ac:dyDescent="0.2">
      <c r="A633" s="319" t="s">
        <v>332</v>
      </c>
      <c r="B633" s="319" t="s">
        <v>446</v>
      </c>
      <c r="C633" s="359">
        <f>Zero1</f>
        <v>16931376.944016635</v>
      </c>
      <c r="D633" s="359">
        <f>Q623</f>
        <v>-117.98680376884619</v>
      </c>
      <c r="E633" s="359">
        <f>AA623</f>
        <v>-75.267728099023813</v>
      </c>
    </row>
    <row r="634" spans="1:28" x14ac:dyDescent="0.2">
      <c r="A634" s="319" t="s">
        <v>340</v>
      </c>
      <c r="B634" s="319" t="s">
        <v>447</v>
      </c>
      <c r="C634" s="359">
        <f>Pole2</f>
        <v>0.52905675708072641</v>
      </c>
      <c r="D634" s="359">
        <f>Q624</f>
        <v>94.145800103401086</v>
      </c>
      <c r="E634" s="359">
        <f>AA624</f>
        <v>35.459049586111242</v>
      </c>
    </row>
    <row r="635" spans="1:28" x14ac:dyDescent="0.2">
      <c r="A635" s="319" t="s">
        <v>335</v>
      </c>
      <c r="B635" s="319" t="s">
        <v>448</v>
      </c>
      <c r="C635" s="359">
        <f>Zero2</f>
        <v>5739.4498115310626</v>
      </c>
      <c r="D635" s="359">
        <f>Q625</f>
        <v>17.982849400179411</v>
      </c>
      <c r="E635" s="359">
        <f>AA625</f>
        <v>33.982975707288404</v>
      </c>
    </row>
    <row r="636" spans="1:28" x14ac:dyDescent="0.2">
      <c r="A636" s="319" t="s">
        <v>333</v>
      </c>
      <c r="B636" s="319" t="s">
        <v>445</v>
      </c>
      <c r="C636" s="319">
        <f>pole3</f>
        <v>1050000</v>
      </c>
      <c r="D636" s="359">
        <f>Q626</f>
        <v>-15.161030764248144</v>
      </c>
      <c r="E636" s="359">
        <f>AA626</f>
        <v>6.6356211256277833</v>
      </c>
    </row>
    <row r="637" spans="1:28" x14ac:dyDescent="0.2">
      <c r="C637" s="406"/>
      <c r="D637" s="359"/>
      <c r="E637" s="359"/>
    </row>
    <row r="639" spans="1:28" x14ac:dyDescent="0.2">
      <c r="A639" s="359">
        <f>Q4*1000</f>
        <v>59570</v>
      </c>
    </row>
    <row r="640" spans="1:28" x14ac:dyDescent="0.2">
      <c r="A640" s="359">
        <f>Q4*1000</f>
        <v>59570</v>
      </c>
    </row>
    <row r="687" spans="30:31" x14ac:dyDescent="0.2">
      <c r="AD687" t="s">
        <v>44</v>
      </c>
      <c r="AE687" s="4">
        <f>SUM(AE689:AE1306)</f>
        <v>0</v>
      </c>
    </row>
  </sheetData>
  <mergeCells count="20">
    <mergeCell ref="A10:A12"/>
    <mergeCell ref="B10:B11"/>
    <mergeCell ref="C10:H10"/>
    <mergeCell ref="I10:N10"/>
    <mergeCell ref="O10:P10"/>
    <mergeCell ref="A2:D2"/>
    <mergeCell ref="E2:G2"/>
    <mergeCell ref="J2:L2"/>
    <mergeCell ref="M2:O2"/>
    <mergeCell ref="P2:R2"/>
    <mergeCell ref="Q10:S10"/>
    <mergeCell ref="X10:Y10"/>
    <mergeCell ref="AA10:AB10"/>
    <mergeCell ref="C11:D11"/>
    <mergeCell ref="E11:F11"/>
    <mergeCell ref="G11:H11"/>
    <mergeCell ref="I11:J11"/>
    <mergeCell ref="K11:L11"/>
    <mergeCell ref="M11:N11"/>
    <mergeCell ref="O11:P11"/>
  </mergeCells>
  <pageMargins left="0.75" right="0.75" top="1" bottom="1" header="0.5" footer="0.5"/>
  <pageSetup scale="48" orientation="portrait" horizontalDpi="300" verticalDpi="300" r:id="rId1"/>
  <headerFooter alignWithMargins="0"/>
  <colBreaks count="1" manualBreakCount="1">
    <brk id="19"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N9"/>
  <sheetViews>
    <sheetView zoomScaleNormal="100" workbookViewId="0">
      <selection activeCell="F5" sqref="F5"/>
    </sheetView>
  </sheetViews>
  <sheetFormatPr defaultRowHeight="12.75" x14ac:dyDescent="0.2"/>
  <cols>
    <col min="1" max="1" width="10.5703125" customWidth="1"/>
    <col min="2" max="2" width="129.28515625" customWidth="1"/>
  </cols>
  <sheetData>
    <row r="1" spans="1:14" x14ac:dyDescent="0.2">
      <c r="J1" s="114" t="s">
        <v>621</v>
      </c>
      <c r="N1" s="114" t="s">
        <v>623</v>
      </c>
    </row>
    <row r="2" spans="1:14" x14ac:dyDescent="0.2">
      <c r="A2" t="str">
        <f>CHOOSE(BODE_PLOT_TYPE, "BODE_PLOT_Ch1", "BODE_PLOT_Ch2")</f>
        <v>BODE_PLOT_Ch1</v>
      </c>
      <c r="J2" s="114" t="s">
        <v>622</v>
      </c>
      <c r="N2" s="114" t="s">
        <v>777</v>
      </c>
    </row>
    <row r="3" spans="1:14" x14ac:dyDescent="0.2">
      <c r="J3" s="114" t="s">
        <v>620</v>
      </c>
    </row>
    <row r="4" spans="1:14" x14ac:dyDescent="0.2">
      <c r="J4" s="114" t="s">
        <v>619</v>
      </c>
    </row>
    <row r="5" spans="1:14" ht="409.5" customHeight="1" x14ac:dyDescent="0.2">
      <c r="B5" s="537"/>
    </row>
    <row r="6" spans="1:14" ht="12" customHeight="1" x14ac:dyDescent="0.2">
      <c r="B6" s="537"/>
      <c r="F6">
        <f ca="1">INDIRECT(A2)</f>
        <v>0</v>
      </c>
    </row>
    <row r="7" spans="1:14" ht="34.5" customHeight="1" x14ac:dyDescent="0.2"/>
    <row r="8" spans="1:14" ht="409.5" customHeight="1" x14ac:dyDescent="0.2">
      <c r="B8" s="537"/>
    </row>
    <row r="9" spans="1:14" x14ac:dyDescent="0.2">
      <c r="B9" s="537"/>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rgb="FF92D050"/>
  </sheetPr>
  <dimension ref="A1:BM209"/>
  <sheetViews>
    <sheetView topLeftCell="V1" zoomScaleNormal="100" workbookViewId="0">
      <pane ySplit="8" topLeftCell="A9" activePane="bottomLeft" state="frozen"/>
      <selection activeCell="F1" sqref="F1"/>
      <selection pane="bottomLeft" activeCell="AM9" sqref="AM9"/>
    </sheetView>
  </sheetViews>
  <sheetFormatPr defaultRowHeight="12.75" x14ac:dyDescent="0.2"/>
  <cols>
    <col min="1" max="1" width="19.85546875" customWidth="1"/>
    <col min="2" max="2" width="13.140625" bestFit="1" customWidth="1"/>
    <col min="4" max="4" width="74.5703125" customWidth="1"/>
    <col min="6" max="6" width="9.140625" customWidth="1"/>
    <col min="7" max="7" width="6.85546875" customWidth="1"/>
    <col min="8" max="8" width="9.140625" style="547"/>
    <col min="9" max="10" width="9.85546875" customWidth="1"/>
    <col min="11" max="11" width="8.140625" customWidth="1"/>
    <col min="12" max="12" width="7.42578125" customWidth="1"/>
    <col min="13" max="13" width="10.7109375" style="360" customWidth="1"/>
    <col min="14" max="16" width="8.85546875" style="4" customWidth="1"/>
    <col min="17" max="17" width="12.140625" style="4" customWidth="1"/>
    <col min="18" max="18" width="8" style="4" customWidth="1"/>
    <col min="19" max="19" width="9.42578125" style="311" customWidth="1"/>
    <col min="20" max="20" width="8" customWidth="1"/>
    <col min="21" max="21" width="9.28515625" customWidth="1"/>
    <col min="22" max="22" width="8.85546875" style="4" customWidth="1"/>
    <col min="23" max="23" width="9.85546875" customWidth="1"/>
    <col min="24" max="24" width="10.7109375" customWidth="1"/>
    <col min="25" max="25" width="9.7109375" style="311" customWidth="1"/>
    <col min="26" max="26" width="10.5703125" customWidth="1"/>
    <col min="28" max="29" width="8.5703125" customWidth="1"/>
    <col min="30" max="30" width="11.7109375" customWidth="1"/>
    <col min="31" max="31" width="12.85546875" customWidth="1"/>
    <col min="32" max="32" width="8" customWidth="1"/>
    <col min="33" max="33" width="9.85546875" customWidth="1"/>
    <col min="34" max="35" width="8.85546875" customWidth="1"/>
    <col min="36" max="36" width="10.5703125" customWidth="1"/>
    <col min="37" max="37" width="10.28515625" customWidth="1"/>
    <col min="38" max="38" width="13.7109375" customWidth="1"/>
    <col min="39" max="39" width="12" style="311" customWidth="1"/>
    <col min="40" max="40" width="11.5703125" customWidth="1"/>
    <col min="41" max="41" width="9.28515625" customWidth="1"/>
    <col min="42" max="43" width="10.42578125" customWidth="1"/>
    <col min="44" max="44" width="14.7109375" customWidth="1"/>
    <col min="46" max="46" width="8.42578125" style="4" customWidth="1"/>
    <col min="47" max="47" width="7.28515625" customWidth="1"/>
    <col min="48" max="48" width="10.140625" style="9" customWidth="1"/>
    <col min="49" max="49" width="12.42578125" style="379" customWidth="1"/>
    <col min="50" max="50" width="11.42578125" style="379" customWidth="1"/>
    <col min="51" max="51" width="3.28515625" customWidth="1"/>
    <col min="52" max="52" width="7.85546875" style="360" customWidth="1"/>
    <col min="53" max="53" width="9.140625" style="311"/>
    <col min="54" max="54" width="10.28515625" style="311" customWidth="1"/>
    <col min="55" max="55" width="12.140625" style="311" customWidth="1"/>
    <col min="56" max="56" width="8.85546875" style="311" customWidth="1"/>
    <col min="57" max="57" width="7.85546875" customWidth="1"/>
    <col min="61" max="61" width="28.42578125" customWidth="1"/>
    <col min="64" max="64" width="12.42578125" bestFit="1" customWidth="1"/>
  </cols>
  <sheetData>
    <row r="1" spans="1:65" ht="12.75" customHeight="1" x14ac:dyDescent="0.2">
      <c r="A1" s="758" t="s">
        <v>753</v>
      </c>
      <c r="B1" s="758"/>
      <c r="C1" s="758"/>
      <c r="D1" s="758"/>
    </row>
    <row r="2" spans="1:65" ht="12.75" customHeight="1" x14ac:dyDescent="0.2">
      <c r="A2" s="758"/>
      <c r="B2" s="758"/>
      <c r="C2" s="758"/>
      <c r="D2" s="758"/>
      <c r="H2" s="552">
        <f>AV19</f>
        <v>0.60512279171703309</v>
      </c>
      <c r="I2" s="114" t="s">
        <v>602</v>
      </c>
      <c r="J2" s="114"/>
      <c r="AK2" s="114"/>
    </row>
    <row r="3" spans="1:65" ht="12.75" customHeight="1" x14ac:dyDescent="0.2">
      <c r="A3" s="758"/>
      <c r="B3" s="758"/>
      <c r="C3" s="758"/>
      <c r="D3" s="758"/>
      <c r="H3" s="552">
        <f>AV59</f>
        <v>0.80116019543321015</v>
      </c>
      <c r="I3" s="114" t="s">
        <v>604</v>
      </c>
      <c r="J3" s="114"/>
      <c r="AK3" s="114"/>
      <c r="AP3">
        <f>IF(MODE=1, (Qg_Q1+Qg_Q2)*Fsw*Vin, (Qg_Q1+Qg_Q2+Qg_Q3+Qg_Q4)*Fsw*Vin)</f>
        <v>1.4553</v>
      </c>
    </row>
    <row r="4" spans="1:65" ht="12.75" customHeight="1" x14ac:dyDescent="0.2">
      <c r="A4" s="758"/>
      <c r="B4" s="758"/>
      <c r="C4" s="758"/>
      <c r="D4" s="758"/>
      <c r="H4" s="552">
        <f>AV109</f>
        <v>0.83015774914348661</v>
      </c>
      <c r="I4" s="114" t="s">
        <v>603</v>
      </c>
      <c r="J4" s="114"/>
      <c r="AK4" s="114"/>
      <c r="AO4" s="114" t="s">
        <v>815</v>
      </c>
      <c r="AP4">
        <f>(Qg_Q1+Qg_Q2)*Fsw*1000</f>
        <v>69.3</v>
      </c>
      <c r="AQ4" s="114" t="s">
        <v>64</v>
      </c>
      <c r="AR4">
        <f>AP4*5/1000</f>
        <v>0.34649999999999997</v>
      </c>
    </row>
    <row r="5" spans="1:65" x14ac:dyDescent="0.2">
      <c r="A5" s="10"/>
      <c r="B5" s="11"/>
      <c r="C5" s="6"/>
      <c r="D5" s="6"/>
    </row>
    <row r="6" spans="1:65" ht="13.5" customHeight="1" thickBot="1" x14ac:dyDescent="0.25">
      <c r="A6" s="759" t="s">
        <v>474</v>
      </c>
      <c r="B6" s="759"/>
      <c r="C6" s="759"/>
      <c r="D6" s="759"/>
    </row>
    <row r="7" spans="1:65" ht="13.5" thickBot="1" x14ac:dyDescent="0.25">
      <c r="A7" s="759"/>
      <c r="B7" s="759"/>
      <c r="C7" s="759"/>
      <c r="D7" s="759"/>
      <c r="G7" s="755" t="s">
        <v>595</v>
      </c>
      <c r="H7" s="756"/>
      <c r="I7" s="756"/>
      <c r="J7" s="756"/>
      <c r="K7" s="756"/>
      <c r="L7" s="756"/>
      <c r="M7" s="756"/>
      <c r="N7" s="757"/>
      <c r="O7" s="651"/>
      <c r="P7" s="651"/>
      <c r="Q7" s="651"/>
      <c r="R7" s="755" t="s">
        <v>485</v>
      </c>
      <c r="S7" s="756"/>
      <c r="T7" s="756"/>
      <c r="U7" s="757"/>
      <c r="V7" s="760" t="s">
        <v>25</v>
      </c>
      <c r="W7" s="761"/>
      <c r="X7" s="762"/>
      <c r="Y7" s="755" t="s">
        <v>57</v>
      </c>
      <c r="Z7" s="756"/>
      <c r="AA7" s="757"/>
      <c r="AB7" s="755" t="s">
        <v>592</v>
      </c>
      <c r="AC7" s="756"/>
      <c r="AD7" s="756"/>
      <c r="AE7" s="756"/>
      <c r="AF7" s="756"/>
      <c r="AG7" s="757"/>
      <c r="AH7" s="755" t="s">
        <v>593</v>
      </c>
      <c r="AI7" s="756"/>
      <c r="AJ7" s="756"/>
      <c r="AK7" s="757"/>
      <c r="AL7" s="466" t="s">
        <v>201</v>
      </c>
      <c r="AM7" s="468" t="s">
        <v>458</v>
      </c>
      <c r="AN7" s="467" t="s">
        <v>503</v>
      </c>
      <c r="AO7" s="764" t="s">
        <v>492</v>
      </c>
      <c r="AP7" s="765"/>
      <c r="AQ7" s="765"/>
      <c r="AR7" s="766"/>
      <c r="AS7" s="767"/>
      <c r="AT7" s="755" t="s">
        <v>500</v>
      </c>
      <c r="AU7" s="756"/>
      <c r="AV7" s="756"/>
      <c r="AW7" s="756"/>
      <c r="AX7" s="756"/>
      <c r="AY7" s="543"/>
      <c r="AZ7" s="763" t="s">
        <v>501</v>
      </c>
      <c r="BA7" s="763"/>
      <c r="BB7" s="763"/>
      <c r="BC7" s="763"/>
      <c r="BD7" s="763"/>
      <c r="BE7" s="763"/>
    </row>
    <row r="8" spans="1:65" ht="64.5" thickBot="1" x14ac:dyDescent="0.45">
      <c r="A8" s="606" t="s">
        <v>108</v>
      </c>
      <c r="B8" s="13"/>
      <c r="C8" s="13"/>
      <c r="D8" s="6"/>
      <c r="G8" s="451" t="s">
        <v>53</v>
      </c>
      <c r="H8" s="538" t="s">
        <v>3</v>
      </c>
      <c r="I8" s="538" t="s">
        <v>594</v>
      </c>
      <c r="J8" s="538" t="s">
        <v>5</v>
      </c>
      <c r="K8" s="452" t="s">
        <v>774</v>
      </c>
      <c r="L8" s="452" t="s">
        <v>305</v>
      </c>
      <c r="M8" s="463" t="s">
        <v>596</v>
      </c>
      <c r="N8" s="540" t="s">
        <v>486</v>
      </c>
      <c r="O8" s="652" t="s">
        <v>830</v>
      </c>
      <c r="P8" s="652" t="s">
        <v>831</v>
      </c>
      <c r="Q8" s="652" t="s">
        <v>832</v>
      </c>
      <c r="R8" s="539" t="s">
        <v>591</v>
      </c>
      <c r="S8" s="465" t="s">
        <v>87</v>
      </c>
      <c r="T8" s="452" t="s">
        <v>590</v>
      </c>
      <c r="U8" s="453" t="s">
        <v>521</v>
      </c>
      <c r="V8" s="539" t="s">
        <v>488</v>
      </c>
      <c r="W8" s="454" t="s">
        <v>487</v>
      </c>
      <c r="X8" s="453" t="s">
        <v>520</v>
      </c>
      <c r="Y8" s="464" t="s">
        <v>489</v>
      </c>
      <c r="Z8" s="452" t="s">
        <v>490</v>
      </c>
      <c r="AA8" s="453" t="s">
        <v>518</v>
      </c>
      <c r="AB8" s="451" t="s">
        <v>84</v>
      </c>
      <c r="AC8" s="452" t="s">
        <v>491</v>
      </c>
      <c r="AD8" s="452" t="s">
        <v>828</v>
      </c>
      <c r="AE8" s="653" t="s">
        <v>829</v>
      </c>
      <c r="AF8" s="455" t="s">
        <v>202</v>
      </c>
      <c r="AG8" s="453" t="s">
        <v>588</v>
      </c>
      <c r="AH8" s="451" t="s">
        <v>84</v>
      </c>
      <c r="AI8" s="452" t="s">
        <v>491</v>
      </c>
      <c r="AJ8" s="452" t="s">
        <v>494</v>
      </c>
      <c r="AK8" s="456" t="s">
        <v>589</v>
      </c>
      <c r="AL8" s="453" t="s">
        <v>494</v>
      </c>
      <c r="AM8" s="469" t="s">
        <v>93</v>
      </c>
      <c r="AN8" s="470" t="s">
        <v>502</v>
      </c>
      <c r="AO8" s="457" t="s">
        <v>495</v>
      </c>
      <c r="AP8" s="458" t="s">
        <v>135</v>
      </c>
      <c r="AQ8" s="459" t="s">
        <v>204</v>
      </c>
      <c r="AR8" s="458" t="s">
        <v>816</v>
      </c>
      <c r="AS8" s="460" t="s">
        <v>493</v>
      </c>
      <c r="AT8" s="461" t="s">
        <v>54</v>
      </c>
      <c r="AU8" s="452" t="s">
        <v>295</v>
      </c>
      <c r="AV8" s="462" t="s">
        <v>497</v>
      </c>
      <c r="AW8" s="550" t="str">
        <f>IF(Vin&gt;Vout, "Buck ''CONTROL'' MOSFET Temp Rise", "Boost ''CONTROL'' MOSFET Temp Rise")</f>
        <v>Buck ''CONTROL'' MOSFET Temp Rise</v>
      </c>
      <c r="AX8" s="550" t="str">
        <f>IF(Vin&gt;Vout, "Buck ''SYNC'' MOSFET Temp Rise", "Boost ''SYNC'' MOSFET Temp Rise")</f>
        <v>Buck ''SYNC'' MOSFET Temp Rise</v>
      </c>
      <c r="AZ8" s="544" t="s">
        <v>496</v>
      </c>
      <c r="BA8" s="545" t="s">
        <v>519</v>
      </c>
      <c r="BB8" s="545" t="s">
        <v>597</v>
      </c>
      <c r="BC8" s="545" t="s">
        <v>751</v>
      </c>
      <c r="BD8" s="545" t="s">
        <v>752</v>
      </c>
      <c r="BE8" s="545" t="s">
        <v>571</v>
      </c>
      <c r="BF8" s="545"/>
    </row>
    <row r="9" spans="1:65" x14ac:dyDescent="0.2">
      <c r="A9" s="14" t="s">
        <v>55</v>
      </c>
      <c r="B9" s="15" t="s">
        <v>111</v>
      </c>
      <c r="C9" s="16" t="s">
        <v>76</v>
      </c>
      <c r="D9" s="17" t="s">
        <v>107</v>
      </c>
      <c r="G9">
        <v>0</v>
      </c>
      <c r="H9" s="548">
        <f t="shared" ref="H9:H40" si="0">Vin</f>
        <v>21</v>
      </c>
      <c r="I9" s="4">
        <f t="shared" ref="I9:I40" si="1">MODE</f>
        <v>1</v>
      </c>
      <c r="J9">
        <v>0</v>
      </c>
      <c r="K9" s="360">
        <f t="shared" ref="K9:K40" si="2">Iout*G9/100/Number_of_Phases</f>
        <v>0</v>
      </c>
      <c r="L9" s="4">
        <f t="shared" ref="L9:L40" si="3">Vout*K9/(Vin*Efficiency)</f>
        <v>0</v>
      </c>
      <c r="M9" s="360">
        <f t="shared" ref="M9:M40" si="4">(Vout+(Rdson2+Rs+Rdcr)*K9)/(Vin+(Rs+Rdson2-Rdson1)*K9)</f>
        <v>0.23809523809523808</v>
      </c>
      <c r="N9" s="4">
        <f t="shared" ref="N9:N40" si="5">(Vin-(Rdson1+Rdcr)*K9-Vout)*M9/(Fsw*Lf)</f>
        <v>0.82457225314368165</v>
      </c>
      <c r="O9" s="4">
        <f>K9+N9/2</f>
        <v>0.41228612657184083</v>
      </c>
      <c r="P9" s="4">
        <f>K9-N9/2</f>
        <v>-0.41228612657184083</v>
      </c>
      <c r="Q9" s="4">
        <f t="shared" ref="Q9:Q40" si="6">IF(MIN(Vin, -P9/(Coss_Q1+Coss_Q2)*0.00000002)&lt;0, 0, MIN(Vin, -P9/(Coss_Q1+Coss_Q2)*0.00000002))</f>
        <v>4.3103620132968201</v>
      </c>
      <c r="R9" s="4">
        <f>SQRT(K9^2+(N9^2)/12)</f>
        <v>0.23803350615940042</v>
      </c>
      <c r="S9" s="360">
        <f t="shared" ref="S9:S40" si="7">R9^2*Rdcr</f>
        <v>7.6490932573625373E-5</v>
      </c>
      <c r="T9" s="360">
        <f t="shared" ref="T9:T40" si="8">Core_Loss_Ch1</f>
        <v>0.3</v>
      </c>
      <c r="U9" s="360">
        <f t="shared" ref="U9:U40" si="9">(T9+S9*(1+Ltc*(Ta-25)))/(1-S9*Ltc*ThetaCa)</f>
        <v>0.30007832719426097</v>
      </c>
      <c r="V9" s="4">
        <f>N9/SQRT(12)</f>
        <v>0.23803350615940044</v>
      </c>
      <c r="W9" s="360">
        <f t="shared" ref="W9:W73" si="10">RCoutEsr*V9^2</f>
        <v>1.1331990010907465E-4</v>
      </c>
      <c r="X9" s="360">
        <f>W9</f>
        <v>1.1331990010907465E-4</v>
      </c>
      <c r="Y9" s="4">
        <f>SQRT(M9*(1-M9))*SQRT(K9^2+(N9^2)/12)</f>
        <v>0.10138268584667318</v>
      </c>
      <c r="Z9" s="360">
        <f t="shared" ref="Z9:Z73" si="11">RCinEsr*Y9^2</f>
        <v>1.0278448989485226E-5</v>
      </c>
      <c r="AA9" s="541">
        <f>Z9</f>
        <v>1.0278448989485226E-5</v>
      </c>
      <c r="AB9" s="360">
        <f>SQRT(M9)*SQRT(K9^2+(N9^2)/12)</f>
        <v>0.11614845801257699</v>
      </c>
      <c r="AC9" s="360">
        <f t="shared" ref="AC9:AC40" si="12">Rdson1*AB9^2</f>
        <v>8.0942785792196162E-5</v>
      </c>
      <c r="AD9" s="360">
        <f t="shared" ref="AD9:AD40" si="13">(Vin*K9/2)*Fsw*(Tr_buck+Tf_buck)</f>
        <v>0</v>
      </c>
      <c r="AE9" s="360">
        <f t="shared" ref="AE9:AE40" si="14">(0.5*Coss_Q1*(Vin-Q9)^2-0.5*Coss_Q2*(Vin-Q9)^2+(Qoss_Q2*(Vin-Q9)/Vin)*Vin)*Fsw</f>
        <v>0.61654249358208768</v>
      </c>
      <c r="AF9" s="360">
        <f t="shared" ref="AF9:AF40" si="15">IF(K9&gt;N9/2,0,ABS(K9-N9/2)*Vsd_Q1*Deadtime*Fsw)</f>
        <v>8.484848484848484E-3</v>
      </c>
      <c r="AG9" s="360">
        <f t="shared" ref="AG9:AG40" si="16">(AF9+AE9+AD9+AC9*(1+RdsonTopTc*Ta-RdsonTopTc*25))/(1-AC9*RdsonTopTc*ThetaJA_Q1)</f>
        <v>0.62511840461775225</v>
      </c>
      <c r="AH9" s="360">
        <f t="shared" ref="AH9:AH40" si="17">SQRT((1-M9))*SQRT(K9^2+(N9^2)/12)</f>
        <v>0.20777267807832181</v>
      </c>
      <c r="AI9" s="360">
        <f t="shared" ref="AI9:AI40" si="18">Rdson2*AH9^2</f>
        <v>1.0792371438959487E-4</v>
      </c>
      <c r="AJ9" s="360">
        <f t="shared" ref="AJ9:AJ40" si="19">IF(K9&lt;N9/2,Deadtime*Fsw*IF(VfdSky_Q2&gt;0,0,Vsd_Q2)*(K9+N9/2),2*Deadtime*Fsw*IF(VfdSky_Q2&gt;0,0,Vsd_Q2)*K9)</f>
        <v>8.484848484848484E-3</v>
      </c>
      <c r="AK9" s="360">
        <f t="shared" ref="AK9:AK40" si="20">(AJ9+AI9*(1+RdsonBotTc*Ta-RdsonBotTc*25))/(1-AI9*RdsonBotTc*ThetaJA_Q2)</f>
        <v>8.5929131608621524E-3</v>
      </c>
      <c r="AL9" s="360">
        <f t="shared" ref="AL9:AL40" si="21">2*Deadtime*Fsw*IF(VfdSky_Q2&gt;0,VfdSky_Q2,Vsd_Q2)*K9</f>
        <v>0</v>
      </c>
      <c r="AM9" s="360">
        <f t="shared" ref="AM9:AM40" si="22">IF(QrrSky_Q2&gt;0,QrrSky_Q2,Qrr_Q2*K9/(Iout/Number_of_Phases))*Fsw*Vin</f>
        <v>0</v>
      </c>
      <c r="AN9" s="360">
        <f t="shared" ref="AN9:AN40" si="23">CHOOSE(SENSING_TYPE, Rs*R9^2, 0)</f>
        <v>5.6659950054537315E-4</v>
      </c>
      <c r="AO9" s="360">
        <f t="shared" ref="AO9:AO40" si="24">Iq*Vin</f>
        <v>7.3499999999999998E-4</v>
      </c>
      <c r="AP9" s="360">
        <f t="shared" ref="AP9:AP40" si="25">IF(Ext_VCC=1,  (Qg_Q1+Qg_Q2)*Fsw*VCC, (Qg_Q1+Qg_Q2)*Fsw*Vin)</f>
        <v>0.34650000000000003</v>
      </c>
      <c r="AQ9" s="360">
        <f t="shared" ref="AQ9:AQ72" si="26">(Vin-VCC)*Fsw*(Qg_Q1+Qg_Q2)+(RdsonDRT+RdsonDRT2)*Fsw*Qg_Q1*VCC/(RdsonDRT+2*Rgate1+RdsonDRT2)+(RdsonDRB+RdsonDRB2)*Fsw*Qg_Q2*VCC/(RdsonDRB+2*Rgate2+RdsonDRB2)</f>
        <v>1.3167</v>
      </c>
      <c r="AR9" s="360">
        <f t="shared" ref="AR9:AR40" si="27">(Qg_Q1+Qg_Q2)*Fsw*(Vin-VCC)</f>
        <v>1.1088</v>
      </c>
      <c r="AS9" s="360">
        <f t="shared" ref="AS9:AS40" si="28">SUM(AO9:AP9)</f>
        <v>0.34723500000000002</v>
      </c>
      <c r="AT9" s="360">
        <f t="shared" ref="AT9:AT40" si="29" xml:space="preserve"> SUM(U9,X9,AA9,AG9,AK9,AL9,AM9,AS9,AN9)</f>
        <v>1.2817148428225194</v>
      </c>
      <c r="AU9">
        <f t="shared" ref="AU9:AU40" si="30">Vout*K9</f>
        <v>0</v>
      </c>
      <c r="AV9" s="542">
        <f>AU9/(AU9+AT9)</f>
        <v>0</v>
      </c>
      <c r="AW9" s="551">
        <f t="shared" ref="AW9:AW40" si="31">ThetaJA_Q1*BC9</f>
        <v>31.255920230887611</v>
      </c>
      <c r="AX9" s="551">
        <f t="shared" ref="AX9:AX40" si="32">ThetaJA_Q2*BD9</f>
        <v>0.32653070011276181</v>
      </c>
      <c r="AZ9" s="4">
        <f>AV9*100</f>
        <v>0</v>
      </c>
      <c r="BA9" s="360">
        <f t="shared" ref="BA9:BA40" si="33">U9</f>
        <v>0.30007832719426097</v>
      </c>
      <c r="BB9" s="360">
        <f t="shared" ref="BB9:BB40" si="34">AG9+AK9+AM9</f>
        <v>0.63371131777861445</v>
      </c>
      <c r="BC9" s="360">
        <f t="shared" ref="BC9:BC40" si="35">AG9+AM9*0.66</f>
        <v>0.62511840461775225</v>
      </c>
      <c r="BD9" s="360">
        <f t="shared" ref="BD9:BD40" si="36">AK9+AM9*0.33</f>
        <v>8.5929131608621524E-3</v>
      </c>
      <c r="BE9" s="360">
        <f t="shared" ref="BE9:BE40" si="37">AN9</f>
        <v>5.6659950054537315E-4</v>
      </c>
      <c r="BJ9" s="18"/>
      <c r="BK9" s="18"/>
      <c r="BL9" s="18"/>
      <c r="BM9" s="19"/>
    </row>
    <row r="10" spans="1:65" x14ac:dyDescent="0.2">
      <c r="A10" s="495"/>
      <c r="B10" s="24"/>
      <c r="C10" s="16"/>
      <c r="D10" s="17"/>
      <c r="G10">
        <v>1</v>
      </c>
      <c r="H10" s="548">
        <f t="shared" si="0"/>
        <v>21</v>
      </c>
      <c r="I10" s="4">
        <f t="shared" si="1"/>
        <v>1</v>
      </c>
      <c r="J10" s="360">
        <f t="shared" ref="J10:J41" si="38">Iout*G10/100</f>
        <v>0.05</v>
      </c>
      <c r="K10" s="360">
        <f t="shared" si="2"/>
        <v>0.05</v>
      </c>
      <c r="L10" s="4">
        <f t="shared" si="3"/>
        <v>1.3227513227513227E-2</v>
      </c>
      <c r="M10" s="360">
        <f t="shared" si="4"/>
        <v>0.23812452902514605</v>
      </c>
      <c r="N10" s="4">
        <f t="shared" si="5"/>
        <v>0.82465475186967963</v>
      </c>
      <c r="O10" s="4">
        <f t="shared" ref="O10:O73" si="39">K10+N10/2</f>
        <v>0.4623273759348398</v>
      </c>
      <c r="P10" s="4">
        <f t="shared" ref="P10:P73" si="40">K10-N10/2</f>
        <v>-0.36232737593483982</v>
      </c>
      <c r="Q10" s="4">
        <f t="shared" si="6"/>
        <v>3.7880541132759</v>
      </c>
      <c r="R10" s="4">
        <f t="shared" ref="R10:R73" si="41">SQRT(K10^2+(N10^2)/12)</f>
        <v>0.24325149190725134</v>
      </c>
      <c r="S10" s="360">
        <f t="shared" si="7"/>
        <v>7.9881239225389813E-5</v>
      </c>
      <c r="T10" s="360">
        <f t="shared" si="8"/>
        <v>0.3</v>
      </c>
      <c r="U10" s="360">
        <f t="shared" si="9"/>
        <v>0.30008179891170261</v>
      </c>
      <c r="V10" s="4">
        <f t="shared" ref="V10:V73" si="42">N10/SQRT(12)</f>
        <v>0.23805732149023179</v>
      </c>
      <c r="W10" s="360">
        <f t="shared" si="10"/>
        <v>1.1334257663020715E-4</v>
      </c>
      <c r="X10" s="360">
        <f t="shared" ref="X10:X73" si="43">W10</f>
        <v>1.1334257663020715E-4</v>
      </c>
      <c r="Y10" s="4">
        <f t="shared" ref="Y10:Y73" si="44">SQRT(M10*(1-M10))*SQRT(K10^2+(N10^2)/12)</f>
        <v>0.10360949938364791</v>
      </c>
      <c r="Z10" s="360">
        <f t="shared" si="11"/>
        <v>1.0734928362530138E-5</v>
      </c>
      <c r="AA10" s="541">
        <f t="shared" ref="AA10:AA73" si="45">Z10</f>
        <v>1.0734928362530138E-5</v>
      </c>
      <c r="AB10" s="360">
        <f t="shared" ref="AB10:AB73" si="46">SQRT(M10)*SQRT(K10^2+(N10^2)/12)</f>
        <v>0.11870187514039179</v>
      </c>
      <c r="AC10" s="360">
        <f t="shared" si="12"/>
        <v>8.4540810971070991E-5</v>
      </c>
      <c r="AD10" s="360">
        <f t="shared" si="13"/>
        <v>3.9208233010212604E-3</v>
      </c>
      <c r="AE10" s="360">
        <f t="shared" si="14"/>
        <v>0.62180096522025907</v>
      </c>
      <c r="AF10" s="360">
        <f t="shared" si="15"/>
        <v>7.4566973967390036E-3</v>
      </c>
      <c r="AG10" s="360">
        <f t="shared" si="16"/>
        <v>0.63327373422400213</v>
      </c>
      <c r="AH10" s="360">
        <f t="shared" si="17"/>
        <v>0.21232322801158238</v>
      </c>
      <c r="AI10" s="360">
        <f t="shared" si="18"/>
        <v>1.1270288288314599E-4</v>
      </c>
      <c r="AJ10" s="360">
        <f t="shared" si="19"/>
        <v>9.5146973967390018E-3</v>
      </c>
      <c r="AK10" s="360">
        <f t="shared" si="20"/>
        <v>9.6275652078839664E-3</v>
      </c>
      <c r="AL10" s="360">
        <f t="shared" si="21"/>
        <v>2.0579999999999999E-3</v>
      </c>
      <c r="AM10" s="360">
        <f t="shared" si="22"/>
        <v>2.6460000000000001E-2</v>
      </c>
      <c r="AN10" s="360">
        <f t="shared" si="23"/>
        <v>5.9171288315103569E-4</v>
      </c>
      <c r="AO10" s="360">
        <f t="shared" si="24"/>
        <v>7.3499999999999998E-4</v>
      </c>
      <c r="AP10" s="360">
        <f t="shared" si="25"/>
        <v>0.34650000000000003</v>
      </c>
      <c r="AQ10" s="360">
        <f t="shared" si="26"/>
        <v>1.3167</v>
      </c>
      <c r="AR10" s="360">
        <f t="shared" si="27"/>
        <v>1.1088</v>
      </c>
      <c r="AS10" s="360">
        <f t="shared" si="28"/>
        <v>0.34723500000000002</v>
      </c>
      <c r="AT10" s="360">
        <f t="shared" si="29"/>
        <v>1.3194518887317326</v>
      </c>
      <c r="AU10">
        <f t="shared" si="30"/>
        <v>0.25</v>
      </c>
      <c r="AV10" s="542">
        <f t="shared" ref="AV10:AV73" si="47">AU10/(AU10+AT10)</f>
        <v>0.1592912798378445</v>
      </c>
      <c r="AW10" s="551">
        <f t="shared" si="31"/>
        <v>32.536866711200105</v>
      </c>
      <c r="AX10" s="551">
        <f t="shared" si="32"/>
        <v>0.69765587789959083</v>
      </c>
      <c r="AY10" s="9"/>
      <c r="AZ10" s="4">
        <f t="shared" ref="AZ10:AZ73" si="48">AV10*100</f>
        <v>15.929127983784449</v>
      </c>
      <c r="BA10" s="360">
        <f t="shared" si="33"/>
        <v>0.30008179891170261</v>
      </c>
      <c r="BB10" s="360">
        <f t="shared" si="34"/>
        <v>0.66936129943188616</v>
      </c>
      <c r="BC10" s="360">
        <f t="shared" si="35"/>
        <v>0.65073733422400215</v>
      </c>
      <c r="BD10" s="360">
        <f t="shared" si="36"/>
        <v>1.8359365207883969E-2</v>
      </c>
      <c r="BE10" s="360">
        <f t="shared" si="37"/>
        <v>5.9171288315103569E-4</v>
      </c>
      <c r="BJ10" s="18"/>
      <c r="BK10" s="18"/>
      <c r="BL10" s="18"/>
      <c r="BM10" s="19"/>
    </row>
    <row r="11" spans="1:65" x14ac:dyDescent="0.2">
      <c r="A11" s="20" t="s">
        <v>3</v>
      </c>
      <c r="B11" s="5">
        <f>Vin</f>
        <v>21</v>
      </c>
      <c r="C11" s="440" t="s">
        <v>0</v>
      </c>
      <c r="D11" s="21" t="s">
        <v>3</v>
      </c>
      <c r="G11">
        <v>2</v>
      </c>
      <c r="H11" s="548">
        <f t="shared" si="0"/>
        <v>21</v>
      </c>
      <c r="I11" s="4">
        <f t="shared" si="1"/>
        <v>1</v>
      </c>
      <c r="J11" s="360">
        <f t="shared" si="38"/>
        <v>0.1</v>
      </c>
      <c r="K11" s="360">
        <f t="shared" si="2"/>
        <v>0.1</v>
      </c>
      <c r="L11" s="4">
        <f t="shared" si="3"/>
        <v>2.6455026455026454E-2</v>
      </c>
      <c r="M11" s="360">
        <f t="shared" si="4"/>
        <v>0.23815381904845803</v>
      </c>
      <c r="N11" s="4">
        <f t="shared" si="5"/>
        <v>0.82473724279617489</v>
      </c>
      <c r="O11" s="4">
        <f t="shared" si="39"/>
        <v>0.51236862139808748</v>
      </c>
      <c r="P11" s="4">
        <f t="shared" si="40"/>
        <v>-0.31236862139808741</v>
      </c>
      <c r="Q11" s="4">
        <f t="shared" si="6"/>
        <v>3.2657461724839254</v>
      </c>
      <c r="R11" s="4">
        <f t="shared" si="41"/>
        <v>0.25822979424907527</v>
      </c>
      <c r="S11" s="360">
        <f t="shared" si="7"/>
        <v>9.0021545961191672E-5</v>
      </c>
      <c r="T11" s="360">
        <f t="shared" si="8"/>
        <v>0.3</v>
      </c>
      <c r="U11" s="360">
        <f t="shared" si="9"/>
        <v>0.30009218272693877</v>
      </c>
      <c r="V11" s="4">
        <f t="shared" si="42"/>
        <v>0.23808113456954066</v>
      </c>
      <c r="W11" s="360">
        <f t="shared" si="10"/>
        <v>1.1336525327583947E-4</v>
      </c>
      <c r="X11" s="360">
        <f t="shared" si="43"/>
        <v>1.1336525327583947E-4</v>
      </c>
      <c r="Y11" s="4">
        <f t="shared" si="44"/>
        <v>0.10999394327553215</v>
      </c>
      <c r="Z11" s="360">
        <f t="shared" si="11"/>
        <v>1.2098667557300984E-5</v>
      </c>
      <c r="AA11" s="541">
        <f t="shared" si="45"/>
        <v>1.2098667557300984E-5</v>
      </c>
      <c r="AB11" s="360">
        <f t="shared" si="46"/>
        <v>0.12601873748773643</v>
      </c>
      <c r="AC11" s="360">
        <f t="shared" si="12"/>
        <v>9.5284333188018169E-5</v>
      </c>
      <c r="AD11" s="360">
        <f t="shared" si="13"/>
        <v>7.8416466020425207E-3</v>
      </c>
      <c r="AE11" s="360">
        <f t="shared" si="14"/>
        <v>0.62620754730182837</v>
      </c>
      <c r="AF11" s="360">
        <f t="shared" si="15"/>
        <v>6.4285462283726388E-3</v>
      </c>
      <c r="AG11" s="360">
        <f t="shared" si="16"/>
        <v>0.64058523201276807</v>
      </c>
      <c r="AH11" s="360">
        <f t="shared" si="17"/>
        <v>0.22539277814499009</v>
      </c>
      <c r="AI11" s="360">
        <f t="shared" si="18"/>
        <v>1.2700476109979181E-4</v>
      </c>
      <c r="AJ11" s="360">
        <f t="shared" si="19"/>
        <v>1.0544546228372639E-2</v>
      </c>
      <c r="AK11" s="360">
        <f t="shared" si="20"/>
        <v>1.0671757004792665E-2</v>
      </c>
      <c r="AL11" s="360">
        <f t="shared" si="21"/>
        <v>4.1159999999999999E-3</v>
      </c>
      <c r="AM11" s="360">
        <f t="shared" si="22"/>
        <v>5.2920000000000002E-2</v>
      </c>
      <c r="AN11" s="360">
        <f t="shared" si="23"/>
        <v>6.6682626637919759E-4</v>
      </c>
      <c r="AO11" s="360">
        <f t="shared" si="24"/>
        <v>7.3499999999999998E-4</v>
      </c>
      <c r="AP11" s="360">
        <f t="shared" si="25"/>
        <v>0.34650000000000003</v>
      </c>
      <c r="AQ11" s="360">
        <f t="shared" si="26"/>
        <v>1.3167</v>
      </c>
      <c r="AR11" s="360">
        <f t="shared" si="27"/>
        <v>1.1088</v>
      </c>
      <c r="AS11" s="360">
        <f t="shared" si="28"/>
        <v>0.34723500000000002</v>
      </c>
      <c r="AT11" s="360">
        <f t="shared" si="29"/>
        <v>1.3564124619317117</v>
      </c>
      <c r="AU11">
        <f t="shared" si="30"/>
        <v>0.5</v>
      </c>
      <c r="AV11" s="542">
        <f t="shared" si="47"/>
        <v>0.26933669658720083</v>
      </c>
      <c r="AW11" s="551">
        <f t="shared" si="31"/>
        <v>33.775621600638402</v>
      </c>
      <c r="AX11" s="551">
        <f t="shared" si="32"/>
        <v>1.0691435661821214</v>
      </c>
      <c r="AY11" s="9"/>
      <c r="AZ11" s="4">
        <f t="shared" si="48"/>
        <v>26.933669658720085</v>
      </c>
      <c r="BA11" s="360">
        <f t="shared" si="33"/>
        <v>0.30009218272693877</v>
      </c>
      <c r="BB11" s="360">
        <f t="shared" si="34"/>
        <v>0.70417698901756065</v>
      </c>
      <c r="BC11" s="360">
        <f t="shared" si="35"/>
        <v>0.67551243201276812</v>
      </c>
      <c r="BD11" s="360">
        <f t="shared" si="36"/>
        <v>2.8135357004792666E-2</v>
      </c>
      <c r="BE11" s="360">
        <f t="shared" si="37"/>
        <v>6.6682626637919759E-4</v>
      </c>
      <c r="BJ11" s="18"/>
      <c r="BK11" s="18"/>
      <c r="BL11" s="18"/>
      <c r="BM11" s="19"/>
    </row>
    <row r="12" spans="1:65" x14ac:dyDescent="0.2">
      <c r="A12" s="22" t="s">
        <v>4</v>
      </c>
      <c r="B12" s="5">
        <f>Vout</f>
        <v>5</v>
      </c>
      <c r="C12" s="440" t="s">
        <v>0</v>
      </c>
      <c r="D12" s="21" t="s">
        <v>4</v>
      </c>
      <c r="G12">
        <v>3</v>
      </c>
      <c r="H12" s="548">
        <f t="shared" si="0"/>
        <v>21</v>
      </c>
      <c r="I12" s="4">
        <f t="shared" si="1"/>
        <v>1</v>
      </c>
      <c r="J12" s="360">
        <f t="shared" si="38"/>
        <v>0.15</v>
      </c>
      <c r="K12" s="360">
        <f t="shared" si="2"/>
        <v>0.15</v>
      </c>
      <c r="L12" s="4">
        <f t="shared" si="3"/>
        <v>3.968253968253968E-2</v>
      </c>
      <c r="M12" s="360">
        <f t="shared" si="4"/>
        <v>0.23818310816521615</v>
      </c>
      <c r="N12" s="4">
        <f t="shared" si="5"/>
        <v>0.82481972592352959</v>
      </c>
      <c r="O12" s="4">
        <f t="shared" si="39"/>
        <v>0.56240986296176476</v>
      </c>
      <c r="P12" s="4">
        <f t="shared" si="40"/>
        <v>-0.26240986296176483</v>
      </c>
      <c r="Q12" s="4">
        <f t="shared" si="6"/>
        <v>2.7434381909227898</v>
      </c>
      <c r="R12" s="4">
        <f t="shared" si="41"/>
        <v>0.28141422320613763</v>
      </c>
      <c r="S12" s="360">
        <f t="shared" si="7"/>
        <v>1.0691185278066371E-4</v>
      </c>
      <c r="T12" s="360">
        <f t="shared" si="8"/>
        <v>0.3</v>
      </c>
      <c r="U12" s="360">
        <f t="shared" si="9"/>
        <v>0.30010947867361282</v>
      </c>
      <c r="V12" s="4">
        <f t="shared" si="42"/>
        <v>0.2381049453974316</v>
      </c>
      <c r="W12" s="360">
        <f t="shared" si="10"/>
        <v>1.1338793004542777E-4</v>
      </c>
      <c r="X12" s="360">
        <f t="shared" si="43"/>
        <v>1.1338793004542777E-4</v>
      </c>
      <c r="Y12" s="4">
        <f t="shared" si="44"/>
        <v>0.11987450363480723</v>
      </c>
      <c r="Z12" s="360">
        <f t="shared" si="11"/>
        <v>1.4369896621691412E-5</v>
      </c>
      <c r="AA12" s="541">
        <f t="shared" si="45"/>
        <v>1.4369896621691412E-5</v>
      </c>
      <c r="AB12" s="360">
        <f t="shared" si="46"/>
        <v>0.13734141668498034</v>
      </c>
      <c r="AC12" s="360">
        <f t="shared" si="12"/>
        <v>1.1317598842222438E-4</v>
      </c>
      <c r="AD12" s="360">
        <f t="shared" si="13"/>
        <v>1.1762469903063781E-2</v>
      </c>
      <c r="AE12" s="360">
        <f t="shared" si="14"/>
        <v>0.62976223962729028</v>
      </c>
      <c r="AF12" s="360">
        <f t="shared" si="15"/>
        <v>5.4003949797531191E-3</v>
      </c>
      <c r="AG12" s="360">
        <f t="shared" si="16"/>
        <v>0.6470529266694367</v>
      </c>
      <c r="AH12" s="360">
        <f t="shared" si="17"/>
        <v>0.24562430719632872</v>
      </c>
      <c r="AI12" s="360">
        <f t="shared" si="18"/>
        <v>1.5082825071419115E-4</v>
      </c>
      <c r="AJ12" s="360">
        <f t="shared" si="19"/>
        <v>1.1574394979753117E-2</v>
      </c>
      <c r="AK12" s="360">
        <f t="shared" si="20"/>
        <v>1.1725492047856369E-2</v>
      </c>
      <c r="AL12" s="360">
        <f t="shared" si="21"/>
        <v>6.1739999999999989E-3</v>
      </c>
      <c r="AM12" s="360">
        <f t="shared" si="22"/>
        <v>7.9379999999999992E-2</v>
      </c>
      <c r="AN12" s="360">
        <f t="shared" si="23"/>
        <v>7.9193965022713848E-4</v>
      </c>
      <c r="AO12" s="360">
        <f t="shared" si="24"/>
        <v>7.3499999999999998E-4</v>
      </c>
      <c r="AP12" s="360">
        <f t="shared" si="25"/>
        <v>0.34650000000000003</v>
      </c>
      <c r="AQ12" s="360">
        <f t="shared" si="26"/>
        <v>1.3167</v>
      </c>
      <c r="AR12" s="360">
        <f t="shared" si="27"/>
        <v>1.1088</v>
      </c>
      <c r="AS12" s="360">
        <f t="shared" si="28"/>
        <v>0.34723500000000002</v>
      </c>
      <c r="AT12" s="360">
        <f t="shared" si="29"/>
        <v>1.3925965948678001</v>
      </c>
      <c r="AU12">
        <f t="shared" si="30"/>
        <v>0.75</v>
      </c>
      <c r="AV12" s="542">
        <f t="shared" si="47"/>
        <v>0.35004256134658684</v>
      </c>
      <c r="AW12" s="551">
        <f t="shared" si="31"/>
        <v>34.972186333471832</v>
      </c>
      <c r="AX12" s="551">
        <f t="shared" si="32"/>
        <v>1.4409938978185419</v>
      </c>
      <c r="AY12" s="9"/>
      <c r="AZ12" s="4">
        <f t="shared" si="48"/>
        <v>35.004256134658682</v>
      </c>
      <c r="BA12" s="360">
        <f t="shared" si="33"/>
        <v>0.30010947867361282</v>
      </c>
      <c r="BB12" s="360">
        <f t="shared" si="34"/>
        <v>0.73815841871729304</v>
      </c>
      <c r="BC12" s="360">
        <f t="shared" si="35"/>
        <v>0.69944372666943666</v>
      </c>
      <c r="BD12" s="360">
        <f t="shared" si="36"/>
        <v>3.7920892047856369E-2</v>
      </c>
      <c r="BE12" s="360">
        <f t="shared" si="37"/>
        <v>7.9193965022713848E-4</v>
      </c>
      <c r="BJ12" s="18"/>
      <c r="BK12" s="18"/>
      <c r="BL12" s="18"/>
      <c r="BM12" s="19"/>
    </row>
    <row r="13" spans="1:65" x14ac:dyDescent="0.2">
      <c r="A13" s="22" t="s">
        <v>6</v>
      </c>
      <c r="B13" s="5">
        <f>Fsw/1000</f>
        <v>2100</v>
      </c>
      <c r="C13" s="440" t="s">
        <v>2</v>
      </c>
      <c r="D13" s="21" t="s">
        <v>94</v>
      </c>
      <c r="G13">
        <v>4</v>
      </c>
      <c r="H13" s="548">
        <f t="shared" si="0"/>
        <v>21</v>
      </c>
      <c r="I13" s="4">
        <f t="shared" si="1"/>
        <v>1</v>
      </c>
      <c r="J13" s="360">
        <f t="shared" si="38"/>
        <v>0.2</v>
      </c>
      <c r="K13" s="360">
        <f t="shared" si="2"/>
        <v>0.2</v>
      </c>
      <c r="L13" s="4">
        <f t="shared" si="3"/>
        <v>5.2910052910052907E-2</v>
      </c>
      <c r="M13" s="360">
        <f t="shared" si="4"/>
        <v>0.23821239637546246</v>
      </c>
      <c r="N13" s="4">
        <f t="shared" si="5"/>
        <v>0.82490220125210545</v>
      </c>
      <c r="O13" s="4">
        <f t="shared" si="39"/>
        <v>0.61245110062605268</v>
      </c>
      <c r="P13" s="4">
        <f t="shared" si="40"/>
        <v>-0.21245110062605271</v>
      </c>
      <c r="Q13" s="4">
        <f t="shared" si="6"/>
        <v>2.2211301685943829</v>
      </c>
      <c r="R13" s="4">
        <f t="shared" si="41"/>
        <v>0.31097476339602559</v>
      </c>
      <c r="S13" s="360">
        <f t="shared" si="7"/>
        <v>1.3055215968343903E-4</v>
      </c>
      <c r="T13" s="360">
        <f t="shared" si="8"/>
        <v>0.3</v>
      </c>
      <c r="U13" s="360">
        <f t="shared" si="9"/>
        <v>0.30013368680776392</v>
      </c>
      <c r="V13" s="4">
        <f t="shared" si="42"/>
        <v>0.23812875397400898</v>
      </c>
      <c r="W13" s="360">
        <f t="shared" si="10"/>
        <v>1.134106069384282E-4</v>
      </c>
      <c r="X13" s="360">
        <f t="shared" si="43"/>
        <v>1.134106069384282E-4</v>
      </c>
      <c r="Y13" s="4">
        <f t="shared" si="44"/>
        <v>0.13247205568680115</v>
      </c>
      <c r="Z13" s="360">
        <f t="shared" si="11"/>
        <v>1.7548845537886945E-5</v>
      </c>
      <c r="AA13" s="541">
        <f t="shared" si="45"/>
        <v>1.7548845537886945E-5</v>
      </c>
      <c r="AB13" s="360">
        <f t="shared" si="46"/>
        <v>0.15177747554106247</v>
      </c>
      <c r="AC13" s="360">
        <f t="shared" si="12"/>
        <v>1.382184124897069E-4</v>
      </c>
      <c r="AD13" s="360">
        <f t="shared" si="13"/>
        <v>1.5683293204085041E-2</v>
      </c>
      <c r="AE13" s="360">
        <f t="shared" si="14"/>
        <v>0.63246504199715159</v>
      </c>
      <c r="AF13" s="360">
        <f t="shared" si="15"/>
        <v>4.3722436508841648E-3</v>
      </c>
      <c r="AG13" s="360">
        <f t="shared" si="16"/>
        <v>0.6526768396559397</v>
      </c>
      <c r="AH13" s="360">
        <f t="shared" si="17"/>
        <v>0.27142015656099727</v>
      </c>
      <c r="AI13" s="360">
        <f t="shared" si="18"/>
        <v>1.8417225346899067E-4</v>
      </c>
      <c r="AJ13" s="360">
        <f t="shared" si="19"/>
        <v>1.2604243650884162E-2</v>
      </c>
      <c r="AK13" s="360">
        <f t="shared" si="20"/>
        <v>1.2788773915624446E-2</v>
      </c>
      <c r="AL13" s="360">
        <f t="shared" si="21"/>
        <v>8.2319999999999997E-3</v>
      </c>
      <c r="AM13" s="360">
        <f t="shared" si="22"/>
        <v>0.10584</v>
      </c>
      <c r="AN13" s="360">
        <f t="shared" si="23"/>
        <v>9.6705303469214092E-4</v>
      </c>
      <c r="AO13" s="360">
        <f t="shared" si="24"/>
        <v>7.3499999999999998E-4</v>
      </c>
      <c r="AP13" s="360">
        <f t="shared" si="25"/>
        <v>0.34650000000000003</v>
      </c>
      <c r="AQ13" s="360">
        <f t="shared" si="26"/>
        <v>1.3167</v>
      </c>
      <c r="AR13" s="360">
        <f t="shared" si="27"/>
        <v>1.1088</v>
      </c>
      <c r="AS13" s="360">
        <f t="shared" si="28"/>
        <v>0.34723500000000002</v>
      </c>
      <c r="AT13" s="360">
        <f t="shared" si="29"/>
        <v>1.4280043128664965</v>
      </c>
      <c r="AU13">
        <f t="shared" si="30"/>
        <v>1</v>
      </c>
      <c r="AV13" s="542">
        <f t="shared" si="47"/>
        <v>0.41186088290732981</v>
      </c>
      <c r="AW13" s="551">
        <f t="shared" si="31"/>
        <v>36.126561982796986</v>
      </c>
      <c r="AX13" s="551">
        <f t="shared" si="32"/>
        <v>1.8132070087937293</v>
      </c>
      <c r="AY13" s="9"/>
      <c r="AZ13" s="4">
        <f t="shared" si="48"/>
        <v>41.186088290732982</v>
      </c>
      <c r="BA13" s="360">
        <f t="shared" si="33"/>
        <v>0.30013368680776392</v>
      </c>
      <c r="BB13" s="360">
        <f t="shared" si="34"/>
        <v>0.77130561357156424</v>
      </c>
      <c r="BC13" s="360">
        <f t="shared" si="35"/>
        <v>0.72253123965593968</v>
      </c>
      <c r="BD13" s="360">
        <f t="shared" si="36"/>
        <v>4.7715973915624453E-2</v>
      </c>
      <c r="BE13" s="360">
        <f t="shared" si="37"/>
        <v>9.6705303469214092E-4</v>
      </c>
      <c r="BJ13" s="18"/>
      <c r="BK13" s="18"/>
      <c r="BL13" s="18"/>
      <c r="BM13" s="19"/>
    </row>
    <row r="14" spans="1:65" x14ac:dyDescent="0.2">
      <c r="A14" s="22" t="s">
        <v>5</v>
      </c>
      <c r="B14" s="5">
        <f>Iout</f>
        <v>5</v>
      </c>
      <c r="C14" s="440" t="s">
        <v>1</v>
      </c>
      <c r="D14" s="21" t="s">
        <v>95</v>
      </c>
      <c r="G14">
        <v>5</v>
      </c>
      <c r="H14" s="548">
        <f t="shared" si="0"/>
        <v>21</v>
      </c>
      <c r="I14" s="4">
        <f t="shared" si="1"/>
        <v>1</v>
      </c>
      <c r="J14" s="360">
        <f t="shared" si="38"/>
        <v>0.25</v>
      </c>
      <c r="K14" s="360">
        <f t="shared" si="2"/>
        <v>0.25</v>
      </c>
      <c r="L14" s="4">
        <f t="shared" si="3"/>
        <v>6.6137566137566134E-2</v>
      </c>
      <c r="M14" s="360">
        <f t="shared" si="4"/>
        <v>0.23824168367923912</v>
      </c>
      <c r="N14" s="4">
        <f t="shared" si="5"/>
        <v>0.82498466878226517</v>
      </c>
      <c r="O14" s="4">
        <f t="shared" si="39"/>
        <v>0.66249233439113264</v>
      </c>
      <c r="P14" s="4">
        <f t="shared" si="40"/>
        <v>-0.16249233439113259</v>
      </c>
      <c r="Q14" s="4">
        <f t="shared" si="6"/>
        <v>1.6988221055006021</v>
      </c>
      <c r="R14" s="4">
        <f t="shared" si="41"/>
        <v>0.34527763028778546</v>
      </c>
      <c r="S14" s="360">
        <f t="shared" si="7"/>
        <v>1.6094246666915072E-4</v>
      </c>
      <c r="T14" s="360">
        <f t="shared" si="8"/>
        <v>0.3</v>
      </c>
      <c r="U14" s="360">
        <f t="shared" si="9"/>
        <v>0.30016480720782746</v>
      </c>
      <c r="V14" s="4">
        <f t="shared" si="42"/>
        <v>0.23815256029937754</v>
      </c>
      <c r="W14" s="360">
        <f t="shared" si="10"/>
        <v>1.134332839542973E-4</v>
      </c>
      <c r="X14" s="360">
        <f t="shared" si="43"/>
        <v>1.134332839542973E-4</v>
      </c>
      <c r="Y14" s="4">
        <f t="shared" si="44"/>
        <v>0.14709093861409009</v>
      </c>
      <c r="Z14" s="360">
        <f t="shared" si="11"/>
        <v>2.163574422237402E-5</v>
      </c>
      <c r="AA14" s="541">
        <f t="shared" si="45"/>
        <v>2.163574422237402E-5</v>
      </c>
      <c r="AB14" s="360">
        <f t="shared" si="46"/>
        <v>0.16853003740348768</v>
      </c>
      <c r="AC14" s="360">
        <f t="shared" si="12"/>
        <v>1.7041424104332576E-4</v>
      </c>
      <c r="AD14" s="360">
        <f t="shared" si="13"/>
        <v>1.9604116505106302E-2</v>
      </c>
      <c r="AE14" s="360">
        <f t="shared" si="14"/>
        <v>0.63431595421193154</v>
      </c>
      <c r="AF14" s="360">
        <f t="shared" si="15"/>
        <v>3.3440922417695084E-3</v>
      </c>
      <c r="AG14" s="360">
        <f t="shared" si="16"/>
        <v>0.65745698520648121</v>
      </c>
      <c r="AH14" s="360">
        <f t="shared" si="17"/>
        <v>0.30135405832662637</v>
      </c>
      <c r="AI14" s="360">
        <f t="shared" si="18"/>
        <v>2.2703567117481931E-4</v>
      </c>
      <c r="AJ14" s="360">
        <f t="shared" si="19"/>
        <v>1.3634092241769508E-2</v>
      </c>
      <c r="AK14" s="360">
        <f t="shared" si="20"/>
        <v>1.3861606268964918E-2</v>
      </c>
      <c r="AL14" s="360">
        <f t="shared" si="21"/>
        <v>1.0289999999999999E-2</v>
      </c>
      <c r="AM14" s="360">
        <f t="shared" si="22"/>
        <v>0.13229999999999997</v>
      </c>
      <c r="AN14" s="360">
        <f t="shared" si="23"/>
        <v>1.1921664197714866E-3</v>
      </c>
      <c r="AO14" s="360">
        <f t="shared" si="24"/>
        <v>7.3499999999999998E-4</v>
      </c>
      <c r="AP14" s="360">
        <f t="shared" si="25"/>
        <v>0.34650000000000003</v>
      </c>
      <c r="AQ14" s="360">
        <f t="shared" si="26"/>
        <v>1.3167</v>
      </c>
      <c r="AR14" s="360">
        <f t="shared" si="27"/>
        <v>1.1088</v>
      </c>
      <c r="AS14" s="360">
        <f t="shared" si="28"/>
        <v>0.34723500000000002</v>
      </c>
      <c r="AT14" s="360">
        <f t="shared" si="29"/>
        <v>1.4626356341312217</v>
      </c>
      <c r="AU14">
        <f t="shared" si="30"/>
        <v>1.25</v>
      </c>
      <c r="AV14" s="542">
        <f t="shared" si="47"/>
        <v>0.46080645121376151</v>
      </c>
      <c r="AW14" s="551">
        <f t="shared" si="31"/>
        <v>37.238749260324063</v>
      </c>
      <c r="AX14" s="551">
        <f t="shared" si="32"/>
        <v>2.1857830382206669</v>
      </c>
      <c r="AY14" s="9"/>
      <c r="AZ14" s="4">
        <f t="shared" si="48"/>
        <v>46.080645121376151</v>
      </c>
      <c r="BA14" s="360">
        <f t="shared" si="33"/>
        <v>0.30016480720782746</v>
      </c>
      <c r="BB14" s="360">
        <f t="shared" si="34"/>
        <v>0.80361859147544612</v>
      </c>
      <c r="BC14" s="360">
        <f t="shared" si="35"/>
        <v>0.74477498520648122</v>
      </c>
      <c r="BD14" s="360">
        <f t="shared" si="36"/>
        <v>5.7520606268964915E-2</v>
      </c>
      <c r="BE14" s="360">
        <f t="shared" si="37"/>
        <v>1.1921664197714866E-3</v>
      </c>
      <c r="BJ14" s="18"/>
      <c r="BK14" s="18"/>
      <c r="BL14" s="18"/>
      <c r="BM14" s="19"/>
    </row>
    <row r="15" spans="1:65" x14ac:dyDescent="0.2">
      <c r="A15" s="23" t="s">
        <v>83</v>
      </c>
      <c r="B15" s="5">
        <f>Ta</f>
        <v>25</v>
      </c>
      <c r="C15" s="440" t="s">
        <v>465</v>
      </c>
      <c r="D15" s="21" t="s">
        <v>96</v>
      </c>
      <c r="G15">
        <v>6</v>
      </c>
      <c r="H15" s="548">
        <f t="shared" si="0"/>
        <v>21</v>
      </c>
      <c r="I15" s="4">
        <f t="shared" si="1"/>
        <v>1</v>
      </c>
      <c r="J15" s="360">
        <f t="shared" si="38"/>
        <v>0.3</v>
      </c>
      <c r="K15" s="360">
        <f t="shared" si="2"/>
        <v>0.3</v>
      </c>
      <c r="L15" s="4">
        <f t="shared" si="3"/>
        <v>7.9365079365079361E-2</v>
      </c>
      <c r="M15" s="360">
        <f t="shared" si="4"/>
        <v>0.23827097007658812</v>
      </c>
      <c r="N15" s="4">
        <f t="shared" si="5"/>
        <v>0.82506712851437036</v>
      </c>
      <c r="O15" s="4">
        <f t="shared" si="39"/>
        <v>0.71253356425718517</v>
      </c>
      <c r="P15" s="4">
        <f t="shared" si="40"/>
        <v>-0.11253356425718519</v>
      </c>
      <c r="Q15" s="4">
        <f t="shared" si="6"/>
        <v>1.1765140016433371</v>
      </c>
      <c r="R15" s="4">
        <f t="shared" si="41"/>
        <v>0.38305088506130058</v>
      </c>
      <c r="S15" s="360">
        <f t="shared" si="7"/>
        <v>1.9808277373743174E-4</v>
      </c>
      <c r="T15" s="360">
        <f t="shared" si="8"/>
        <v>0.3</v>
      </c>
      <c r="U15" s="360">
        <f t="shared" si="9"/>
        <v>0.30020283997463554</v>
      </c>
      <c r="V15" s="4">
        <f t="shared" si="42"/>
        <v>0.23817636437364165</v>
      </c>
      <c r="W15" s="360">
        <f t="shared" si="10"/>
        <v>1.1345596109249143E-4</v>
      </c>
      <c r="X15" s="360">
        <f t="shared" si="43"/>
        <v>1.1345596109249143E-4</v>
      </c>
      <c r="Y15" s="4">
        <f t="shared" si="44"/>
        <v>0.16318952946175513</v>
      </c>
      <c r="Z15" s="360">
        <f t="shared" si="11"/>
        <v>2.6630822525949048E-5</v>
      </c>
      <c r="AA15" s="541">
        <f t="shared" si="45"/>
        <v>2.6630822525949048E-5</v>
      </c>
      <c r="AB15" s="360">
        <f t="shared" si="46"/>
        <v>0.1869786572369497</v>
      </c>
      <c r="AC15" s="360">
        <f t="shared" si="12"/>
        <v>2.0976610957279632E-4</v>
      </c>
      <c r="AD15" s="360">
        <f t="shared" si="13"/>
        <v>2.3524939806127562E-2</v>
      </c>
      <c r="AE15" s="360">
        <f t="shared" si="14"/>
        <v>0.63531497607216147</v>
      </c>
      <c r="AF15" s="360">
        <f t="shared" si="15"/>
        <v>2.315940752412871E-3</v>
      </c>
      <c r="AG15" s="360">
        <f t="shared" si="16"/>
        <v>0.66139337032311274</v>
      </c>
      <c r="AH15" s="360">
        <f t="shared" si="17"/>
        <v>0.33431566263654622</v>
      </c>
      <c r="AI15" s="360">
        <f t="shared" si="18"/>
        <v>2.7941740571028244E-4</v>
      </c>
      <c r="AJ15" s="360">
        <f t="shared" si="19"/>
        <v>1.4663940752412868E-2</v>
      </c>
      <c r="AK15" s="360">
        <f t="shared" si="20"/>
        <v>1.4943992851103588E-2</v>
      </c>
      <c r="AL15" s="360">
        <f t="shared" si="21"/>
        <v>1.2347999999999998E-2</v>
      </c>
      <c r="AM15" s="360">
        <f t="shared" si="22"/>
        <v>0.15875999999999998</v>
      </c>
      <c r="AN15" s="360">
        <f t="shared" si="23"/>
        <v>1.4672798054624573E-3</v>
      </c>
      <c r="AO15" s="360">
        <f t="shared" si="24"/>
        <v>7.3499999999999998E-4</v>
      </c>
      <c r="AP15" s="360">
        <f t="shared" si="25"/>
        <v>0.34650000000000003</v>
      </c>
      <c r="AQ15" s="360">
        <f t="shared" si="26"/>
        <v>1.3167</v>
      </c>
      <c r="AR15" s="360">
        <f t="shared" si="27"/>
        <v>1.1088</v>
      </c>
      <c r="AS15" s="360">
        <f t="shared" si="28"/>
        <v>0.34723500000000002</v>
      </c>
      <c r="AT15" s="360">
        <f t="shared" si="29"/>
        <v>1.4964905697379327</v>
      </c>
      <c r="AU15">
        <f t="shared" si="30"/>
        <v>1.5</v>
      </c>
      <c r="AV15" s="542">
        <f t="shared" si="47"/>
        <v>0.50058559007285208</v>
      </c>
      <c r="AW15" s="551">
        <f t="shared" si="31"/>
        <v>38.308748516155639</v>
      </c>
      <c r="AX15" s="551">
        <f t="shared" si="32"/>
        <v>2.5587221283419361</v>
      </c>
      <c r="AY15" s="9"/>
      <c r="AZ15" s="4">
        <f t="shared" si="48"/>
        <v>50.058559007285211</v>
      </c>
      <c r="BA15" s="360">
        <f t="shared" si="33"/>
        <v>0.30020283997463554</v>
      </c>
      <c r="BB15" s="360">
        <f t="shared" si="34"/>
        <v>0.83509736317421634</v>
      </c>
      <c r="BC15" s="360">
        <f t="shared" si="35"/>
        <v>0.76617497032311277</v>
      </c>
      <c r="BD15" s="360">
        <f t="shared" si="36"/>
        <v>6.7334792851103581E-2</v>
      </c>
      <c r="BE15" s="360">
        <f t="shared" si="37"/>
        <v>1.4672798054624573E-3</v>
      </c>
      <c r="BJ15" s="18"/>
      <c r="BK15" s="18"/>
      <c r="BL15" s="18"/>
      <c r="BM15" s="19"/>
    </row>
    <row r="16" spans="1:65" x14ac:dyDescent="0.2">
      <c r="A16" s="448" t="s">
        <v>476</v>
      </c>
      <c r="B16" s="5">
        <f>VCC</f>
        <v>5</v>
      </c>
      <c r="C16" s="440" t="s">
        <v>0</v>
      </c>
      <c r="D16" s="440" t="s">
        <v>475</v>
      </c>
      <c r="G16">
        <v>7</v>
      </c>
      <c r="H16" s="548">
        <f t="shared" si="0"/>
        <v>21</v>
      </c>
      <c r="I16" s="4">
        <f t="shared" si="1"/>
        <v>1</v>
      </c>
      <c r="J16" s="360">
        <f t="shared" si="38"/>
        <v>0.35</v>
      </c>
      <c r="K16" s="360">
        <f t="shared" si="2"/>
        <v>0.35</v>
      </c>
      <c r="L16" s="4">
        <f t="shared" si="3"/>
        <v>9.2592592592592587E-2</v>
      </c>
      <c r="M16" s="360">
        <f t="shared" si="4"/>
        <v>0.23830025556755161</v>
      </c>
      <c r="N16" s="4">
        <f t="shared" si="5"/>
        <v>0.82514958044878317</v>
      </c>
      <c r="O16" s="4">
        <f t="shared" si="39"/>
        <v>0.76257479022439156</v>
      </c>
      <c r="P16" s="4">
        <f t="shared" si="40"/>
        <v>-6.2574790224391608E-2</v>
      </c>
      <c r="Q16" s="4">
        <f t="shared" si="6"/>
        <v>0.65420585702448097</v>
      </c>
      <c r="R16" s="4">
        <f t="shared" si="41"/>
        <v>0.4233666486347662</v>
      </c>
      <c r="S16" s="360">
        <f t="shared" si="7"/>
        <v>2.4197308088791535E-4</v>
      </c>
      <c r="T16" s="360">
        <f t="shared" si="8"/>
        <v>0.3</v>
      </c>
      <c r="U16" s="360">
        <f t="shared" si="9"/>
        <v>0.30024778523141765</v>
      </c>
      <c r="V16" s="4">
        <f t="shared" si="42"/>
        <v>0.23820016619690587</v>
      </c>
      <c r="W16" s="360">
        <f t="shared" si="10"/>
        <v>1.1347863835246716E-4</v>
      </c>
      <c r="X16" s="360">
        <f t="shared" si="43"/>
        <v>1.1347863835246716E-4</v>
      </c>
      <c r="Y16" s="4">
        <f t="shared" si="44"/>
        <v>0.18037269813840315</v>
      </c>
      <c r="Z16" s="360">
        <f t="shared" si="11"/>
        <v>3.2534310233727498E-5</v>
      </c>
      <c r="AA16" s="541">
        <f t="shared" si="45"/>
        <v>3.2534310233727498E-5</v>
      </c>
      <c r="AB16" s="360">
        <f t="shared" si="46"/>
        <v>0.20667069353793346</v>
      </c>
      <c r="AC16" s="360">
        <f t="shared" si="12"/>
        <v>2.5627665340470247E-4</v>
      </c>
      <c r="AD16" s="360">
        <f t="shared" si="13"/>
        <v>2.7445763107148823E-2</v>
      </c>
      <c r="AE16" s="360">
        <f t="shared" si="14"/>
        <v>0.63546210737838582</v>
      </c>
      <c r="AF16" s="360">
        <f t="shared" si="15"/>
        <v>1.287789182817979E-3</v>
      </c>
      <c r="AG16" s="360">
        <f t="shared" si="16"/>
        <v>0.66448599477115222</v>
      </c>
      <c r="AH16" s="360">
        <f t="shared" si="17"/>
        <v>0.36949498455159463</v>
      </c>
      <c r="AI16" s="360">
        <f t="shared" si="18"/>
        <v>3.4131635902195792E-4</v>
      </c>
      <c r="AJ16" s="360">
        <f t="shared" si="19"/>
        <v>1.5693789182817976E-2</v>
      </c>
      <c r="AK16" s="360">
        <f t="shared" si="20"/>
        <v>1.6035937487665047E-2</v>
      </c>
      <c r="AL16" s="360">
        <f t="shared" si="21"/>
        <v>1.4405999999999997E-2</v>
      </c>
      <c r="AM16" s="360">
        <f t="shared" si="22"/>
        <v>0.18522</v>
      </c>
      <c r="AN16" s="360">
        <f t="shared" si="23"/>
        <v>1.792393191762336E-3</v>
      </c>
      <c r="AO16" s="360">
        <f t="shared" si="24"/>
        <v>7.3499999999999998E-4</v>
      </c>
      <c r="AP16" s="360">
        <f t="shared" si="25"/>
        <v>0.34650000000000003</v>
      </c>
      <c r="AQ16" s="360">
        <f t="shared" si="26"/>
        <v>1.3167</v>
      </c>
      <c r="AR16" s="360">
        <f t="shared" si="27"/>
        <v>1.1088</v>
      </c>
      <c r="AS16" s="360">
        <f t="shared" si="28"/>
        <v>0.34723500000000002</v>
      </c>
      <c r="AT16" s="360">
        <f t="shared" si="29"/>
        <v>1.5295691236305835</v>
      </c>
      <c r="AU16">
        <f t="shared" si="30"/>
        <v>1.75</v>
      </c>
      <c r="AV16" s="542">
        <f t="shared" si="47"/>
        <v>0.53360668247257326</v>
      </c>
      <c r="AW16" s="551">
        <f t="shared" si="31"/>
        <v>39.336559738557611</v>
      </c>
      <c r="AX16" s="551">
        <f t="shared" si="32"/>
        <v>2.9320244245312717</v>
      </c>
      <c r="AY16" s="9"/>
      <c r="AZ16" s="4">
        <f t="shared" si="48"/>
        <v>53.360668247257323</v>
      </c>
      <c r="BA16" s="360">
        <f t="shared" si="33"/>
        <v>0.30024778523141765</v>
      </c>
      <c r="BB16" s="360">
        <f t="shared" si="34"/>
        <v>0.86574193225881735</v>
      </c>
      <c r="BC16" s="360">
        <f t="shared" si="35"/>
        <v>0.78673119477115216</v>
      </c>
      <c r="BD16" s="360">
        <f t="shared" si="36"/>
        <v>7.7158537487665046E-2</v>
      </c>
      <c r="BE16" s="360">
        <f t="shared" si="37"/>
        <v>1.792393191762336E-3</v>
      </c>
      <c r="BJ16" s="18"/>
      <c r="BK16" s="18"/>
      <c r="BL16" s="18"/>
      <c r="BM16" s="19"/>
    </row>
    <row r="17" spans="1:65" x14ac:dyDescent="0.2">
      <c r="A17" s="24" t="s">
        <v>58</v>
      </c>
      <c r="B17" s="16" t="s">
        <v>111</v>
      </c>
      <c r="C17" s="24" t="s">
        <v>76</v>
      </c>
      <c r="D17" s="17" t="s">
        <v>107</v>
      </c>
      <c r="G17">
        <v>8</v>
      </c>
      <c r="H17" s="548">
        <f t="shared" si="0"/>
        <v>21</v>
      </c>
      <c r="I17" s="4">
        <f t="shared" si="1"/>
        <v>1</v>
      </c>
      <c r="J17" s="360">
        <f t="shared" si="38"/>
        <v>0.4</v>
      </c>
      <c r="K17" s="360">
        <f t="shared" si="2"/>
        <v>0.4</v>
      </c>
      <c r="L17" s="4">
        <f t="shared" si="3"/>
        <v>0.10582010582010581</v>
      </c>
      <c r="M17" s="360">
        <f t="shared" si="4"/>
        <v>0.23832954015217162</v>
      </c>
      <c r="N17" s="4">
        <f t="shared" si="5"/>
        <v>0.82523202458586553</v>
      </c>
      <c r="O17" s="4">
        <f t="shared" si="39"/>
        <v>0.81261601229293279</v>
      </c>
      <c r="P17" s="4">
        <f t="shared" si="40"/>
        <v>-1.2616012292932743E-2</v>
      </c>
      <c r="Q17" s="4">
        <f t="shared" si="6"/>
        <v>0.1318976716459252</v>
      </c>
      <c r="R17" s="4">
        <f t="shared" si="41"/>
        <v>0.46556488040534222</v>
      </c>
      <c r="S17" s="360">
        <f t="shared" si="7"/>
        <v>2.9261338812023484E-4</v>
      </c>
      <c r="T17" s="360">
        <f t="shared" si="8"/>
        <v>0.3</v>
      </c>
      <c r="U17" s="360">
        <f t="shared" si="9"/>
        <v>0.30029964312380231</v>
      </c>
      <c r="V17" s="4">
        <f t="shared" si="42"/>
        <v>0.23822396576927468</v>
      </c>
      <c r="W17" s="360">
        <f t="shared" si="10"/>
        <v>1.1350131573368111E-4</v>
      </c>
      <c r="X17" s="360">
        <f t="shared" si="43"/>
        <v>1.1350131573368111E-4</v>
      </c>
      <c r="Y17" s="4">
        <f t="shared" si="44"/>
        <v>0.1983593634420947</v>
      </c>
      <c r="Z17" s="360">
        <f t="shared" si="11"/>
        <v>3.9346437065153023E-5</v>
      </c>
      <c r="AA17" s="541">
        <f t="shared" si="45"/>
        <v>3.9346437065153023E-5</v>
      </c>
      <c r="AB17" s="360">
        <f t="shared" si="46"/>
        <v>0.22728414950692186</v>
      </c>
      <c r="AC17" s="360">
        <f t="shared" si="12"/>
        <v>3.0994850770250883E-4</v>
      </c>
      <c r="AD17" s="360">
        <f t="shared" si="13"/>
        <v>3.1366586408170083E-2</v>
      </c>
      <c r="AE17" s="360">
        <f t="shared" si="14"/>
        <v>0.63475734793116012</v>
      </c>
      <c r="AF17" s="360">
        <f t="shared" si="15"/>
        <v>2.596375329885558E-4</v>
      </c>
      <c r="AG17" s="360">
        <f t="shared" si="16"/>
        <v>0.66673485107444597</v>
      </c>
      <c r="AH17" s="360">
        <f t="shared" si="17"/>
        <v>0.40631585404676962</v>
      </c>
      <c r="AI17" s="360">
        <f t="shared" si="18"/>
        <v>4.1273143312438949E-4</v>
      </c>
      <c r="AJ17" s="360">
        <f t="shared" si="19"/>
        <v>1.6723637532988556E-2</v>
      </c>
      <c r="AK17" s="360">
        <f t="shared" si="20"/>
        <v>1.7137444086715362E-2</v>
      </c>
      <c r="AL17" s="360">
        <f t="shared" si="21"/>
        <v>1.6463999999999999E-2</v>
      </c>
      <c r="AM17" s="360">
        <f t="shared" si="22"/>
        <v>0.21168000000000001</v>
      </c>
      <c r="AN17" s="360">
        <f t="shared" si="23"/>
        <v>2.1675065786684062E-3</v>
      </c>
      <c r="AO17" s="360">
        <f t="shared" si="24"/>
        <v>7.3499999999999998E-4</v>
      </c>
      <c r="AP17" s="360">
        <f t="shared" si="25"/>
        <v>0.34650000000000003</v>
      </c>
      <c r="AQ17" s="360">
        <f t="shared" si="26"/>
        <v>1.3167</v>
      </c>
      <c r="AR17" s="360">
        <f t="shared" si="27"/>
        <v>1.1088</v>
      </c>
      <c r="AS17" s="360">
        <f t="shared" si="28"/>
        <v>0.34723500000000002</v>
      </c>
      <c r="AT17" s="360">
        <f t="shared" si="29"/>
        <v>1.5618712926164309</v>
      </c>
      <c r="AU17">
        <f t="shared" si="30"/>
        <v>2</v>
      </c>
      <c r="AV17" s="542">
        <f t="shared" si="47"/>
        <v>0.56150260233880245</v>
      </c>
      <c r="AW17" s="551">
        <f t="shared" si="31"/>
        <v>40.3221825537223</v>
      </c>
      <c r="AX17" s="551">
        <f t="shared" si="32"/>
        <v>3.3056900752951841</v>
      </c>
      <c r="AY17" s="9"/>
      <c r="AZ17" s="4">
        <f t="shared" si="48"/>
        <v>56.150260233880246</v>
      </c>
      <c r="BA17" s="360">
        <f t="shared" si="33"/>
        <v>0.30029964312380231</v>
      </c>
      <c r="BB17" s="360">
        <f t="shared" si="34"/>
        <v>0.8955522951611613</v>
      </c>
      <c r="BC17" s="360">
        <f t="shared" si="35"/>
        <v>0.80644365107444593</v>
      </c>
      <c r="BD17" s="360">
        <f t="shared" si="36"/>
        <v>8.699184408671537E-2</v>
      </c>
      <c r="BE17" s="360">
        <f t="shared" si="37"/>
        <v>2.1675065786684062E-3</v>
      </c>
      <c r="BJ17" s="18"/>
      <c r="BK17" s="18"/>
      <c r="BL17" s="18"/>
      <c r="BM17" s="19"/>
    </row>
    <row r="18" spans="1:65" x14ac:dyDescent="0.2">
      <c r="A18" s="35" t="s">
        <v>56</v>
      </c>
      <c r="B18" s="38">
        <f>Lf*1000000</f>
        <v>2.2000000000000002</v>
      </c>
      <c r="C18" s="441" t="s">
        <v>10</v>
      </c>
      <c r="D18" s="440" t="s">
        <v>468</v>
      </c>
      <c r="G18">
        <v>9</v>
      </c>
      <c r="H18" s="548">
        <f t="shared" si="0"/>
        <v>21</v>
      </c>
      <c r="I18" s="4">
        <f t="shared" si="1"/>
        <v>1</v>
      </c>
      <c r="J18" s="360">
        <f t="shared" si="38"/>
        <v>0.45</v>
      </c>
      <c r="K18" s="360">
        <f t="shared" si="2"/>
        <v>0.45</v>
      </c>
      <c r="L18" s="4">
        <f t="shared" si="3"/>
        <v>0.11904761904761904</v>
      </c>
      <c r="M18" s="360">
        <f t="shared" si="4"/>
        <v>0.23835882383049029</v>
      </c>
      <c r="N18" s="4">
        <f t="shared" si="5"/>
        <v>0.8253144609259796</v>
      </c>
      <c r="O18" s="4">
        <f t="shared" si="39"/>
        <v>0.86265723046298981</v>
      </c>
      <c r="P18" s="4">
        <f t="shared" si="40"/>
        <v>3.7342769537010212E-2</v>
      </c>
      <c r="Q18" s="4">
        <f t="shared" si="6"/>
        <v>0</v>
      </c>
      <c r="R18" s="4">
        <f t="shared" si="41"/>
        <v>0.50917776524294045</v>
      </c>
      <c r="S18" s="360">
        <f t="shared" si="7"/>
        <v>3.5000369543402324E-4</v>
      </c>
      <c r="T18" s="360">
        <f t="shared" si="8"/>
        <v>0.3</v>
      </c>
      <c r="U18" s="360">
        <f t="shared" si="9"/>
        <v>0.30035841381981737</v>
      </c>
      <c r="V18" s="4">
        <f t="shared" si="42"/>
        <v>0.2382477630908526</v>
      </c>
      <c r="W18" s="360">
        <f t="shared" si="10"/>
        <v>1.1352399323559005E-4</v>
      </c>
      <c r="X18" s="360">
        <f t="shared" si="43"/>
        <v>1.1352399323559005E-4</v>
      </c>
      <c r="Y18" s="4">
        <f t="shared" si="44"/>
        <v>0.21695030000902576</v>
      </c>
      <c r="Z18" s="360">
        <f t="shared" si="11"/>
        <v>4.7067432674006292E-5</v>
      </c>
      <c r="AA18" s="541">
        <f t="shared" si="45"/>
        <v>4.7067432674006292E-5</v>
      </c>
      <c r="AB18" s="360">
        <f t="shared" si="46"/>
        <v>0.24859079745188106</v>
      </c>
      <c r="AC18" s="360">
        <f t="shared" si="12"/>
        <v>3.7078430746657296E-4</v>
      </c>
      <c r="AD18" s="360">
        <f t="shared" si="13"/>
        <v>3.528740970919135E-2</v>
      </c>
      <c r="AE18" s="360">
        <f t="shared" si="14"/>
        <v>0.63444464999999983</v>
      </c>
      <c r="AF18" s="360">
        <f t="shared" si="15"/>
        <v>0</v>
      </c>
      <c r="AG18" s="360">
        <f t="shared" si="16"/>
        <v>0.67015254042577754</v>
      </c>
      <c r="AH18" s="360">
        <f t="shared" si="17"/>
        <v>0.44436990451653319</v>
      </c>
      <c r="AI18" s="360">
        <f t="shared" si="18"/>
        <v>4.9366153010008205E-4</v>
      </c>
      <c r="AJ18" s="360">
        <f t="shared" si="19"/>
        <v>1.8521999999999997E-2</v>
      </c>
      <c r="AK18" s="360">
        <f t="shared" si="20"/>
        <v>1.9017088506861651E-2</v>
      </c>
      <c r="AL18" s="360">
        <f t="shared" si="21"/>
        <v>1.8521999999999997E-2</v>
      </c>
      <c r="AM18" s="360">
        <f t="shared" si="22"/>
        <v>0.23813999999999999</v>
      </c>
      <c r="AN18" s="360">
        <f t="shared" si="23"/>
        <v>2.5926199661779497E-3</v>
      </c>
      <c r="AO18" s="360">
        <f t="shared" si="24"/>
        <v>7.3499999999999998E-4</v>
      </c>
      <c r="AP18" s="360">
        <f t="shared" si="25"/>
        <v>0.34650000000000003</v>
      </c>
      <c r="AQ18" s="360">
        <f t="shared" si="26"/>
        <v>1.3167</v>
      </c>
      <c r="AR18" s="360">
        <f t="shared" si="27"/>
        <v>1.1088</v>
      </c>
      <c r="AS18" s="360">
        <f t="shared" si="28"/>
        <v>0.34723500000000002</v>
      </c>
      <c r="AT18" s="360">
        <f t="shared" si="29"/>
        <v>1.596178254144544</v>
      </c>
      <c r="AU18">
        <f t="shared" si="30"/>
        <v>2.25</v>
      </c>
      <c r="AV18" s="542">
        <f t="shared" si="47"/>
        <v>0.58499628756817423</v>
      </c>
      <c r="AW18" s="551">
        <f t="shared" si="31"/>
        <v>41.366247021288878</v>
      </c>
      <c r="AX18" s="551">
        <f t="shared" si="32"/>
        <v>3.7089249632607424</v>
      </c>
      <c r="AY18" s="9"/>
      <c r="AZ18" s="4">
        <f t="shared" si="48"/>
        <v>58.499628756817422</v>
      </c>
      <c r="BA18" s="360">
        <f t="shared" si="33"/>
        <v>0.30035841381981737</v>
      </c>
      <c r="BB18" s="360">
        <f t="shared" si="34"/>
        <v>0.92730962893263924</v>
      </c>
      <c r="BC18" s="360">
        <f t="shared" si="35"/>
        <v>0.82732494042577753</v>
      </c>
      <c r="BD18" s="360">
        <f t="shared" si="36"/>
        <v>9.7603288506861646E-2</v>
      </c>
      <c r="BE18" s="360">
        <f t="shared" si="37"/>
        <v>2.5926199661779497E-3</v>
      </c>
      <c r="BK18" s="18"/>
      <c r="BL18" s="19"/>
    </row>
    <row r="19" spans="1:65" x14ac:dyDescent="0.2">
      <c r="A19" s="35" t="s">
        <v>11</v>
      </c>
      <c r="B19" s="39">
        <f>Rdcr*1000</f>
        <v>1.35</v>
      </c>
      <c r="C19" s="442" t="s">
        <v>466</v>
      </c>
      <c r="D19" s="440" t="s">
        <v>469</v>
      </c>
      <c r="G19">
        <v>10</v>
      </c>
      <c r="H19" s="548">
        <f t="shared" si="0"/>
        <v>21</v>
      </c>
      <c r="I19" s="4">
        <f t="shared" si="1"/>
        <v>1</v>
      </c>
      <c r="J19" s="360">
        <f t="shared" si="38"/>
        <v>0.5</v>
      </c>
      <c r="K19" s="360">
        <f t="shared" si="2"/>
        <v>0.5</v>
      </c>
      <c r="L19" s="4">
        <f t="shared" si="3"/>
        <v>0.13227513227513227</v>
      </c>
      <c r="M19" s="360">
        <f t="shared" si="4"/>
        <v>0.23838810660254958</v>
      </c>
      <c r="N19" s="4">
        <f t="shared" si="5"/>
        <v>0.82539688946948664</v>
      </c>
      <c r="O19" s="4">
        <f t="shared" si="39"/>
        <v>0.91269844473474326</v>
      </c>
      <c r="P19" s="4">
        <f t="shared" si="40"/>
        <v>8.7301555265256681E-2</v>
      </c>
      <c r="Q19" s="4">
        <f t="shared" si="6"/>
        <v>0</v>
      </c>
      <c r="R19" s="4">
        <f t="shared" si="41"/>
        <v>0.55387122639547304</v>
      </c>
      <c r="S19" s="360">
        <f t="shared" si="7"/>
        <v>4.1414400282891421E-4</v>
      </c>
      <c r="T19" s="360">
        <f t="shared" si="8"/>
        <v>0.3</v>
      </c>
      <c r="U19" s="360">
        <f t="shared" si="9"/>
        <v>0.30042409750989202</v>
      </c>
      <c r="V19" s="4">
        <f t="shared" si="42"/>
        <v>0.23827155816174397</v>
      </c>
      <c r="W19" s="360">
        <f t="shared" si="10"/>
        <v>1.1354667085765069E-4</v>
      </c>
      <c r="X19" s="360">
        <f t="shared" si="43"/>
        <v>1.1354667085765069E-4</v>
      </c>
      <c r="Y19" s="4">
        <f t="shared" si="44"/>
        <v>0.23600323440244289</v>
      </c>
      <c r="Z19" s="360">
        <f t="shared" si="11"/>
        <v>5.5697526648414405E-5</v>
      </c>
      <c r="AA19" s="541">
        <f t="shared" si="45"/>
        <v>5.5697526648414405E-5</v>
      </c>
      <c r="AB19" s="360">
        <f t="shared" si="46"/>
        <v>0.27042765130257396</v>
      </c>
      <c r="AC19" s="360">
        <f t="shared" si="12"/>
        <v>4.387866875341592E-4</v>
      </c>
      <c r="AD19" s="360">
        <f t="shared" si="13"/>
        <v>3.9208233010212604E-2</v>
      </c>
      <c r="AE19" s="360">
        <f t="shared" si="14"/>
        <v>0.63444464999999983</v>
      </c>
      <c r="AF19" s="360">
        <f t="shared" si="15"/>
        <v>0</v>
      </c>
      <c r="AG19" s="360">
        <f t="shared" si="16"/>
        <v>0.67415083137978649</v>
      </c>
      <c r="AH19" s="360">
        <f t="shared" si="17"/>
        <v>0.48336551473993139</v>
      </c>
      <c r="AI19" s="360">
        <f t="shared" si="18"/>
        <v>5.8410555209949711E-4</v>
      </c>
      <c r="AJ19" s="360">
        <f t="shared" si="19"/>
        <v>2.0579999999999998E-2</v>
      </c>
      <c r="AK19" s="360">
        <f t="shared" si="20"/>
        <v>2.1165984753819467E-2</v>
      </c>
      <c r="AL19" s="360">
        <f t="shared" si="21"/>
        <v>2.0579999999999998E-2</v>
      </c>
      <c r="AM19" s="360">
        <f t="shared" si="22"/>
        <v>0.26459999999999995</v>
      </c>
      <c r="AN19" s="360">
        <f t="shared" si="23"/>
        <v>3.0677333542882537E-3</v>
      </c>
      <c r="AO19" s="360">
        <f t="shared" si="24"/>
        <v>7.3499999999999998E-4</v>
      </c>
      <c r="AP19" s="360">
        <f t="shared" si="25"/>
        <v>0.34650000000000003</v>
      </c>
      <c r="AQ19" s="360">
        <f t="shared" si="26"/>
        <v>1.3167</v>
      </c>
      <c r="AR19" s="360">
        <f t="shared" si="27"/>
        <v>1.1088</v>
      </c>
      <c r="AS19" s="360">
        <f t="shared" si="28"/>
        <v>0.34723500000000002</v>
      </c>
      <c r="AT19" s="360">
        <f t="shared" si="29"/>
        <v>1.6313928911952924</v>
      </c>
      <c r="AU19">
        <f t="shared" si="30"/>
        <v>2.5</v>
      </c>
      <c r="AV19" s="542">
        <f t="shared" si="47"/>
        <v>0.60512279171703309</v>
      </c>
      <c r="AW19" s="551">
        <f t="shared" si="31"/>
        <v>42.439341568989327</v>
      </c>
      <c r="AX19" s="551">
        <f t="shared" si="32"/>
        <v>4.1223914206451395</v>
      </c>
      <c r="AY19" s="9"/>
      <c r="AZ19" s="4">
        <f t="shared" si="48"/>
        <v>60.512279171703312</v>
      </c>
      <c r="BA19" s="360">
        <f t="shared" si="33"/>
        <v>0.30042409750989202</v>
      </c>
      <c r="BB19" s="360">
        <f t="shared" si="34"/>
        <v>0.95991681613360591</v>
      </c>
      <c r="BC19" s="360">
        <f t="shared" si="35"/>
        <v>0.8487868313797865</v>
      </c>
      <c r="BD19" s="360">
        <f t="shared" si="36"/>
        <v>0.10848398475381946</v>
      </c>
      <c r="BE19" s="360">
        <f t="shared" si="37"/>
        <v>3.0677333542882537E-3</v>
      </c>
      <c r="BK19" s="18"/>
      <c r="BL19" s="19"/>
    </row>
    <row r="20" spans="1:65" x14ac:dyDescent="0.2">
      <c r="A20" s="35" t="s">
        <v>82</v>
      </c>
      <c r="B20" s="39">
        <f>Ltc*1000000</f>
        <v>4000</v>
      </c>
      <c r="C20" s="441" t="s">
        <v>81</v>
      </c>
      <c r="D20" s="21" t="s">
        <v>97</v>
      </c>
      <c r="G20">
        <v>11</v>
      </c>
      <c r="H20" s="548">
        <f t="shared" si="0"/>
        <v>21</v>
      </c>
      <c r="I20" s="4">
        <f t="shared" si="1"/>
        <v>1</v>
      </c>
      <c r="J20" s="360">
        <f t="shared" si="38"/>
        <v>0.55000000000000004</v>
      </c>
      <c r="K20" s="360">
        <f t="shared" si="2"/>
        <v>0.55000000000000004</v>
      </c>
      <c r="L20" s="4">
        <f t="shared" si="3"/>
        <v>0.14550264550264549</v>
      </c>
      <c r="M20" s="360">
        <f t="shared" si="4"/>
        <v>0.23841738846839169</v>
      </c>
      <c r="N20" s="4">
        <f t="shared" si="5"/>
        <v>0.82547931021674958</v>
      </c>
      <c r="O20" s="4">
        <f t="shared" si="39"/>
        <v>0.96273965510837489</v>
      </c>
      <c r="P20" s="4">
        <f t="shared" si="40"/>
        <v>0.13726034489162525</v>
      </c>
      <c r="Q20" s="4">
        <f t="shared" si="6"/>
        <v>0</v>
      </c>
      <c r="R20" s="4">
        <f t="shared" si="41"/>
        <v>0.59940359883776151</v>
      </c>
      <c r="S20" s="360">
        <f t="shared" si="7"/>
        <v>4.8503431030454125E-4</v>
      </c>
      <c r="T20" s="360">
        <f t="shared" si="8"/>
        <v>0.3</v>
      </c>
      <c r="U20" s="360">
        <f t="shared" si="9"/>
        <v>0.30049669440685817</v>
      </c>
      <c r="V20" s="4">
        <f t="shared" si="42"/>
        <v>0.23829535098205348</v>
      </c>
      <c r="W20" s="360">
        <f t="shared" si="10"/>
        <v>1.1356934859932013E-4</v>
      </c>
      <c r="X20" s="360">
        <f t="shared" si="43"/>
        <v>1.1356934859932013E-4</v>
      </c>
      <c r="Y20" s="4">
        <f t="shared" si="44"/>
        <v>0.25541524721687942</v>
      </c>
      <c r="Z20" s="360">
        <f t="shared" si="11"/>
        <v>6.5236948510859628E-5</v>
      </c>
      <c r="AA20" s="541">
        <f t="shared" si="45"/>
        <v>6.5236948510859628E-5</v>
      </c>
      <c r="AB20" s="360">
        <f t="shared" si="46"/>
        <v>0.29267680769620552</v>
      </c>
      <c r="AC20" s="360">
        <f t="shared" si="12"/>
        <v>5.1395828257944998E-4</v>
      </c>
      <c r="AD20" s="360">
        <f t="shared" si="13"/>
        <v>4.3129056311233864E-2</v>
      </c>
      <c r="AE20" s="360">
        <f t="shared" si="14"/>
        <v>0.63444464999999983</v>
      </c>
      <c r="AF20" s="360">
        <f t="shared" si="15"/>
        <v>0</v>
      </c>
      <c r="AG20" s="360">
        <f t="shared" si="16"/>
        <v>0.67815737351361516</v>
      </c>
      <c r="AH20" s="360">
        <f t="shared" si="17"/>
        <v>0.52309173242980855</v>
      </c>
      <c r="AI20" s="360">
        <f t="shared" si="18"/>
        <v>6.8406240134104616E-4</v>
      </c>
      <c r="AJ20" s="360">
        <f t="shared" si="19"/>
        <v>2.2637999999999998E-2</v>
      </c>
      <c r="AK20" s="360">
        <f t="shared" si="20"/>
        <v>2.3324487622903078E-2</v>
      </c>
      <c r="AL20" s="360">
        <f t="shared" si="21"/>
        <v>2.2637999999999998E-2</v>
      </c>
      <c r="AM20" s="360">
        <f t="shared" si="22"/>
        <v>0.29105999999999999</v>
      </c>
      <c r="AN20" s="360">
        <f t="shared" si="23"/>
        <v>3.5928467429966015E-3</v>
      </c>
      <c r="AO20" s="360">
        <f t="shared" si="24"/>
        <v>7.3499999999999998E-4</v>
      </c>
      <c r="AP20" s="360">
        <f t="shared" si="25"/>
        <v>0.34650000000000003</v>
      </c>
      <c r="AQ20" s="360">
        <f t="shared" si="26"/>
        <v>1.3167</v>
      </c>
      <c r="AR20" s="360">
        <f t="shared" si="27"/>
        <v>1.1088</v>
      </c>
      <c r="AS20" s="360">
        <f t="shared" si="28"/>
        <v>0.34723500000000002</v>
      </c>
      <c r="AT20" s="360">
        <f t="shared" si="29"/>
        <v>1.6666832085834831</v>
      </c>
      <c r="AU20">
        <f t="shared" si="30"/>
        <v>2.75</v>
      </c>
      <c r="AV20" s="542">
        <f t="shared" si="47"/>
        <v>0.62263917743875929</v>
      </c>
      <c r="AW20" s="551">
        <f t="shared" si="31"/>
        <v>43.512848675680758</v>
      </c>
      <c r="AX20" s="551">
        <f t="shared" si="32"/>
        <v>4.5362229296703171</v>
      </c>
      <c r="AY20" s="9"/>
      <c r="AZ20" s="4">
        <f t="shared" si="48"/>
        <v>62.263917743875929</v>
      </c>
      <c r="BA20" s="360">
        <f t="shared" si="33"/>
        <v>0.30049669440685817</v>
      </c>
      <c r="BB20" s="360">
        <f t="shared" si="34"/>
        <v>0.99254186113651821</v>
      </c>
      <c r="BC20" s="360">
        <f t="shared" si="35"/>
        <v>0.8702569735136152</v>
      </c>
      <c r="BD20" s="360">
        <f t="shared" si="36"/>
        <v>0.11937428762290309</v>
      </c>
      <c r="BE20" s="360">
        <f t="shared" si="37"/>
        <v>3.5928467429966015E-3</v>
      </c>
      <c r="BK20" s="18"/>
      <c r="BL20" s="19"/>
    </row>
    <row r="21" spans="1:65" x14ac:dyDescent="0.2">
      <c r="A21" s="25" t="s">
        <v>129</v>
      </c>
      <c r="B21" s="39">
        <f>ThetaCa</f>
        <v>20</v>
      </c>
      <c r="C21" s="441" t="s">
        <v>205</v>
      </c>
      <c r="D21" s="26" t="s">
        <v>130</v>
      </c>
      <c r="G21">
        <v>12</v>
      </c>
      <c r="H21" s="548">
        <f t="shared" si="0"/>
        <v>21</v>
      </c>
      <c r="I21" s="4">
        <f t="shared" si="1"/>
        <v>1</v>
      </c>
      <c r="J21" s="360">
        <f t="shared" si="38"/>
        <v>0.6</v>
      </c>
      <c r="K21" s="360">
        <f t="shared" si="2"/>
        <v>0.6</v>
      </c>
      <c r="L21" s="4">
        <f t="shared" si="3"/>
        <v>0.15873015873015872</v>
      </c>
      <c r="M21" s="360">
        <f t="shared" si="4"/>
        <v>0.23844666942805856</v>
      </c>
      <c r="N21" s="4">
        <f t="shared" si="5"/>
        <v>0.82556172316812959</v>
      </c>
      <c r="O21" s="4">
        <f t="shared" si="39"/>
        <v>1.0127808615840648</v>
      </c>
      <c r="P21" s="4">
        <f t="shared" si="40"/>
        <v>0.18721913841593518</v>
      </c>
      <c r="Q21" s="4">
        <f t="shared" si="6"/>
        <v>0</v>
      </c>
      <c r="R21" s="4">
        <f t="shared" si="41"/>
        <v>0.64559740801061738</v>
      </c>
      <c r="S21" s="360">
        <f t="shared" si="7"/>
        <v>5.6267461786053724E-4</v>
      </c>
      <c r="T21" s="360">
        <f t="shared" si="8"/>
        <v>0.3</v>
      </c>
      <c r="U21" s="360">
        <f t="shared" si="9"/>
        <v>0.30057620474595198</v>
      </c>
      <c r="V21" s="4">
        <f t="shared" si="42"/>
        <v>0.23831914155188547</v>
      </c>
      <c r="W21" s="360">
        <f t="shared" si="10"/>
        <v>1.1359202646005525E-4</v>
      </c>
      <c r="X21" s="360">
        <f t="shared" si="43"/>
        <v>1.1359202646005525E-4</v>
      </c>
      <c r="Y21" s="4">
        <f t="shared" si="44"/>
        <v>0.2751107553662499</v>
      </c>
      <c r="Z21" s="360">
        <f t="shared" si="11"/>
        <v>7.5685927718188611E-5</v>
      </c>
      <c r="AA21" s="541">
        <f t="shared" si="45"/>
        <v>7.5685927718188611E-5</v>
      </c>
      <c r="AB21" s="360">
        <f t="shared" si="46"/>
        <v>0.31525167911621516</v>
      </c>
      <c r="AC21" s="360">
        <f t="shared" si="12"/>
        <v>5.9630172711355853E-4</v>
      </c>
      <c r="AD21" s="360">
        <f t="shared" si="13"/>
        <v>4.7049879612255124E-2</v>
      </c>
      <c r="AE21" s="360">
        <f t="shared" si="14"/>
        <v>0.63444464999999983</v>
      </c>
      <c r="AF21" s="360">
        <f t="shared" si="15"/>
        <v>0</v>
      </c>
      <c r="AG21" s="360">
        <f t="shared" si="16"/>
        <v>0.68217218743007924</v>
      </c>
      <c r="AH21" s="360">
        <f t="shared" si="17"/>
        <v>0.56339363862616909</v>
      </c>
      <c r="AI21" s="360">
        <f t="shared" si="18"/>
        <v>7.9353098011108601E-4</v>
      </c>
      <c r="AJ21" s="360">
        <f t="shared" si="19"/>
        <v>2.4695999999999996E-2</v>
      </c>
      <c r="AK21" s="360">
        <f t="shared" si="20"/>
        <v>2.5492605814327652E-2</v>
      </c>
      <c r="AL21" s="360">
        <f t="shared" si="21"/>
        <v>2.4695999999999996E-2</v>
      </c>
      <c r="AM21" s="360">
        <f t="shared" si="22"/>
        <v>0.31751999999999997</v>
      </c>
      <c r="AN21" s="360">
        <f t="shared" si="23"/>
        <v>4.1679601323002758E-3</v>
      </c>
      <c r="AO21" s="360">
        <f t="shared" si="24"/>
        <v>7.3499999999999998E-4</v>
      </c>
      <c r="AP21" s="360">
        <f t="shared" si="25"/>
        <v>0.34650000000000003</v>
      </c>
      <c r="AQ21" s="360">
        <f t="shared" si="26"/>
        <v>1.3167</v>
      </c>
      <c r="AR21" s="360">
        <f t="shared" si="27"/>
        <v>1.1088</v>
      </c>
      <c r="AS21" s="360">
        <f t="shared" si="28"/>
        <v>0.34723500000000002</v>
      </c>
      <c r="AT21" s="360">
        <f t="shared" si="29"/>
        <v>1.7020492360768376</v>
      </c>
      <c r="AU21">
        <f t="shared" si="30"/>
        <v>3</v>
      </c>
      <c r="AV21" s="542">
        <f t="shared" si="47"/>
        <v>0.63801969085782151</v>
      </c>
      <c r="AW21" s="551">
        <f t="shared" si="31"/>
        <v>44.586769371503962</v>
      </c>
      <c r="AX21" s="551">
        <f t="shared" si="32"/>
        <v>4.9504198209444503</v>
      </c>
      <c r="AY21" s="9"/>
      <c r="AZ21" s="4">
        <f t="shared" si="48"/>
        <v>63.801969085782147</v>
      </c>
      <c r="BA21" s="360">
        <f t="shared" si="33"/>
        <v>0.30057620474595198</v>
      </c>
      <c r="BB21" s="360">
        <f t="shared" si="34"/>
        <v>1.0251847932444069</v>
      </c>
      <c r="BC21" s="360">
        <f t="shared" si="35"/>
        <v>0.89173538743007918</v>
      </c>
      <c r="BD21" s="360">
        <f t="shared" si="36"/>
        <v>0.13027420581432764</v>
      </c>
      <c r="BE21" s="360">
        <f t="shared" si="37"/>
        <v>4.1679601323002758E-3</v>
      </c>
      <c r="BK21" s="18"/>
      <c r="BL21" s="19"/>
    </row>
    <row r="22" spans="1:65" x14ac:dyDescent="0.2">
      <c r="A22" s="36" t="s">
        <v>57</v>
      </c>
      <c r="B22" s="39">
        <f>Cin*1000000</f>
        <v>50</v>
      </c>
      <c r="C22" s="443" t="s">
        <v>467</v>
      </c>
      <c r="D22" s="440" t="s">
        <v>484</v>
      </c>
      <c r="G22">
        <v>13</v>
      </c>
      <c r="H22" s="548">
        <f t="shared" si="0"/>
        <v>21</v>
      </c>
      <c r="I22" s="4">
        <f t="shared" si="1"/>
        <v>1</v>
      </c>
      <c r="J22" s="360">
        <f t="shared" si="38"/>
        <v>0.65</v>
      </c>
      <c r="K22" s="360">
        <f t="shared" si="2"/>
        <v>0.65</v>
      </c>
      <c r="L22" s="4">
        <f t="shared" si="3"/>
        <v>0.17195767195767195</v>
      </c>
      <c r="M22" s="360">
        <f t="shared" si="4"/>
        <v>0.2384759494815924</v>
      </c>
      <c r="N22" s="4">
        <f t="shared" si="5"/>
        <v>0.82564412832398926</v>
      </c>
      <c r="O22" s="4">
        <f t="shared" si="39"/>
        <v>1.0628220641619945</v>
      </c>
      <c r="P22" s="4">
        <f t="shared" si="40"/>
        <v>0.23717793583800539</v>
      </c>
      <c r="Q22" s="4">
        <f t="shared" si="6"/>
        <v>0</v>
      </c>
      <c r="R22" s="4">
        <f t="shared" si="41"/>
        <v>0.69232026708717453</v>
      </c>
      <c r="S22" s="360">
        <f t="shared" si="7"/>
        <v>6.4706492549653654E-4</v>
      </c>
      <c r="T22" s="360">
        <f t="shared" si="8"/>
        <v>0.3</v>
      </c>
      <c r="U22" s="360">
        <f t="shared" si="9"/>
        <v>0.30066262878481609</v>
      </c>
      <c r="V22" s="4">
        <f t="shared" si="42"/>
        <v>0.23834292987134456</v>
      </c>
      <c r="W22" s="360">
        <f t="shared" si="10"/>
        <v>1.1361470443931335E-4</v>
      </c>
      <c r="X22" s="360">
        <f t="shared" si="43"/>
        <v>1.1361470443931335E-4</v>
      </c>
      <c r="Y22" s="4">
        <f t="shared" si="44"/>
        <v>0.29503337719929495</v>
      </c>
      <c r="Z22" s="360">
        <f t="shared" si="11"/>
        <v>8.7044693661621458E-5</v>
      </c>
      <c r="AA22" s="541">
        <f t="shared" si="45"/>
        <v>8.7044693661621458E-5</v>
      </c>
      <c r="AB22" s="360">
        <f t="shared" si="46"/>
        <v>0.33808767489231345</v>
      </c>
      <c r="AC22" s="360">
        <f t="shared" si="12"/>
        <v>6.8581965548454376E-4</v>
      </c>
      <c r="AD22" s="360">
        <f t="shared" si="13"/>
        <v>5.0970702913276385E-2</v>
      </c>
      <c r="AE22" s="360">
        <f t="shared" si="14"/>
        <v>0.63444464999999983</v>
      </c>
      <c r="AF22" s="360">
        <f t="shared" si="15"/>
        <v>0</v>
      </c>
      <c r="AG22" s="360">
        <f t="shared" si="16"/>
        <v>0.68619529381276034</v>
      </c>
      <c r="AH22" s="360">
        <f t="shared" si="17"/>
        <v>0.60415567224479982</v>
      </c>
      <c r="AI22" s="360">
        <f t="shared" si="18"/>
        <v>9.1251019076391492E-4</v>
      </c>
      <c r="AJ22" s="360">
        <f t="shared" si="19"/>
        <v>2.6753999999999997E-2</v>
      </c>
      <c r="AK22" s="360">
        <f t="shared" si="20"/>
        <v>2.7670348110908155E-2</v>
      </c>
      <c r="AL22" s="360">
        <f t="shared" si="21"/>
        <v>2.6753999999999997E-2</v>
      </c>
      <c r="AM22" s="360">
        <f t="shared" si="22"/>
        <v>0.34398000000000006</v>
      </c>
      <c r="AN22" s="360">
        <f t="shared" si="23"/>
        <v>4.7930735221965674E-3</v>
      </c>
      <c r="AO22" s="360">
        <f t="shared" si="24"/>
        <v>7.3499999999999998E-4</v>
      </c>
      <c r="AP22" s="360">
        <f t="shared" si="25"/>
        <v>0.34650000000000003</v>
      </c>
      <c r="AQ22" s="360">
        <f t="shared" si="26"/>
        <v>1.3167</v>
      </c>
      <c r="AR22" s="360">
        <f t="shared" si="27"/>
        <v>1.1088</v>
      </c>
      <c r="AS22" s="360">
        <f t="shared" si="28"/>
        <v>0.34723500000000002</v>
      </c>
      <c r="AT22" s="360">
        <f t="shared" si="29"/>
        <v>1.7374910036287821</v>
      </c>
      <c r="AU22">
        <f t="shared" si="30"/>
        <v>3.25</v>
      </c>
      <c r="AV22" s="542">
        <f t="shared" si="47"/>
        <v>0.65163024808172598</v>
      </c>
      <c r="AW22" s="551">
        <f t="shared" si="31"/>
        <v>45.66110469063802</v>
      </c>
      <c r="AX22" s="551">
        <f t="shared" si="32"/>
        <v>5.3649824282145104</v>
      </c>
      <c r="AY22" s="9"/>
      <c r="AZ22" s="4">
        <f t="shared" si="48"/>
        <v>65.163024808172594</v>
      </c>
      <c r="BA22" s="360">
        <f t="shared" si="33"/>
        <v>0.30066262878481609</v>
      </c>
      <c r="BB22" s="360">
        <f t="shared" si="34"/>
        <v>1.0578456419236686</v>
      </c>
      <c r="BC22" s="360">
        <f t="shared" si="35"/>
        <v>0.91322209381276043</v>
      </c>
      <c r="BD22" s="360">
        <f t="shared" si="36"/>
        <v>0.14118374811090817</v>
      </c>
      <c r="BE22" s="360">
        <f t="shared" si="37"/>
        <v>4.7930735221965674E-3</v>
      </c>
      <c r="BK22" s="18"/>
      <c r="BL22" s="19"/>
    </row>
    <row r="23" spans="1:65" x14ac:dyDescent="0.2">
      <c r="A23" s="36" t="s">
        <v>86</v>
      </c>
      <c r="B23" s="39">
        <f>RCinEsr*1000</f>
        <v>1</v>
      </c>
      <c r="C23" s="442" t="s">
        <v>466</v>
      </c>
      <c r="D23" s="440" t="s">
        <v>480</v>
      </c>
      <c r="G23">
        <v>14</v>
      </c>
      <c r="H23" s="548">
        <f t="shared" si="0"/>
        <v>21</v>
      </c>
      <c r="I23" s="4">
        <f t="shared" si="1"/>
        <v>1</v>
      </c>
      <c r="J23" s="360">
        <f t="shared" si="38"/>
        <v>0.7</v>
      </c>
      <c r="K23" s="360">
        <f t="shared" si="2"/>
        <v>0.7</v>
      </c>
      <c r="L23" s="4">
        <f t="shared" si="3"/>
        <v>0.18518518518518517</v>
      </c>
      <c r="M23" s="360">
        <f t="shared" si="4"/>
        <v>0.23850522862903514</v>
      </c>
      <c r="N23" s="4">
        <f t="shared" si="5"/>
        <v>0.82572652568468963</v>
      </c>
      <c r="O23" s="4">
        <f t="shared" si="39"/>
        <v>1.1128632628423447</v>
      </c>
      <c r="P23" s="4">
        <f t="shared" si="40"/>
        <v>0.28713673715765514</v>
      </c>
      <c r="Q23" s="4">
        <f t="shared" si="6"/>
        <v>0</v>
      </c>
      <c r="R23" s="4">
        <f t="shared" si="41"/>
        <v>0.73947190025603793</v>
      </c>
      <c r="S23" s="360">
        <f t="shared" si="7"/>
        <v>7.3820523321217236E-4</v>
      </c>
      <c r="T23" s="360">
        <f t="shared" si="8"/>
        <v>0.3</v>
      </c>
      <c r="U23" s="360">
        <f t="shared" si="9"/>
        <v>0.30075596680350131</v>
      </c>
      <c r="V23" s="4">
        <f t="shared" si="42"/>
        <v>0.23836671594053502</v>
      </c>
      <c r="W23" s="360">
        <f t="shared" si="10"/>
        <v>1.1363738253655142E-4</v>
      </c>
      <c r="X23" s="360">
        <f t="shared" si="43"/>
        <v>1.1363738253655142E-4</v>
      </c>
      <c r="Y23" s="4">
        <f t="shared" si="44"/>
        <v>0.31514040627434736</v>
      </c>
      <c r="Z23" s="360">
        <f t="shared" si="11"/>
        <v>9.9313475666760716E-5</v>
      </c>
      <c r="AA23" s="541">
        <f t="shared" si="45"/>
        <v>9.9313475666760716E-5</v>
      </c>
      <c r="AB23" s="360">
        <f t="shared" si="46"/>
        <v>0.36113587052461277</v>
      </c>
      <c r="AC23" s="360">
        <f t="shared" si="12"/>
        <v>7.8251470187741924E-4</v>
      </c>
      <c r="AD23" s="360">
        <f t="shared" si="13"/>
        <v>5.4891526214297645E-2</v>
      </c>
      <c r="AE23" s="360">
        <f t="shared" si="14"/>
        <v>0.63444464999999983</v>
      </c>
      <c r="AF23" s="360">
        <f t="shared" si="15"/>
        <v>0</v>
      </c>
      <c r="AG23" s="360">
        <f t="shared" si="16"/>
        <v>0.69022671342635178</v>
      </c>
      <c r="AH23" s="360">
        <f t="shared" si="17"/>
        <v>0.64529030233586016</v>
      </c>
      <c r="AI23" s="360">
        <f t="shared" si="18"/>
        <v>1.0409989357217646E-3</v>
      </c>
      <c r="AJ23" s="360">
        <f t="shared" si="19"/>
        <v>2.8811999999999994E-2</v>
      </c>
      <c r="AK23" s="360">
        <f t="shared" si="20"/>
        <v>2.9857723378177242E-2</v>
      </c>
      <c r="AL23" s="360">
        <f t="shared" si="21"/>
        <v>2.8811999999999994E-2</v>
      </c>
      <c r="AM23" s="360">
        <f t="shared" si="22"/>
        <v>0.37043999999999999</v>
      </c>
      <c r="AN23" s="360">
        <f t="shared" si="23"/>
        <v>5.4681869126827574E-3</v>
      </c>
      <c r="AO23" s="360">
        <f t="shared" si="24"/>
        <v>7.3499999999999998E-4</v>
      </c>
      <c r="AP23" s="360">
        <f t="shared" si="25"/>
        <v>0.34650000000000003</v>
      </c>
      <c r="AQ23" s="360">
        <f t="shared" si="26"/>
        <v>1.3167</v>
      </c>
      <c r="AR23" s="360">
        <f t="shared" si="27"/>
        <v>1.1088</v>
      </c>
      <c r="AS23" s="360">
        <f t="shared" si="28"/>
        <v>0.34723500000000002</v>
      </c>
      <c r="AT23" s="360">
        <f t="shared" si="29"/>
        <v>1.7730085413789163</v>
      </c>
      <c r="AU23">
        <f t="shared" si="30"/>
        <v>3.5</v>
      </c>
      <c r="AV23" s="542">
        <f t="shared" si="47"/>
        <v>0.66375769592148892</v>
      </c>
      <c r="AW23" s="551">
        <f t="shared" si="31"/>
        <v>46.735855671317587</v>
      </c>
      <c r="AX23" s="551">
        <f t="shared" si="32"/>
        <v>5.779911088370735</v>
      </c>
      <c r="AY23" s="9"/>
      <c r="AZ23" s="4">
        <f t="shared" si="48"/>
        <v>66.375769592148899</v>
      </c>
      <c r="BA23" s="360">
        <f t="shared" si="33"/>
        <v>0.30075596680350131</v>
      </c>
      <c r="BB23" s="360">
        <f t="shared" si="34"/>
        <v>1.090524436804529</v>
      </c>
      <c r="BC23" s="360">
        <f t="shared" si="35"/>
        <v>0.93471711342635178</v>
      </c>
      <c r="BD23" s="360">
        <f t="shared" si="36"/>
        <v>0.15210292337817724</v>
      </c>
      <c r="BE23" s="360">
        <f t="shared" si="37"/>
        <v>5.4681869126827574E-3</v>
      </c>
      <c r="BK23" s="18"/>
      <c r="BL23" s="19"/>
    </row>
    <row r="24" spans="1:65" x14ac:dyDescent="0.2">
      <c r="A24" s="35" t="s">
        <v>25</v>
      </c>
      <c r="B24" s="39">
        <f>Cout*1000000</f>
        <v>4.7</v>
      </c>
      <c r="C24" s="441" t="s">
        <v>467</v>
      </c>
      <c r="D24" s="440" t="s">
        <v>483</v>
      </c>
      <c r="G24">
        <v>15</v>
      </c>
      <c r="H24" s="548">
        <f t="shared" si="0"/>
        <v>21</v>
      </c>
      <c r="I24" s="4">
        <f t="shared" si="1"/>
        <v>1</v>
      </c>
      <c r="J24" s="360">
        <f t="shared" si="38"/>
        <v>0.75</v>
      </c>
      <c r="K24" s="360">
        <f t="shared" si="2"/>
        <v>0.75</v>
      </c>
      <c r="L24" s="4">
        <f t="shared" si="3"/>
        <v>0.1984126984126984</v>
      </c>
      <c r="M24" s="360">
        <f t="shared" si="4"/>
        <v>0.23853450687042893</v>
      </c>
      <c r="N24" s="4">
        <f t="shared" si="5"/>
        <v>0.82580891525059297</v>
      </c>
      <c r="O24" s="4">
        <f t="shared" si="39"/>
        <v>1.1629044576252965</v>
      </c>
      <c r="P24" s="4">
        <f t="shared" si="40"/>
        <v>0.33709554237470352</v>
      </c>
      <c r="Q24" s="4">
        <f t="shared" si="6"/>
        <v>0</v>
      </c>
      <c r="R24" s="4">
        <f t="shared" si="41"/>
        <v>0.78697524127231178</v>
      </c>
      <c r="S24" s="360">
        <f t="shared" si="7"/>
        <v>8.3609554100707803E-4</v>
      </c>
      <c r="T24" s="360">
        <f t="shared" si="8"/>
        <v>0.3</v>
      </c>
      <c r="U24" s="360">
        <f t="shared" si="9"/>
        <v>0.30085621910446925</v>
      </c>
      <c r="V24" s="4">
        <f t="shared" si="42"/>
        <v>0.23839049975956136</v>
      </c>
      <c r="W24" s="360">
        <f t="shared" si="10"/>
        <v>1.1366006075122685E-4</v>
      </c>
      <c r="X24" s="360">
        <f t="shared" si="43"/>
        <v>1.1366006075122685E-4</v>
      </c>
      <c r="Y24" s="4">
        <f t="shared" si="44"/>
        <v>0.33539902056148041</v>
      </c>
      <c r="Z24" s="360">
        <f t="shared" si="11"/>
        <v>1.1249250299360036E-4</v>
      </c>
      <c r="AA24" s="541">
        <f t="shared" si="45"/>
        <v>1.1249250299360036E-4</v>
      </c>
      <c r="AB24" s="360">
        <f t="shared" si="46"/>
        <v>0.38435866503266802</v>
      </c>
      <c r="AC24" s="360">
        <f t="shared" si="12"/>
        <v>8.8638950031416826E-4</v>
      </c>
      <c r="AD24" s="360">
        <f t="shared" si="13"/>
        <v>5.8812349515318905E-2</v>
      </c>
      <c r="AE24" s="360">
        <f t="shared" si="14"/>
        <v>0.63444464999999983</v>
      </c>
      <c r="AF24" s="360">
        <f t="shared" si="15"/>
        <v>0</v>
      </c>
      <c r="AG24" s="360">
        <f t="shared" si="16"/>
        <v>0.69426646711700746</v>
      </c>
      <c r="AH24" s="360">
        <f t="shared" si="17"/>
        <v>0.68673025780863806</v>
      </c>
      <c r="AI24" s="360">
        <f t="shared" si="18"/>
        <v>1.1789961174747962E-3</v>
      </c>
      <c r="AJ24" s="360">
        <f t="shared" si="19"/>
        <v>3.0869999999999995E-2</v>
      </c>
      <c r="AK24" s="360">
        <f t="shared" si="20"/>
        <v>3.2054740564504969E-2</v>
      </c>
      <c r="AL24" s="360">
        <f t="shared" si="21"/>
        <v>3.0869999999999995E-2</v>
      </c>
      <c r="AM24" s="360">
        <f t="shared" si="22"/>
        <v>0.39689999999999992</v>
      </c>
      <c r="AN24" s="360">
        <f t="shared" si="23"/>
        <v>6.1933003037561328E-3</v>
      </c>
      <c r="AO24" s="360">
        <f t="shared" si="24"/>
        <v>7.3499999999999998E-4</v>
      </c>
      <c r="AP24" s="360">
        <f t="shared" si="25"/>
        <v>0.34650000000000003</v>
      </c>
      <c r="AQ24" s="360">
        <f t="shared" si="26"/>
        <v>1.3167</v>
      </c>
      <c r="AR24" s="360">
        <f t="shared" si="27"/>
        <v>1.1088</v>
      </c>
      <c r="AS24" s="360">
        <f t="shared" si="28"/>
        <v>0.34723500000000002</v>
      </c>
      <c r="AT24" s="360">
        <f t="shared" si="29"/>
        <v>1.8086018796534824</v>
      </c>
      <c r="AU24">
        <f t="shared" si="30"/>
        <v>3.75</v>
      </c>
      <c r="AV24" s="542">
        <f t="shared" si="47"/>
        <v>0.67463007446645407</v>
      </c>
      <c r="AW24" s="551">
        <f t="shared" si="31"/>
        <v>47.811023355850367</v>
      </c>
      <c r="AX24" s="551">
        <f t="shared" si="32"/>
        <v>6.1952061414511883</v>
      </c>
      <c r="AY24" s="9"/>
      <c r="AZ24" s="4">
        <f t="shared" si="48"/>
        <v>67.463007446645406</v>
      </c>
      <c r="BA24" s="360">
        <f t="shared" si="33"/>
        <v>0.30085621910446925</v>
      </c>
      <c r="BB24" s="360">
        <f t="shared" si="34"/>
        <v>1.1232212076815125</v>
      </c>
      <c r="BC24" s="360">
        <f t="shared" si="35"/>
        <v>0.95622046711700737</v>
      </c>
      <c r="BD24" s="360">
        <f t="shared" si="36"/>
        <v>0.16303174056450495</v>
      </c>
      <c r="BE24" s="360">
        <f t="shared" si="37"/>
        <v>6.1933003037561328E-3</v>
      </c>
      <c r="BK24" s="18"/>
      <c r="BL24" s="19"/>
    </row>
    <row r="25" spans="1:65" x14ac:dyDescent="0.2">
      <c r="A25" s="35" t="s">
        <v>85</v>
      </c>
      <c r="B25" s="40">
        <f>Cout_ESR*1000</f>
        <v>2</v>
      </c>
      <c r="C25" s="442" t="s">
        <v>466</v>
      </c>
      <c r="D25" s="440" t="s">
        <v>482</v>
      </c>
      <c r="G25">
        <v>16</v>
      </c>
      <c r="H25" s="548">
        <f t="shared" si="0"/>
        <v>21</v>
      </c>
      <c r="I25" s="4">
        <f t="shared" si="1"/>
        <v>1</v>
      </c>
      <c r="J25" s="360">
        <f t="shared" si="38"/>
        <v>0.8</v>
      </c>
      <c r="K25" s="360">
        <f t="shared" si="2"/>
        <v>0.8</v>
      </c>
      <c r="L25" s="4">
        <f t="shared" si="3"/>
        <v>0.21164021164021163</v>
      </c>
      <c r="M25" s="360">
        <f t="shared" si="4"/>
        <v>0.2385637842058157</v>
      </c>
      <c r="N25" s="4">
        <f t="shared" si="5"/>
        <v>0.82589129702206066</v>
      </c>
      <c r="O25" s="4">
        <f t="shared" si="39"/>
        <v>1.2129456485110304</v>
      </c>
      <c r="P25" s="4">
        <f t="shared" si="40"/>
        <v>0.38705435148896972</v>
      </c>
      <c r="Q25" s="4">
        <f t="shared" si="6"/>
        <v>0</v>
      </c>
      <c r="R25" s="4">
        <f t="shared" si="41"/>
        <v>0.83477024955456969</v>
      </c>
      <c r="S25" s="360">
        <f t="shared" si="7"/>
        <v>9.4073584888088805E-4</v>
      </c>
      <c r="T25" s="360">
        <f t="shared" si="8"/>
        <v>0.3</v>
      </c>
      <c r="U25" s="360">
        <f t="shared" si="9"/>
        <v>0.3009633860125947</v>
      </c>
      <c r="V25" s="4">
        <f t="shared" si="42"/>
        <v>0.23841428132852796</v>
      </c>
      <c r="W25" s="360">
        <f t="shared" si="10"/>
        <v>1.1368273908279696E-4</v>
      </c>
      <c r="X25" s="360">
        <f t="shared" si="43"/>
        <v>1.1368273908279696E-4</v>
      </c>
      <c r="Y25" s="4">
        <f t="shared" si="44"/>
        <v>0.35578364891677516</v>
      </c>
      <c r="Z25" s="360">
        <f t="shared" si="11"/>
        <v>1.2658200483653512E-4</v>
      </c>
      <c r="AA25" s="541">
        <f t="shared" si="45"/>
        <v>1.2658200483653512E-4</v>
      </c>
      <c r="AB25" s="360">
        <f t="shared" si="46"/>
        <v>0.40772676403316876</v>
      </c>
      <c r="AC25" s="360">
        <f t="shared" si="12"/>
        <v>9.974466846537557E-4</v>
      </c>
      <c r="AD25" s="360">
        <f t="shared" si="13"/>
        <v>6.2733172816340166E-2</v>
      </c>
      <c r="AE25" s="360">
        <f t="shared" si="14"/>
        <v>0.63444464999999983</v>
      </c>
      <c r="AF25" s="360">
        <f t="shared" si="15"/>
        <v>0</v>
      </c>
      <c r="AG25" s="360">
        <f t="shared" si="16"/>
        <v>0.69831457581269163</v>
      </c>
      <c r="AH25" s="360">
        <f t="shared" si="17"/>
        <v>0.72842312939145426</v>
      </c>
      <c r="AI25" s="360">
        <f t="shared" si="18"/>
        <v>1.3265006385810981E-3</v>
      </c>
      <c r="AJ25" s="360">
        <f t="shared" si="19"/>
        <v>3.2927999999999999E-2</v>
      </c>
      <c r="AK25" s="360">
        <f t="shared" si="20"/>
        <v>3.4261408701220269E-2</v>
      </c>
      <c r="AL25" s="360">
        <f t="shared" si="21"/>
        <v>3.2927999999999999E-2</v>
      </c>
      <c r="AM25" s="360">
        <f t="shared" si="22"/>
        <v>0.42336000000000001</v>
      </c>
      <c r="AN25" s="360">
        <f t="shared" si="23"/>
        <v>6.9684136954139856E-3</v>
      </c>
      <c r="AO25" s="360">
        <f t="shared" si="24"/>
        <v>7.3499999999999998E-4</v>
      </c>
      <c r="AP25" s="360">
        <f t="shared" si="25"/>
        <v>0.34650000000000003</v>
      </c>
      <c r="AQ25" s="360">
        <f t="shared" si="26"/>
        <v>1.3167</v>
      </c>
      <c r="AR25" s="360">
        <f t="shared" si="27"/>
        <v>1.1088</v>
      </c>
      <c r="AS25" s="360">
        <f t="shared" si="28"/>
        <v>0.34723500000000002</v>
      </c>
      <c r="AT25" s="360">
        <f t="shared" si="29"/>
        <v>1.84427104896584</v>
      </c>
      <c r="AU25">
        <f t="shared" si="30"/>
        <v>4</v>
      </c>
      <c r="AV25" s="542">
        <f t="shared" si="47"/>
        <v>0.68443095237819451</v>
      </c>
      <c r="AW25" s="551">
        <f t="shared" si="31"/>
        <v>48.886608790634583</v>
      </c>
      <c r="AX25" s="551">
        <f t="shared" si="32"/>
        <v>6.6108679306463713</v>
      </c>
      <c r="AY25" s="9"/>
      <c r="AZ25" s="4">
        <f t="shared" si="48"/>
        <v>68.443095237819449</v>
      </c>
      <c r="BA25" s="360">
        <f t="shared" si="33"/>
        <v>0.3009633860125947</v>
      </c>
      <c r="BB25" s="360">
        <f t="shared" si="34"/>
        <v>1.1559359845139119</v>
      </c>
      <c r="BC25" s="360">
        <f t="shared" si="35"/>
        <v>0.97773217581269167</v>
      </c>
      <c r="BD25" s="360">
        <f t="shared" si="36"/>
        <v>0.17397020870122029</v>
      </c>
      <c r="BE25" s="360">
        <f t="shared" si="37"/>
        <v>6.9684136954139856E-3</v>
      </c>
    </row>
    <row r="26" spans="1:65" x14ac:dyDescent="0.2">
      <c r="A26" s="24" t="s">
        <v>112</v>
      </c>
      <c r="B26" s="37" t="s">
        <v>111</v>
      </c>
      <c r="C26" s="24" t="s">
        <v>76</v>
      </c>
      <c r="D26" s="17" t="s">
        <v>107</v>
      </c>
      <c r="G26">
        <v>17</v>
      </c>
      <c r="H26" s="548">
        <f t="shared" si="0"/>
        <v>21</v>
      </c>
      <c r="I26" s="4">
        <f t="shared" si="1"/>
        <v>1</v>
      </c>
      <c r="J26" s="360">
        <f t="shared" si="38"/>
        <v>0.85</v>
      </c>
      <c r="K26" s="360">
        <f t="shared" si="2"/>
        <v>0.85</v>
      </c>
      <c r="L26" s="4">
        <f t="shared" si="3"/>
        <v>0.22486772486772486</v>
      </c>
      <c r="M26" s="360">
        <f t="shared" si="4"/>
        <v>0.23859306063523766</v>
      </c>
      <c r="N26" s="4">
        <f t="shared" si="5"/>
        <v>0.8259736709994554</v>
      </c>
      <c r="O26" s="4">
        <f t="shared" si="39"/>
        <v>1.2629868354997278</v>
      </c>
      <c r="P26" s="4">
        <f t="shared" si="40"/>
        <v>0.43701316450027228</v>
      </c>
      <c r="Q26" s="4">
        <f t="shared" si="6"/>
        <v>0</v>
      </c>
      <c r="R26" s="4">
        <f t="shared" si="41"/>
        <v>0.8828095540745805</v>
      </c>
      <c r="S26" s="360">
        <f t="shared" si="7"/>
        <v>1.0521261568332357E-3</v>
      </c>
      <c r="T26" s="360">
        <f t="shared" si="8"/>
        <v>0.3</v>
      </c>
      <c r="U26" s="360">
        <f t="shared" si="9"/>
        <v>0.30107746787516804</v>
      </c>
      <c r="V26" s="4">
        <f t="shared" si="42"/>
        <v>0.2384380606475395</v>
      </c>
      <c r="W26" s="360">
        <f t="shared" si="10"/>
        <v>1.1370541753071945E-4</v>
      </c>
      <c r="X26" s="360">
        <f t="shared" si="43"/>
        <v>1.1370541753071945E-4</v>
      </c>
      <c r="Y26" s="4">
        <f t="shared" si="44"/>
        <v>0.37627411593726351</v>
      </c>
      <c r="Z26" s="360">
        <f t="shared" si="11"/>
        <v>1.4158221032436921E-4</v>
      </c>
      <c r="AA26" s="541">
        <f t="shared" si="45"/>
        <v>1.4158221032436921E-4</v>
      </c>
      <c r="AB26" s="360">
        <f t="shared" si="46"/>
        <v>0.43121705450815623</v>
      </c>
      <c r="AC26" s="360">
        <f t="shared" si="12"/>
        <v>1.1156888885921412E-3</v>
      </c>
      <c r="AD26" s="360">
        <f t="shared" si="13"/>
        <v>6.6653996117361405E-2</v>
      </c>
      <c r="AE26" s="360">
        <f t="shared" si="14"/>
        <v>0.63444464999999983</v>
      </c>
      <c r="AF26" s="360">
        <f t="shared" si="15"/>
        <v>0</v>
      </c>
      <c r="AG26" s="360">
        <f t="shared" si="16"/>
        <v>0.70237106052353238</v>
      </c>
      <c r="AH26" s="360">
        <f t="shared" si="17"/>
        <v>0.77032756712107187</v>
      </c>
      <c r="AI26" s="360">
        <f t="shared" si="18"/>
        <v>1.4835114016666737E-3</v>
      </c>
      <c r="AJ26" s="360">
        <f t="shared" si="19"/>
        <v>3.4985999999999996E-2</v>
      </c>
      <c r="AK26" s="360">
        <f t="shared" si="20"/>
        <v>3.6477736902734204E-2</v>
      </c>
      <c r="AL26" s="360">
        <f t="shared" si="21"/>
        <v>3.4985999999999996E-2</v>
      </c>
      <c r="AM26" s="360">
        <f t="shared" si="22"/>
        <v>0.44981999999999994</v>
      </c>
      <c r="AN26" s="360">
        <f t="shared" si="23"/>
        <v>7.7935270876535968E-3</v>
      </c>
      <c r="AO26" s="360">
        <f t="shared" si="24"/>
        <v>7.3499999999999998E-4</v>
      </c>
      <c r="AP26" s="360">
        <f t="shared" si="25"/>
        <v>0.34650000000000003</v>
      </c>
      <c r="AQ26" s="360">
        <f t="shared" si="26"/>
        <v>1.3167</v>
      </c>
      <c r="AR26" s="360">
        <f t="shared" si="27"/>
        <v>1.1088</v>
      </c>
      <c r="AS26" s="360">
        <f t="shared" si="28"/>
        <v>0.34723500000000002</v>
      </c>
      <c r="AT26" s="360">
        <f t="shared" si="29"/>
        <v>1.8800160800169432</v>
      </c>
      <c r="AU26">
        <f t="shared" si="30"/>
        <v>4.25</v>
      </c>
      <c r="AV26" s="542">
        <f t="shared" si="47"/>
        <v>0.69330976371407049</v>
      </c>
      <c r="AW26" s="551">
        <f t="shared" si="31"/>
        <v>49.962613026176619</v>
      </c>
      <c r="AX26" s="551">
        <f t="shared" si="32"/>
        <v>7.0268968023038987</v>
      </c>
      <c r="AY26" s="9"/>
      <c r="AZ26" s="4">
        <f t="shared" si="48"/>
        <v>69.330976371407047</v>
      </c>
      <c r="BA26" s="360">
        <f t="shared" si="33"/>
        <v>0.30107746787516804</v>
      </c>
      <c r="BB26" s="360">
        <f t="shared" si="34"/>
        <v>1.1886687974262664</v>
      </c>
      <c r="BC26" s="360">
        <f t="shared" si="35"/>
        <v>0.99925226052353233</v>
      </c>
      <c r="BD26" s="360">
        <f t="shared" si="36"/>
        <v>0.18491833690273418</v>
      </c>
      <c r="BE26" s="360">
        <f t="shared" si="37"/>
        <v>7.7935270876535968E-3</v>
      </c>
    </row>
    <row r="27" spans="1:65" x14ac:dyDescent="0.2">
      <c r="A27" s="22" t="s">
        <v>61</v>
      </c>
      <c r="B27" s="5">
        <f>RdsonDRT</f>
        <v>1</v>
      </c>
      <c r="C27" s="444" t="s">
        <v>116</v>
      </c>
      <c r="D27" s="440" t="s">
        <v>507</v>
      </c>
      <c r="G27">
        <v>18</v>
      </c>
      <c r="H27" s="548">
        <f t="shared" si="0"/>
        <v>21</v>
      </c>
      <c r="I27" s="4">
        <f t="shared" si="1"/>
        <v>1</v>
      </c>
      <c r="J27" s="360">
        <f t="shared" si="38"/>
        <v>0.9</v>
      </c>
      <c r="K27" s="360">
        <f t="shared" si="2"/>
        <v>0.9</v>
      </c>
      <c r="L27" s="4">
        <f t="shared" si="3"/>
        <v>0.23809523809523808</v>
      </c>
      <c r="M27" s="360">
        <f t="shared" si="4"/>
        <v>0.23862233615873674</v>
      </c>
      <c r="N27" s="4">
        <f t="shared" si="5"/>
        <v>0.82605603718313803</v>
      </c>
      <c r="O27" s="4">
        <f t="shared" si="39"/>
        <v>1.313028018591569</v>
      </c>
      <c r="P27" s="4">
        <f t="shared" si="40"/>
        <v>0.48697198140843101</v>
      </c>
      <c r="Q27" s="4">
        <f t="shared" si="6"/>
        <v>0</v>
      </c>
      <c r="R27" s="4">
        <f t="shared" si="41"/>
        <v>0.93105534102287701</v>
      </c>
      <c r="S27" s="360">
        <f t="shared" si="7"/>
        <v>1.170266464863755E-3</v>
      </c>
      <c r="T27" s="360">
        <f t="shared" si="8"/>
        <v>0.3</v>
      </c>
      <c r="U27" s="360">
        <f t="shared" si="9"/>
        <v>0.30119846506189818</v>
      </c>
      <c r="V27" s="4">
        <f t="shared" si="42"/>
        <v>0.23846183771670013</v>
      </c>
      <c r="W27" s="360">
        <f t="shared" si="10"/>
        <v>1.1372809609445166E-4</v>
      </c>
      <c r="X27" s="360">
        <f t="shared" si="43"/>
        <v>1.1372809609445166E-4</v>
      </c>
      <c r="Y27" s="4">
        <f t="shared" si="44"/>
        <v>0.39685431649451114</v>
      </c>
      <c r="Z27" s="360">
        <f t="shared" si="11"/>
        <v>1.5749334852032561E-4</v>
      </c>
      <c r="AA27" s="541">
        <f t="shared" si="45"/>
        <v>1.5749334852032561E-4</v>
      </c>
      <c r="AB27" s="360">
        <f t="shared" si="46"/>
        <v>0.45481108636119283</v>
      </c>
      <c r="AC27" s="360">
        <f t="shared" si="12"/>
        <v>1.2411187456622904E-3</v>
      </c>
      <c r="AD27" s="360">
        <f t="shared" si="13"/>
        <v>7.05748194183827E-2</v>
      </c>
      <c r="AE27" s="360">
        <f t="shared" si="14"/>
        <v>0.63444464999999983</v>
      </c>
      <c r="AF27" s="360">
        <f t="shared" si="15"/>
        <v>0</v>
      </c>
      <c r="AG27" s="360">
        <f t="shared" si="16"/>
        <v>0.70643594234217488</v>
      </c>
      <c r="AH27" s="360">
        <f t="shared" si="17"/>
        <v>0.8124105635515686</v>
      </c>
      <c r="AI27" s="360">
        <f t="shared" si="18"/>
        <v>1.650027309425443E-3</v>
      </c>
      <c r="AJ27" s="360">
        <f t="shared" si="19"/>
        <v>3.7043999999999994E-2</v>
      </c>
      <c r="AK27" s="360">
        <f t="shared" si="20"/>
        <v>3.8703734366665056E-2</v>
      </c>
      <c r="AL27" s="360">
        <f t="shared" si="21"/>
        <v>3.7043999999999994E-2</v>
      </c>
      <c r="AM27" s="360">
        <f t="shared" si="22"/>
        <v>0.47627999999999998</v>
      </c>
      <c r="AN27" s="360">
        <f t="shared" si="23"/>
        <v>8.6686404804722592E-3</v>
      </c>
      <c r="AO27" s="360">
        <f t="shared" si="24"/>
        <v>7.3499999999999998E-4</v>
      </c>
      <c r="AP27" s="360">
        <f t="shared" si="25"/>
        <v>0.34650000000000003</v>
      </c>
      <c r="AQ27" s="360">
        <f t="shared" si="26"/>
        <v>1.3167</v>
      </c>
      <c r="AR27" s="360">
        <f t="shared" si="27"/>
        <v>1.1088</v>
      </c>
      <c r="AS27" s="360">
        <f t="shared" si="28"/>
        <v>0.34723500000000002</v>
      </c>
      <c r="AT27" s="360">
        <f t="shared" si="29"/>
        <v>1.9158370036958252</v>
      </c>
      <c r="AU27">
        <f t="shared" si="30"/>
        <v>4.5</v>
      </c>
      <c r="AV27" s="542">
        <f t="shared" si="47"/>
        <v>0.70138938963190411</v>
      </c>
      <c r="AW27" s="551">
        <f t="shared" si="31"/>
        <v>51.039037117108741</v>
      </c>
      <c r="AX27" s="551">
        <f t="shared" si="32"/>
        <v>7.4432931059332716</v>
      </c>
      <c r="AY27" s="9"/>
      <c r="AZ27" s="4">
        <f t="shared" si="48"/>
        <v>70.138938963190412</v>
      </c>
      <c r="BA27" s="360">
        <f t="shared" si="33"/>
        <v>0.30119846506189818</v>
      </c>
      <c r="BB27" s="360">
        <f t="shared" si="34"/>
        <v>1.2214196767088399</v>
      </c>
      <c r="BC27" s="360">
        <f t="shared" si="35"/>
        <v>1.0207807423421749</v>
      </c>
      <c r="BD27" s="360">
        <f t="shared" si="36"/>
        <v>0.19587613436666504</v>
      </c>
      <c r="BE27" s="360">
        <f t="shared" si="37"/>
        <v>8.6686404804722592E-3</v>
      </c>
    </row>
    <row r="28" spans="1:65" x14ac:dyDescent="0.2">
      <c r="A28" s="22" t="s">
        <v>126</v>
      </c>
      <c r="B28" s="5">
        <f>RdsonDRT2</f>
        <v>0.5</v>
      </c>
      <c r="C28" s="444" t="s">
        <v>116</v>
      </c>
      <c r="D28" s="440" t="s">
        <v>506</v>
      </c>
      <c r="G28">
        <v>19</v>
      </c>
      <c r="H28" s="548">
        <f t="shared" si="0"/>
        <v>21</v>
      </c>
      <c r="I28" s="4">
        <f t="shared" si="1"/>
        <v>1</v>
      </c>
      <c r="J28" s="360">
        <f t="shared" si="38"/>
        <v>0.95</v>
      </c>
      <c r="K28" s="360">
        <f t="shared" si="2"/>
        <v>0.95</v>
      </c>
      <c r="L28" s="4">
        <f t="shared" si="3"/>
        <v>0.25132275132275128</v>
      </c>
      <c r="M28" s="360">
        <f t="shared" si="4"/>
        <v>0.23865161077635508</v>
      </c>
      <c r="N28" s="4">
        <f t="shared" si="5"/>
        <v>0.82613839557347091</v>
      </c>
      <c r="O28" s="4">
        <f t="shared" si="39"/>
        <v>1.3630691977867353</v>
      </c>
      <c r="P28" s="4">
        <f t="shared" si="40"/>
        <v>0.5369308022132645</v>
      </c>
      <c r="Q28" s="4">
        <f t="shared" si="6"/>
        <v>0</v>
      </c>
      <c r="R28" s="4">
        <f t="shared" si="41"/>
        <v>0.97947709895981017</v>
      </c>
      <c r="S28" s="360">
        <f t="shared" si="7"/>
        <v>1.2951567729720798E-3</v>
      </c>
      <c r="T28" s="360">
        <f t="shared" si="8"/>
        <v>0.3</v>
      </c>
      <c r="U28" s="360">
        <f t="shared" si="9"/>
        <v>0.30132637796491579</v>
      </c>
      <c r="V28" s="4">
        <f t="shared" si="42"/>
        <v>0.2384856125361145</v>
      </c>
      <c r="W28" s="360">
        <f t="shared" si="10"/>
        <v>1.1375077477345148E-4</v>
      </c>
      <c r="X28" s="360">
        <f t="shared" si="43"/>
        <v>1.1375077477345148E-4</v>
      </c>
      <c r="Y28" s="4">
        <f t="shared" si="44"/>
        <v>0.41751125544355688</v>
      </c>
      <c r="Z28" s="360">
        <f t="shared" si="11"/>
        <v>1.7431564842205504E-4</v>
      </c>
      <c r="AA28" s="541">
        <f t="shared" si="45"/>
        <v>1.7431564842205504E-4</v>
      </c>
      <c r="AB28" s="360">
        <f t="shared" si="46"/>
        <v>0.47849397231211988</v>
      </c>
      <c r="AC28" s="360">
        <f t="shared" si="12"/>
        <v>1.3737388892341906E-3</v>
      </c>
      <c r="AD28" s="360">
        <f t="shared" si="13"/>
        <v>7.449564271940394E-2</v>
      </c>
      <c r="AE28" s="360">
        <f t="shared" si="14"/>
        <v>0.63444464999999983</v>
      </c>
      <c r="AF28" s="360">
        <f t="shared" si="15"/>
        <v>0</v>
      </c>
      <c r="AG28" s="360">
        <f t="shared" si="16"/>
        <v>0.71050924244413916</v>
      </c>
      <c r="AH28" s="360">
        <f t="shared" si="17"/>
        <v>0.85464548547786412</v>
      </c>
      <c r="AI28" s="360">
        <f t="shared" si="18"/>
        <v>1.8260472646192353E-3</v>
      </c>
      <c r="AJ28" s="360">
        <f t="shared" si="19"/>
        <v>3.9101999999999991E-2</v>
      </c>
      <c r="AK28" s="360">
        <f t="shared" si="20"/>
        <v>4.093941037396516E-2</v>
      </c>
      <c r="AL28" s="360">
        <f t="shared" si="21"/>
        <v>3.9101999999999991E-2</v>
      </c>
      <c r="AM28" s="360">
        <f t="shared" si="22"/>
        <v>0.50273999999999996</v>
      </c>
      <c r="AN28" s="360">
        <f t="shared" si="23"/>
        <v>9.5937538738672581E-3</v>
      </c>
      <c r="AO28" s="360">
        <f t="shared" si="24"/>
        <v>7.3499999999999998E-4</v>
      </c>
      <c r="AP28" s="360">
        <f t="shared" si="25"/>
        <v>0.34650000000000003</v>
      </c>
      <c r="AQ28" s="360">
        <f t="shared" si="26"/>
        <v>1.3167</v>
      </c>
      <c r="AR28" s="360">
        <f t="shared" si="27"/>
        <v>1.1088</v>
      </c>
      <c r="AS28" s="360">
        <f t="shared" si="28"/>
        <v>0.34723500000000002</v>
      </c>
      <c r="AT28" s="360">
        <f t="shared" si="29"/>
        <v>1.9517338510800828</v>
      </c>
      <c r="AU28">
        <f t="shared" si="30"/>
        <v>4.75</v>
      </c>
      <c r="AV28" s="542">
        <f t="shared" si="47"/>
        <v>0.7087718052596893</v>
      </c>
      <c r="AW28" s="551">
        <f t="shared" si="31"/>
        <v>52.115882122206955</v>
      </c>
      <c r="AX28" s="551">
        <f t="shared" si="32"/>
        <v>7.8600571942106754</v>
      </c>
      <c r="AY28" s="9"/>
      <c r="AZ28" s="4">
        <f t="shared" si="48"/>
        <v>70.877180525968924</v>
      </c>
      <c r="BA28" s="360">
        <f t="shared" si="33"/>
        <v>0.30132637796491579</v>
      </c>
      <c r="BB28" s="360">
        <f t="shared" si="34"/>
        <v>1.2541886528181043</v>
      </c>
      <c r="BC28" s="360">
        <f t="shared" si="35"/>
        <v>1.0423176424441392</v>
      </c>
      <c r="BD28" s="360">
        <f t="shared" si="36"/>
        <v>0.20684361037396515</v>
      </c>
      <c r="BE28" s="360">
        <f t="shared" si="37"/>
        <v>9.5937538738672581E-3</v>
      </c>
    </row>
    <row r="29" spans="1:65" x14ac:dyDescent="0.2">
      <c r="A29" s="24" t="s">
        <v>113</v>
      </c>
      <c r="B29" s="15" t="s">
        <v>111</v>
      </c>
      <c r="C29" s="24" t="s">
        <v>76</v>
      </c>
      <c r="D29" s="17" t="s">
        <v>107</v>
      </c>
      <c r="G29">
        <v>20</v>
      </c>
      <c r="H29" s="548">
        <f t="shared" si="0"/>
        <v>21</v>
      </c>
      <c r="I29" s="4">
        <f t="shared" si="1"/>
        <v>1</v>
      </c>
      <c r="J29" s="360">
        <f t="shared" si="38"/>
        <v>1</v>
      </c>
      <c r="K29" s="360">
        <f t="shared" si="2"/>
        <v>1</v>
      </c>
      <c r="L29" s="4">
        <f t="shared" si="3"/>
        <v>0.26455026455026454</v>
      </c>
      <c r="M29" s="360">
        <f t="shared" si="4"/>
        <v>0.23868088448813463</v>
      </c>
      <c r="N29" s="4">
        <f t="shared" si="5"/>
        <v>0.8262207461708152</v>
      </c>
      <c r="O29" s="4">
        <f t="shared" si="39"/>
        <v>1.4131103730854075</v>
      </c>
      <c r="P29" s="4">
        <f t="shared" si="40"/>
        <v>0.58688962691459245</v>
      </c>
      <c r="Q29" s="4">
        <f t="shared" si="6"/>
        <v>0</v>
      </c>
      <c r="R29" s="4">
        <f t="shared" si="41"/>
        <v>1.028049963174742</v>
      </c>
      <c r="S29" s="360">
        <f t="shared" si="7"/>
        <v>1.4267970811578442E-3</v>
      </c>
      <c r="T29" s="360">
        <f t="shared" si="8"/>
        <v>0.3</v>
      </c>
      <c r="U29" s="360">
        <f t="shared" si="9"/>
        <v>0.3014612069987761</v>
      </c>
      <c r="V29" s="4">
        <f t="shared" si="42"/>
        <v>0.23850938510588682</v>
      </c>
      <c r="W29" s="360">
        <f t="shared" si="10"/>
        <v>1.1377345356717646E-4</v>
      </c>
      <c r="X29" s="360">
        <f t="shared" si="43"/>
        <v>1.1377345356717646E-4</v>
      </c>
      <c r="Y29" s="4">
        <f t="shared" si="44"/>
        <v>0.43823434251738508</v>
      </c>
      <c r="Z29" s="360">
        <f t="shared" si="11"/>
        <v>1.9204933896164479E-4</v>
      </c>
      <c r="AA29" s="541">
        <f t="shared" si="45"/>
        <v>1.9204933896164479E-4</v>
      </c>
      <c r="AB29" s="360">
        <f t="shared" si="46"/>
        <v>0.50225358012907817</v>
      </c>
      <c r="AC29" s="360">
        <f t="shared" si="12"/>
        <v>1.5135519525148579E-3</v>
      </c>
      <c r="AD29" s="360">
        <f t="shared" si="13"/>
        <v>7.8416466020425207E-2</v>
      </c>
      <c r="AE29" s="360">
        <f t="shared" si="14"/>
        <v>0.63444464999999983</v>
      </c>
      <c r="AF29" s="360">
        <f t="shared" si="15"/>
        <v>0</v>
      </c>
      <c r="AG29" s="360">
        <f t="shared" si="16"/>
        <v>0.71459098208817773</v>
      </c>
      <c r="AH29" s="360">
        <f t="shared" si="17"/>
        <v>0.89701062871691328</v>
      </c>
      <c r="AI29" s="360">
        <f t="shared" si="18"/>
        <v>2.0115701700777803E-3</v>
      </c>
      <c r="AJ29" s="360">
        <f t="shared" si="19"/>
        <v>4.1159999999999995E-2</v>
      </c>
      <c r="AK29" s="360">
        <f t="shared" si="20"/>
        <v>4.3184774289049509E-2</v>
      </c>
      <c r="AL29" s="360">
        <f t="shared" si="21"/>
        <v>4.1159999999999995E-2</v>
      </c>
      <c r="AM29" s="360">
        <f t="shared" si="22"/>
        <v>0.52919999999999989</v>
      </c>
      <c r="AN29" s="360">
        <f t="shared" si="23"/>
        <v>1.0568867267835883E-2</v>
      </c>
      <c r="AO29" s="360">
        <f t="shared" si="24"/>
        <v>7.3499999999999998E-4</v>
      </c>
      <c r="AP29" s="360">
        <f t="shared" si="25"/>
        <v>0.34650000000000003</v>
      </c>
      <c r="AQ29" s="360">
        <f t="shared" si="26"/>
        <v>1.3167</v>
      </c>
      <c r="AR29" s="360">
        <f t="shared" si="27"/>
        <v>1.1088</v>
      </c>
      <c r="AS29" s="360">
        <f t="shared" si="28"/>
        <v>0.34723500000000002</v>
      </c>
      <c r="AT29" s="360">
        <f t="shared" si="29"/>
        <v>1.9877066534363679</v>
      </c>
      <c r="AU29">
        <f t="shared" si="30"/>
        <v>5</v>
      </c>
      <c r="AV29" s="542">
        <f t="shared" si="47"/>
        <v>0.7155423442884703</v>
      </c>
      <c r="AW29" s="551">
        <f t="shared" si="31"/>
        <v>53.193149104408889</v>
      </c>
      <c r="AX29" s="551">
        <f t="shared" si="32"/>
        <v>8.2771894229838807</v>
      </c>
      <c r="AY29" s="9"/>
      <c r="AZ29" s="4">
        <f t="shared" si="48"/>
        <v>71.554234428847025</v>
      </c>
      <c r="BA29" s="360">
        <f t="shared" si="33"/>
        <v>0.3014612069987761</v>
      </c>
      <c r="BB29" s="360">
        <f t="shared" si="34"/>
        <v>1.2869757563772271</v>
      </c>
      <c r="BC29" s="360">
        <f t="shared" si="35"/>
        <v>1.0638629820881778</v>
      </c>
      <c r="BD29" s="360">
        <f t="shared" si="36"/>
        <v>0.2178207742890495</v>
      </c>
      <c r="BE29" s="360">
        <f t="shared" si="37"/>
        <v>1.0568867267835883E-2</v>
      </c>
    </row>
    <row r="30" spans="1:65" x14ac:dyDescent="0.2">
      <c r="A30" s="22" t="s">
        <v>60</v>
      </c>
      <c r="B30" s="27">
        <f>RdsonDRB</f>
        <v>1</v>
      </c>
      <c r="C30" s="444" t="s">
        <v>116</v>
      </c>
      <c r="D30" s="440" t="s">
        <v>505</v>
      </c>
      <c r="G30">
        <v>21</v>
      </c>
      <c r="H30" s="548">
        <f t="shared" si="0"/>
        <v>21</v>
      </c>
      <c r="I30" s="4">
        <f t="shared" si="1"/>
        <v>1</v>
      </c>
      <c r="J30" s="360">
        <f t="shared" si="38"/>
        <v>1.05</v>
      </c>
      <c r="K30" s="360">
        <f t="shared" si="2"/>
        <v>1.05</v>
      </c>
      <c r="L30" s="4">
        <f t="shared" si="3"/>
        <v>0.27777777777777773</v>
      </c>
      <c r="M30" s="360">
        <f t="shared" si="4"/>
        <v>0.23871015729411751</v>
      </c>
      <c r="N30" s="4">
        <f t="shared" si="5"/>
        <v>0.82630308897553317</v>
      </c>
      <c r="O30" s="4">
        <f t="shared" si="39"/>
        <v>1.4631515444877667</v>
      </c>
      <c r="P30" s="4">
        <f t="shared" si="40"/>
        <v>0.63684845551223346</v>
      </c>
      <c r="Q30" s="4">
        <f t="shared" si="6"/>
        <v>0</v>
      </c>
      <c r="R30" s="4">
        <f t="shared" si="41"/>
        <v>1.0767534844325057</v>
      </c>
      <c r="S30" s="360">
        <f t="shared" si="7"/>
        <v>1.5651873894206821E-3</v>
      </c>
      <c r="T30" s="360">
        <f t="shared" si="8"/>
        <v>0.3</v>
      </c>
      <c r="U30" s="360">
        <f t="shared" si="9"/>
        <v>0.30160295260046249</v>
      </c>
      <c r="V30" s="4">
        <f t="shared" si="42"/>
        <v>0.23853315542612169</v>
      </c>
      <c r="W30" s="360">
        <f t="shared" si="10"/>
        <v>1.1379613247508466E-4</v>
      </c>
      <c r="X30" s="360">
        <f t="shared" si="43"/>
        <v>1.1379613247508466E-4</v>
      </c>
      <c r="Y30" s="4">
        <f t="shared" si="44"/>
        <v>0.45901486795705015</v>
      </c>
      <c r="Z30" s="360">
        <f t="shared" si="11"/>
        <v>2.1069464900562817E-4</v>
      </c>
      <c r="AA30" s="541">
        <f t="shared" si="45"/>
        <v>2.1069464900562817E-4</v>
      </c>
      <c r="AB30" s="360">
        <f t="shared" si="46"/>
        <v>0.52607993190964752</v>
      </c>
      <c r="AC30" s="360">
        <f t="shared" si="12"/>
        <v>1.6605605685483561E-3</v>
      </c>
      <c r="AD30" s="360">
        <f t="shared" si="13"/>
        <v>8.2337289321446461E-2</v>
      </c>
      <c r="AE30" s="360">
        <f t="shared" si="14"/>
        <v>0.63444464999999983</v>
      </c>
      <c r="AF30" s="360">
        <f t="shared" si="15"/>
        <v>0</v>
      </c>
      <c r="AG30" s="360">
        <f t="shared" si="16"/>
        <v>0.71868118261663683</v>
      </c>
      <c r="AH30" s="360">
        <f t="shared" si="17"/>
        <v>0.93948814334161923</v>
      </c>
      <c r="AI30" s="360">
        <f t="shared" si="18"/>
        <v>2.206594928698707E-3</v>
      </c>
      <c r="AJ30" s="360">
        <f t="shared" si="19"/>
        <v>4.3217999999999999E-2</v>
      </c>
      <c r="AK30" s="360">
        <f t="shared" si="20"/>
        <v>4.5439835559926235E-2</v>
      </c>
      <c r="AL30" s="360">
        <f t="shared" si="21"/>
        <v>4.3217999999999999E-2</v>
      </c>
      <c r="AM30" s="360">
        <f t="shared" si="22"/>
        <v>0.55565999999999993</v>
      </c>
      <c r="AN30" s="360">
        <f t="shared" si="23"/>
        <v>1.1593980662375422E-2</v>
      </c>
      <c r="AO30" s="360">
        <f t="shared" si="24"/>
        <v>7.3499999999999998E-4</v>
      </c>
      <c r="AP30" s="360">
        <f t="shared" si="25"/>
        <v>0.34650000000000003</v>
      </c>
      <c r="AQ30" s="360">
        <f t="shared" si="26"/>
        <v>1.3167</v>
      </c>
      <c r="AR30" s="360">
        <f t="shared" si="27"/>
        <v>1.1088</v>
      </c>
      <c r="AS30" s="360">
        <f t="shared" si="28"/>
        <v>0.34723500000000002</v>
      </c>
      <c r="AT30" s="360">
        <f t="shared" si="29"/>
        <v>2.0237554422208812</v>
      </c>
      <c r="AU30">
        <f t="shared" si="30"/>
        <v>5.25</v>
      </c>
      <c r="AV30" s="542">
        <f t="shared" si="47"/>
        <v>0.72177296057083651</v>
      </c>
      <c r="AW30" s="551">
        <f t="shared" si="31"/>
        <v>54.270839130831838</v>
      </c>
      <c r="AX30" s="551">
        <f t="shared" si="32"/>
        <v>8.6946901512771966</v>
      </c>
      <c r="AY30" s="9"/>
      <c r="AZ30" s="4">
        <f t="shared" si="48"/>
        <v>72.177296057083652</v>
      </c>
      <c r="BA30" s="360">
        <f t="shared" si="33"/>
        <v>0.30160295260046249</v>
      </c>
      <c r="BB30" s="360">
        <f t="shared" si="34"/>
        <v>1.319781018176563</v>
      </c>
      <c r="BC30" s="360">
        <f t="shared" si="35"/>
        <v>1.0854167826166368</v>
      </c>
      <c r="BD30" s="360">
        <f t="shared" si="36"/>
        <v>0.22880763555992623</v>
      </c>
      <c r="BE30" s="360">
        <f t="shared" si="37"/>
        <v>1.1593980662375422E-2</v>
      </c>
    </row>
    <row r="31" spans="1:65" x14ac:dyDescent="0.2">
      <c r="A31" s="22" t="s">
        <v>125</v>
      </c>
      <c r="B31" s="27">
        <v>1</v>
      </c>
      <c r="C31" s="444" t="s">
        <v>116</v>
      </c>
      <c r="D31" s="440" t="s">
        <v>504</v>
      </c>
      <c r="G31">
        <v>22</v>
      </c>
      <c r="H31" s="548">
        <f t="shared" si="0"/>
        <v>21</v>
      </c>
      <c r="I31" s="4">
        <f t="shared" si="1"/>
        <v>1</v>
      </c>
      <c r="J31" s="360">
        <f t="shared" si="38"/>
        <v>1.1000000000000001</v>
      </c>
      <c r="K31" s="360">
        <f t="shared" si="2"/>
        <v>1.1000000000000001</v>
      </c>
      <c r="L31" s="4">
        <f t="shared" si="3"/>
        <v>0.29100529100529099</v>
      </c>
      <c r="M31" s="360">
        <f t="shared" si="4"/>
        <v>0.23873942919434574</v>
      </c>
      <c r="N31" s="4">
        <f t="shared" si="5"/>
        <v>0.82638542398798598</v>
      </c>
      <c r="O31" s="4">
        <f t="shared" si="39"/>
        <v>1.5131927119939932</v>
      </c>
      <c r="P31" s="4">
        <f t="shared" si="40"/>
        <v>0.6868072880060071</v>
      </c>
      <c r="Q31" s="4">
        <f t="shared" si="6"/>
        <v>0</v>
      </c>
      <c r="R31" s="4">
        <f t="shared" si="41"/>
        <v>1.1255707022432297</v>
      </c>
      <c r="S31" s="360">
        <f t="shared" si="7"/>
        <v>1.7103276977602287E-3</v>
      </c>
      <c r="T31" s="360">
        <f t="shared" si="8"/>
        <v>0.3</v>
      </c>
      <c r="U31" s="360">
        <f t="shared" si="9"/>
        <v>0.30175161522938987</v>
      </c>
      <c r="V31" s="4">
        <f t="shared" si="42"/>
        <v>0.23855692349692337</v>
      </c>
      <c r="W31" s="360">
        <f t="shared" si="10"/>
        <v>1.138188114966339E-4</v>
      </c>
      <c r="X31" s="360">
        <f t="shared" si="43"/>
        <v>1.138188114966339E-4</v>
      </c>
      <c r="Y31" s="4">
        <f t="shared" si="44"/>
        <v>0.47984560783130387</v>
      </c>
      <c r="Z31" s="360">
        <f t="shared" si="11"/>
        <v>2.3025180735499346E-4</v>
      </c>
      <c r="AA31" s="541">
        <f t="shared" si="45"/>
        <v>2.3025180735499346E-4</v>
      </c>
      <c r="AB31" s="360">
        <f t="shared" si="46"/>
        <v>0.54996475193352257</v>
      </c>
      <c r="AC31" s="360">
        <f t="shared" si="12"/>
        <v>1.814767370215806E-3</v>
      </c>
      <c r="AD31" s="360">
        <f t="shared" si="13"/>
        <v>8.6258112622467728E-2</v>
      </c>
      <c r="AE31" s="360">
        <f t="shared" si="14"/>
        <v>0.63444464999999983</v>
      </c>
      <c r="AF31" s="360">
        <f t="shared" si="15"/>
        <v>0</v>
      </c>
      <c r="AG31" s="360">
        <f t="shared" si="16"/>
        <v>0.72277986545581896</v>
      </c>
      <c r="AH31" s="360">
        <f t="shared" si="17"/>
        <v>0.98206322473607377</v>
      </c>
      <c r="AI31" s="360">
        <f t="shared" si="18"/>
        <v>2.4111204434475405E-3</v>
      </c>
      <c r="AJ31" s="360">
        <f t="shared" si="19"/>
        <v>4.5275999999999997E-2</v>
      </c>
      <c r="AK31" s="360">
        <f t="shared" si="20"/>
        <v>4.7704603718328853E-2</v>
      </c>
      <c r="AL31" s="360">
        <f t="shared" si="21"/>
        <v>4.5275999999999997E-2</v>
      </c>
      <c r="AM31" s="360">
        <f t="shared" si="22"/>
        <v>0.58211999999999997</v>
      </c>
      <c r="AN31" s="360">
        <f t="shared" si="23"/>
        <v>1.2669094057483175E-2</v>
      </c>
      <c r="AO31" s="360">
        <f t="shared" si="24"/>
        <v>7.3499999999999998E-4</v>
      </c>
      <c r="AP31" s="360">
        <f t="shared" si="25"/>
        <v>0.34650000000000003</v>
      </c>
      <c r="AQ31" s="360">
        <f t="shared" si="26"/>
        <v>1.3167</v>
      </c>
      <c r="AR31" s="360">
        <f t="shared" si="27"/>
        <v>1.1088</v>
      </c>
      <c r="AS31" s="360">
        <f t="shared" si="28"/>
        <v>0.34723500000000002</v>
      </c>
      <c r="AT31" s="360">
        <f t="shared" si="29"/>
        <v>2.0598802490798724</v>
      </c>
      <c r="AU31">
        <f t="shared" si="30"/>
        <v>5.5</v>
      </c>
      <c r="AV31" s="542">
        <f t="shared" si="47"/>
        <v>0.72752475155534579</v>
      </c>
      <c r="AW31" s="551">
        <f t="shared" si="31"/>
        <v>55.348953272790943</v>
      </c>
      <c r="AX31" s="551">
        <f t="shared" si="32"/>
        <v>9.1125597412964972</v>
      </c>
      <c r="AY31" s="9"/>
      <c r="AZ31" s="4">
        <f t="shared" si="48"/>
        <v>72.752475155534583</v>
      </c>
      <c r="BA31" s="360">
        <f t="shared" si="33"/>
        <v>0.30175161522938987</v>
      </c>
      <c r="BB31" s="360">
        <f t="shared" si="34"/>
        <v>1.3526044691741479</v>
      </c>
      <c r="BC31" s="360">
        <f t="shared" si="35"/>
        <v>1.1069790654558189</v>
      </c>
      <c r="BD31" s="360">
        <f t="shared" si="36"/>
        <v>0.23980420371832886</v>
      </c>
      <c r="BE31" s="360">
        <f t="shared" si="37"/>
        <v>1.2669094057483175E-2</v>
      </c>
    </row>
    <row r="32" spans="1:65" x14ac:dyDescent="0.2">
      <c r="A32" s="24" t="s">
        <v>62</v>
      </c>
      <c r="B32" s="15" t="s">
        <v>111</v>
      </c>
      <c r="C32" s="24" t="s">
        <v>76</v>
      </c>
      <c r="D32" s="17" t="s">
        <v>107</v>
      </c>
      <c r="G32">
        <v>23</v>
      </c>
      <c r="H32" s="548">
        <f t="shared" si="0"/>
        <v>21</v>
      </c>
      <c r="I32" s="4">
        <f t="shared" si="1"/>
        <v>1</v>
      </c>
      <c r="J32" s="360">
        <f t="shared" si="38"/>
        <v>1.1499999999999999</v>
      </c>
      <c r="K32" s="360">
        <f t="shared" si="2"/>
        <v>1.1499999999999999</v>
      </c>
      <c r="L32" s="4">
        <f t="shared" si="3"/>
        <v>0.30423280423280419</v>
      </c>
      <c r="M32" s="360">
        <f t="shared" si="4"/>
        <v>0.23876870018886134</v>
      </c>
      <c r="N32" s="4">
        <f t="shared" si="5"/>
        <v>0.82646775120853566</v>
      </c>
      <c r="O32" s="4">
        <f t="shared" si="39"/>
        <v>1.5632338756042676</v>
      </c>
      <c r="P32" s="4">
        <f t="shared" si="40"/>
        <v>0.73676612439573208</v>
      </c>
      <c r="Q32" s="4">
        <f t="shared" si="6"/>
        <v>0</v>
      </c>
      <c r="R32" s="4">
        <f t="shared" si="41"/>
        <v>1.174487439403096</v>
      </c>
      <c r="S32" s="360">
        <f t="shared" si="7"/>
        <v>1.8622180061761155E-3</v>
      </c>
      <c r="T32" s="360">
        <f t="shared" si="8"/>
        <v>0.3</v>
      </c>
      <c r="U32" s="360">
        <f t="shared" si="9"/>
        <v>0.30190719536740873</v>
      </c>
      <c r="V32" s="4">
        <f t="shared" si="42"/>
        <v>0.23858068931839638</v>
      </c>
      <c r="W32" s="360">
        <f t="shared" si="10"/>
        <v>1.1384149063128236E-4</v>
      </c>
      <c r="X32" s="360">
        <f t="shared" si="43"/>
        <v>1.1384149063128236E-4</v>
      </c>
      <c r="Y32" s="4">
        <f t="shared" si="44"/>
        <v>0.50072052359094732</v>
      </c>
      <c r="Z32" s="360">
        <f t="shared" si="11"/>
        <v>2.507210427451924E-4</v>
      </c>
      <c r="AA32" s="541">
        <f t="shared" si="45"/>
        <v>2.507210427451924E-4</v>
      </c>
      <c r="AB32" s="360">
        <f t="shared" si="46"/>
        <v>0.57390112247020908</v>
      </c>
      <c r="AC32" s="360">
        <f t="shared" si="12"/>
        <v>1.9761749902353957E-3</v>
      </c>
      <c r="AD32" s="360">
        <f t="shared" si="13"/>
        <v>9.0178935923488981E-2</v>
      </c>
      <c r="AE32" s="360">
        <f t="shared" si="14"/>
        <v>0.63444464999999983</v>
      </c>
      <c r="AF32" s="360">
        <f t="shared" si="15"/>
        <v>0</v>
      </c>
      <c r="AG32" s="360">
        <f t="shared" si="16"/>
        <v>0.72688705211634785</v>
      </c>
      <c r="AH32" s="360">
        <f t="shared" si="17"/>
        <v>1.024723497799809</v>
      </c>
      <c r="AI32" s="360">
        <f t="shared" si="18"/>
        <v>2.6251456173576877E-3</v>
      </c>
      <c r="AJ32" s="360">
        <f t="shared" si="19"/>
        <v>4.7333999999999994E-2</v>
      </c>
      <c r="AK32" s="360">
        <f t="shared" si="20"/>
        <v>4.9979088379850309E-2</v>
      </c>
      <c r="AL32" s="360">
        <f t="shared" si="21"/>
        <v>4.7333999999999994E-2</v>
      </c>
      <c r="AM32" s="360">
        <f t="shared" si="22"/>
        <v>0.60857999999999979</v>
      </c>
      <c r="AN32" s="360">
        <f t="shared" si="23"/>
        <v>1.3794207453156411E-2</v>
      </c>
      <c r="AO32" s="360">
        <f t="shared" si="24"/>
        <v>7.3499999999999998E-4</v>
      </c>
      <c r="AP32" s="360">
        <f t="shared" si="25"/>
        <v>0.34650000000000003</v>
      </c>
      <c r="AQ32" s="360">
        <f t="shared" si="26"/>
        <v>1.3167</v>
      </c>
      <c r="AR32" s="360">
        <f t="shared" si="27"/>
        <v>1.1088</v>
      </c>
      <c r="AS32" s="360">
        <f t="shared" si="28"/>
        <v>0.34723500000000002</v>
      </c>
      <c r="AT32" s="360">
        <f t="shared" si="29"/>
        <v>2.0960811058501396</v>
      </c>
      <c r="AU32">
        <f t="shared" si="30"/>
        <v>5.75</v>
      </c>
      <c r="AV32" s="542">
        <f t="shared" si="47"/>
        <v>0.73284993137691701</v>
      </c>
      <c r="AW32" s="551">
        <f t="shared" si="31"/>
        <v>56.427492605817385</v>
      </c>
      <c r="AX32" s="551">
        <f t="shared" si="32"/>
        <v>9.5307985584343093</v>
      </c>
      <c r="AY32" s="9"/>
      <c r="AZ32" s="4">
        <f t="shared" si="48"/>
        <v>73.2849931376917</v>
      </c>
      <c r="BA32" s="360">
        <f t="shared" si="33"/>
        <v>0.30190719536740873</v>
      </c>
      <c r="BB32" s="360">
        <f t="shared" si="34"/>
        <v>1.385446140496198</v>
      </c>
      <c r="BC32" s="360">
        <f t="shared" si="35"/>
        <v>1.1285498521163477</v>
      </c>
      <c r="BD32" s="360">
        <f t="shared" si="36"/>
        <v>0.25081048837985026</v>
      </c>
      <c r="BE32" s="360">
        <f t="shared" si="37"/>
        <v>1.3794207453156411E-2</v>
      </c>
    </row>
    <row r="33" spans="1:57" x14ac:dyDescent="0.2">
      <c r="A33" s="22" t="s">
        <v>62</v>
      </c>
      <c r="B33" s="5">
        <f>Deadtime*1000000000</f>
        <v>14</v>
      </c>
      <c r="C33" s="440" t="s">
        <v>75</v>
      </c>
      <c r="D33" s="21" t="s">
        <v>98</v>
      </c>
      <c r="G33">
        <v>24</v>
      </c>
      <c r="H33" s="548">
        <f t="shared" si="0"/>
        <v>21</v>
      </c>
      <c r="I33" s="4">
        <f t="shared" si="1"/>
        <v>1</v>
      </c>
      <c r="J33" s="360">
        <f t="shared" si="38"/>
        <v>1.2</v>
      </c>
      <c r="K33" s="360">
        <f t="shared" si="2"/>
        <v>1.2</v>
      </c>
      <c r="L33" s="4">
        <f t="shared" si="3"/>
        <v>0.31746031746031744</v>
      </c>
      <c r="M33" s="360">
        <f t="shared" si="4"/>
        <v>0.23879797027770636</v>
      </c>
      <c r="N33" s="4">
        <f t="shared" si="5"/>
        <v>0.82655007063754382</v>
      </c>
      <c r="O33" s="4">
        <f t="shared" si="39"/>
        <v>1.6132750353187719</v>
      </c>
      <c r="P33" s="4">
        <f t="shared" si="40"/>
        <v>0.78672496468122799</v>
      </c>
      <c r="Q33" s="4">
        <f t="shared" si="6"/>
        <v>0</v>
      </c>
      <c r="R33" s="4">
        <f t="shared" si="41"/>
        <v>1.2234917592445174</v>
      </c>
      <c r="S33" s="360">
        <f t="shared" si="7"/>
        <v>2.0208583146679795E-3</v>
      </c>
      <c r="T33" s="360">
        <f t="shared" si="8"/>
        <v>0.3</v>
      </c>
      <c r="U33" s="360">
        <f t="shared" si="9"/>
        <v>0.30206969351880847</v>
      </c>
      <c r="V33" s="4">
        <f t="shared" si="42"/>
        <v>0.23860445289064508</v>
      </c>
      <c r="W33" s="360">
        <f t="shared" si="10"/>
        <v>1.1386416987848813E-4</v>
      </c>
      <c r="X33" s="360">
        <f t="shared" si="43"/>
        <v>1.1386416987848813E-4</v>
      </c>
      <c r="Y33" s="4">
        <f t="shared" si="44"/>
        <v>0.52163453091810397</v>
      </c>
      <c r="Z33" s="360">
        <f t="shared" si="11"/>
        <v>2.7210258384615039E-4</v>
      </c>
      <c r="AA33" s="541">
        <f t="shared" si="45"/>
        <v>2.7210258384615039E-4</v>
      </c>
      <c r="AB33" s="360">
        <f t="shared" si="46"/>
        <v>0.59788321897095142</v>
      </c>
      <c r="AC33" s="360">
        <f t="shared" si="12"/>
        <v>2.1447860611623999E-3</v>
      </c>
      <c r="AD33" s="360">
        <f t="shared" si="13"/>
        <v>9.4099759224510249E-2</v>
      </c>
      <c r="AE33" s="360">
        <f t="shared" si="14"/>
        <v>0.63444464999999983</v>
      </c>
      <c r="AF33" s="360">
        <f t="shared" si="15"/>
        <v>0</v>
      </c>
      <c r="AG33" s="360">
        <f t="shared" si="16"/>
        <v>0.73100276419353527</v>
      </c>
      <c r="AH33" s="360">
        <f t="shared" si="17"/>
        <v>1.0674585431819719</v>
      </c>
      <c r="AI33" s="360">
        <f t="shared" si="18"/>
        <v>2.8486693535304444E-3</v>
      </c>
      <c r="AJ33" s="360">
        <f t="shared" si="19"/>
        <v>4.9391999999999991E-2</v>
      </c>
      <c r="AK33" s="360">
        <f t="shared" si="20"/>
        <v>5.2263299244078833E-2</v>
      </c>
      <c r="AL33" s="360">
        <f t="shared" si="21"/>
        <v>4.9391999999999991E-2</v>
      </c>
      <c r="AM33" s="360">
        <f t="shared" si="22"/>
        <v>0.63503999999999994</v>
      </c>
      <c r="AN33" s="360">
        <f t="shared" si="23"/>
        <v>1.496932084939244E-2</v>
      </c>
      <c r="AO33" s="360">
        <f t="shared" si="24"/>
        <v>7.3499999999999998E-4</v>
      </c>
      <c r="AP33" s="360">
        <f t="shared" si="25"/>
        <v>0.34650000000000003</v>
      </c>
      <c r="AQ33" s="360">
        <f t="shared" si="26"/>
        <v>1.3167</v>
      </c>
      <c r="AR33" s="360">
        <f t="shared" si="27"/>
        <v>1.1088</v>
      </c>
      <c r="AS33" s="360">
        <f t="shared" si="28"/>
        <v>0.34723500000000002</v>
      </c>
      <c r="AT33" s="360">
        <f t="shared" si="29"/>
        <v>2.1323580445595396</v>
      </c>
      <c r="AU33">
        <f t="shared" si="30"/>
        <v>6</v>
      </c>
      <c r="AV33" s="542">
        <f t="shared" si="47"/>
        <v>0.73779338872246725</v>
      </c>
      <c r="AW33" s="551">
        <f t="shared" si="31"/>
        <v>57.506458209676758</v>
      </c>
      <c r="AX33" s="551">
        <f t="shared" si="32"/>
        <v>9.9494069712749944</v>
      </c>
      <c r="AY33" s="9"/>
      <c r="AZ33" s="4">
        <f t="shared" si="48"/>
        <v>73.779338872246726</v>
      </c>
      <c r="BA33" s="360">
        <f t="shared" si="33"/>
        <v>0.30206969351880847</v>
      </c>
      <c r="BB33" s="360">
        <f t="shared" si="34"/>
        <v>1.4183060634376141</v>
      </c>
      <c r="BC33" s="360">
        <f t="shared" si="35"/>
        <v>1.1501291641935352</v>
      </c>
      <c r="BD33" s="360">
        <f t="shared" si="36"/>
        <v>0.2618264992440788</v>
      </c>
      <c r="BE33" s="360">
        <f t="shared" si="37"/>
        <v>1.496932084939244E-2</v>
      </c>
    </row>
    <row r="34" spans="1:57" x14ac:dyDescent="0.2">
      <c r="A34" s="24" t="s">
        <v>52</v>
      </c>
      <c r="B34" s="15" t="s">
        <v>111</v>
      </c>
      <c r="C34" s="24" t="s">
        <v>76</v>
      </c>
      <c r="D34" s="17" t="s">
        <v>107</v>
      </c>
      <c r="G34">
        <v>25</v>
      </c>
      <c r="H34" s="548">
        <f t="shared" si="0"/>
        <v>21</v>
      </c>
      <c r="I34" s="4">
        <f t="shared" si="1"/>
        <v>1</v>
      </c>
      <c r="J34" s="360">
        <f t="shared" si="38"/>
        <v>1.25</v>
      </c>
      <c r="K34" s="360">
        <f t="shared" si="2"/>
        <v>1.25</v>
      </c>
      <c r="L34" s="4">
        <f t="shared" si="3"/>
        <v>0.33068783068783064</v>
      </c>
      <c r="M34" s="360">
        <f t="shared" si="4"/>
        <v>0.23882723946092285</v>
      </c>
      <c r="N34" s="4">
        <f t="shared" si="5"/>
        <v>0.82663238227537195</v>
      </c>
      <c r="O34" s="4">
        <f t="shared" si="39"/>
        <v>1.6633161911376859</v>
      </c>
      <c r="P34" s="4">
        <f t="shared" si="40"/>
        <v>0.83668380886231408</v>
      </c>
      <c r="Q34" s="4">
        <f t="shared" si="6"/>
        <v>0</v>
      </c>
      <c r="R34" s="4">
        <f t="shared" si="41"/>
        <v>1.2725735438939687</v>
      </c>
      <c r="S34" s="360">
        <f t="shared" si="7"/>
        <v>2.1862486232354541E-3</v>
      </c>
      <c r="T34" s="360">
        <f t="shared" si="8"/>
        <v>0.3</v>
      </c>
      <c r="U34" s="360">
        <f t="shared" si="9"/>
        <v>0.30223911021032229</v>
      </c>
      <c r="V34" s="4">
        <f t="shared" si="42"/>
        <v>0.23862821421377384</v>
      </c>
      <c r="W34" s="360">
        <f t="shared" si="10"/>
        <v>1.1388684923770947E-4</v>
      </c>
      <c r="X34" s="360">
        <f t="shared" si="43"/>
        <v>1.1388684923770947E-4</v>
      </c>
      <c r="Y34" s="4">
        <f t="shared" si="44"/>
        <v>0.54258332011062971</v>
      </c>
      <c r="Z34" s="360">
        <f t="shared" si="11"/>
        <v>2.9439665926227405E-4</v>
      </c>
      <c r="AA34" s="541">
        <f t="shared" si="45"/>
        <v>2.9439665926227405E-4</v>
      </c>
      <c r="AB34" s="360">
        <f t="shared" si="46"/>
        <v>0.6219061042994064</v>
      </c>
      <c r="AC34" s="360">
        <f t="shared" si="12"/>
        <v>2.3206032153891849E-3</v>
      </c>
      <c r="AD34" s="360">
        <f t="shared" si="13"/>
        <v>9.8020582525531502E-2</v>
      </c>
      <c r="AE34" s="360">
        <f t="shared" si="14"/>
        <v>0.63444464999999983</v>
      </c>
      <c r="AF34" s="360">
        <f t="shared" si="15"/>
        <v>0</v>
      </c>
      <c r="AG34" s="360">
        <f t="shared" si="16"/>
        <v>0.73512702336774982</v>
      </c>
      <c r="AH34" s="360">
        <f t="shared" si="17"/>
        <v>1.11025952914352</v>
      </c>
      <c r="AI34" s="360">
        <f t="shared" si="18"/>
        <v>3.0816905551349768E-3</v>
      </c>
      <c r="AJ34" s="360">
        <f t="shared" si="19"/>
        <v>5.1449999999999996E-2</v>
      </c>
      <c r="AK34" s="360">
        <f t="shared" si="20"/>
        <v>5.4557246094735626E-2</v>
      </c>
      <c r="AL34" s="360">
        <f t="shared" si="21"/>
        <v>5.1449999999999996E-2</v>
      </c>
      <c r="AM34" s="360">
        <f t="shared" si="22"/>
        <v>0.66149999999999998</v>
      </c>
      <c r="AN34" s="360">
        <f t="shared" si="23"/>
        <v>1.6194434246188546E-2</v>
      </c>
      <c r="AO34" s="360">
        <f t="shared" si="24"/>
        <v>7.3499999999999998E-4</v>
      </c>
      <c r="AP34" s="360">
        <f t="shared" si="25"/>
        <v>0.34650000000000003</v>
      </c>
      <c r="AQ34" s="360">
        <f t="shared" si="26"/>
        <v>1.3167</v>
      </c>
      <c r="AR34" s="360">
        <f t="shared" si="27"/>
        <v>1.1088</v>
      </c>
      <c r="AS34" s="360">
        <f t="shared" si="28"/>
        <v>0.34723500000000002</v>
      </c>
      <c r="AT34" s="360">
        <f t="shared" si="29"/>
        <v>2.1687110974274963</v>
      </c>
      <c r="AU34">
        <f t="shared" si="30"/>
        <v>6.25</v>
      </c>
      <c r="AV34" s="542">
        <f t="shared" si="47"/>
        <v>0.74239392796241821</v>
      </c>
      <c r="AW34" s="551">
        <f t="shared" si="31"/>
        <v>58.585851168387492</v>
      </c>
      <c r="AX34" s="551">
        <f t="shared" si="32"/>
        <v>10.368385351599954</v>
      </c>
      <c r="AY34" s="9"/>
      <c r="AZ34" s="4">
        <f t="shared" si="48"/>
        <v>74.239392796241816</v>
      </c>
      <c r="BA34" s="360">
        <f t="shared" si="33"/>
        <v>0.30223911021032229</v>
      </c>
      <c r="BB34" s="360">
        <f t="shared" si="34"/>
        <v>1.4511842694624855</v>
      </c>
      <c r="BC34" s="360">
        <f t="shared" si="35"/>
        <v>1.1717170233677499</v>
      </c>
      <c r="BD34" s="360">
        <f t="shared" si="36"/>
        <v>0.27285224609473563</v>
      </c>
      <c r="BE34" s="360">
        <f t="shared" si="37"/>
        <v>1.6194434246188546E-2</v>
      </c>
    </row>
    <row r="35" spans="1:57" x14ac:dyDescent="0.2">
      <c r="A35" s="22" t="s">
        <v>128</v>
      </c>
      <c r="B35" s="5">
        <f>Iq*1000</f>
        <v>3.4999999999999996E-2</v>
      </c>
      <c r="C35" s="440" t="s">
        <v>64</v>
      </c>
      <c r="D35" s="21" t="s">
        <v>131</v>
      </c>
      <c r="G35">
        <v>26</v>
      </c>
      <c r="H35" s="548">
        <f t="shared" si="0"/>
        <v>21</v>
      </c>
      <c r="I35" s="4">
        <f t="shared" si="1"/>
        <v>1</v>
      </c>
      <c r="J35" s="360">
        <f t="shared" si="38"/>
        <v>1.3</v>
      </c>
      <c r="K35" s="360">
        <f t="shared" si="2"/>
        <v>1.3</v>
      </c>
      <c r="L35" s="4">
        <f t="shared" si="3"/>
        <v>0.3439153439153439</v>
      </c>
      <c r="M35" s="360">
        <f t="shared" si="4"/>
        <v>0.2388565077385528</v>
      </c>
      <c r="N35" s="4">
        <f t="shared" si="5"/>
        <v>0.82671468612238164</v>
      </c>
      <c r="O35" s="4">
        <f t="shared" si="39"/>
        <v>1.7133573430611908</v>
      </c>
      <c r="P35" s="4">
        <f t="shared" si="40"/>
        <v>0.88664265693880928</v>
      </c>
      <c r="Q35" s="4">
        <f t="shared" si="6"/>
        <v>0</v>
      </c>
      <c r="R35" s="4">
        <f t="shared" si="41"/>
        <v>1.3217241634903263</v>
      </c>
      <c r="S35" s="360">
        <f t="shared" si="7"/>
        <v>2.3583889318781739E-3</v>
      </c>
      <c r="T35" s="360">
        <f t="shared" si="8"/>
        <v>0.3</v>
      </c>
      <c r="U35" s="360">
        <f t="shared" si="9"/>
        <v>0.30241544599113052</v>
      </c>
      <c r="V35" s="4">
        <f t="shared" si="42"/>
        <v>0.23865197328788701</v>
      </c>
      <c r="W35" s="360">
        <f t="shared" si="10"/>
        <v>1.1390952870840466E-4</v>
      </c>
      <c r="X35" s="360">
        <f t="shared" si="43"/>
        <v>1.1390952870840466E-4</v>
      </c>
      <c r="Y35" s="4">
        <f t="shared" si="44"/>
        <v>0.56356321520523478</v>
      </c>
      <c r="Z35" s="360">
        <f t="shared" si="11"/>
        <v>3.1760349753246175E-4</v>
      </c>
      <c r="AA35" s="541">
        <f t="shared" si="45"/>
        <v>3.1760349753246175E-4</v>
      </c>
      <c r="AB35" s="360">
        <f t="shared" si="46"/>
        <v>0.6459655673415351</v>
      </c>
      <c r="AC35" s="360">
        <f t="shared" si="12"/>
        <v>2.5036290851452279E-3</v>
      </c>
      <c r="AD35" s="360">
        <f t="shared" si="13"/>
        <v>0.10194140582655277</v>
      </c>
      <c r="AE35" s="360">
        <f t="shared" si="14"/>
        <v>0.63444464999999983</v>
      </c>
      <c r="AF35" s="360">
        <f t="shared" si="15"/>
        <v>0</v>
      </c>
      <c r="AG35" s="360">
        <f t="shared" si="16"/>
        <v>0.73925985140478934</v>
      </c>
      <c r="AH35" s="360">
        <f t="shared" si="17"/>
        <v>1.1531189228190348</v>
      </c>
      <c r="AI35" s="360">
        <f t="shared" si="18"/>
        <v>3.3242081254083278E-3</v>
      </c>
      <c r="AJ35" s="360">
        <f t="shared" si="19"/>
        <v>5.3507999999999993E-2</v>
      </c>
      <c r="AK35" s="360">
        <f t="shared" si="20"/>
        <v>5.6860938799814374E-2</v>
      </c>
      <c r="AL35" s="360">
        <f t="shared" si="21"/>
        <v>5.3507999999999993E-2</v>
      </c>
      <c r="AM35" s="360">
        <f t="shared" si="22"/>
        <v>0.68796000000000013</v>
      </c>
      <c r="AN35" s="360">
        <f t="shared" si="23"/>
        <v>1.7469547643542027E-2</v>
      </c>
      <c r="AO35" s="360">
        <f t="shared" si="24"/>
        <v>7.3499999999999998E-4</v>
      </c>
      <c r="AP35" s="360">
        <f t="shared" si="25"/>
        <v>0.34650000000000003</v>
      </c>
      <c r="AQ35" s="360">
        <f t="shared" si="26"/>
        <v>1.3167</v>
      </c>
      <c r="AR35" s="360">
        <f t="shared" si="27"/>
        <v>1.1088</v>
      </c>
      <c r="AS35" s="360">
        <f t="shared" si="28"/>
        <v>0.34723500000000002</v>
      </c>
      <c r="AT35" s="360">
        <f t="shared" si="29"/>
        <v>2.2051402968655172</v>
      </c>
      <c r="AU35">
        <f t="shared" si="30"/>
        <v>6.5</v>
      </c>
      <c r="AV35" s="542">
        <f t="shared" si="47"/>
        <v>0.7466852662145459</v>
      </c>
      <c r="AW35" s="551">
        <f t="shared" si="31"/>
        <v>59.665672570239472</v>
      </c>
      <c r="AX35" s="551">
        <f t="shared" si="32"/>
        <v>10.787734074392949</v>
      </c>
      <c r="AY35" s="9"/>
      <c r="AZ35" s="4">
        <f t="shared" si="48"/>
        <v>74.668526621454589</v>
      </c>
      <c r="BA35" s="360">
        <f t="shared" si="33"/>
        <v>0.30241544599113052</v>
      </c>
      <c r="BB35" s="360">
        <f t="shared" si="34"/>
        <v>1.4840807902046038</v>
      </c>
      <c r="BC35" s="360">
        <f t="shared" si="35"/>
        <v>1.1933134514047894</v>
      </c>
      <c r="BD35" s="360">
        <f t="shared" si="36"/>
        <v>0.28388773879981444</v>
      </c>
      <c r="BE35" s="360">
        <f t="shared" si="37"/>
        <v>1.7469547643542027E-2</v>
      </c>
    </row>
    <row r="36" spans="1:57" x14ac:dyDescent="0.2">
      <c r="A36" s="24" t="s">
        <v>525</v>
      </c>
      <c r="B36" s="15" t="s">
        <v>111</v>
      </c>
      <c r="C36" s="24" t="s">
        <v>76</v>
      </c>
      <c r="D36" s="17" t="s">
        <v>107</v>
      </c>
      <c r="G36">
        <v>27</v>
      </c>
      <c r="H36" s="548">
        <f t="shared" si="0"/>
        <v>21</v>
      </c>
      <c r="I36" s="4">
        <f t="shared" si="1"/>
        <v>1</v>
      </c>
      <c r="J36" s="360">
        <f t="shared" si="38"/>
        <v>1.35</v>
      </c>
      <c r="K36" s="360">
        <f t="shared" si="2"/>
        <v>1.35</v>
      </c>
      <c r="L36" s="4">
        <f t="shared" si="3"/>
        <v>0.3571428571428571</v>
      </c>
      <c r="M36" s="360">
        <f t="shared" si="4"/>
        <v>0.2388857751106383</v>
      </c>
      <c r="N36" s="4">
        <f t="shared" si="5"/>
        <v>0.8267969821789346</v>
      </c>
      <c r="O36" s="4">
        <f t="shared" si="39"/>
        <v>1.7633984910894673</v>
      </c>
      <c r="P36" s="4">
        <f t="shared" si="40"/>
        <v>0.93660150891053284</v>
      </c>
      <c r="Q36" s="4">
        <f t="shared" si="6"/>
        <v>0</v>
      </c>
      <c r="R36" s="4">
        <f t="shared" si="41"/>
        <v>1.3709362144698842</v>
      </c>
      <c r="S36" s="360">
        <f t="shared" si="7"/>
        <v>2.5372792405957724E-3</v>
      </c>
      <c r="T36" s="360">
        <f t="shared" si="8"/>
        <v>0.3</v>
      </c>
      <c r="U36" s="360">
        <f t="shared" si="9"/>
        <v>0.30259870143286588</v>
      </c>
      <c r="V36" s="4">
        <f t="shared" si="42"/>
        <v>0.23867573011308907</v>
      </c>
      <c r="W36" s="360">
        <f t="shared" si="10"/>
        <v>1.1393220829003227E-4</v>
      </c>
      <c r="X36" s="360">
        <f t="shared" si="43"/>
        <v>1.1393220829003227E-4</v>
      </c>
      <c r="Y36" s="4">
        <f t="shared" si="44"/>
        <v>0.58457106251516711</v>
      </c>
      <c r="Z36" s="360">
        <f t="shared" si="11"/>
        <v>3.4172332713011141E-4</v>
      </c>
      <c r="AA36" s="541">
        <f t="shared" si="45"/>
        <v>3.4172332713011141E-4</v>
      </c>
      <c r="AB36" s="360">
        <f t="shared" si="46"/>
        <v>0.67005799531298327</v>
      </c>
      <c r="AC36" s="360">
        <f t="shared" si="12"/>
        <v>2.6938663024971233E-3</v>
      </c>
      <c r="AD36" s="360">
        <f t="shared" si="13"/>
        <v>0.10586222912757402</v>
      </c>
      <c r="AE36" s="360">
        <f t="shared" si="14"/>
        <v>0.63444464999999983</v>
      </c>
      <c r="AF36" s="360">
        <f t="shared" si="15"/>
        <v>0</v>
      </c>
      <c r="AG36" s="360">
        <f t="shared" si="16"/>
        <v>0.74340127015625246</v>
      </c>
      <c r="AH36" s="360">
        <f t="shared" si="17"/>
        <v>1.1960302617668845</v>
      </c>
      <c r="AI36" s="360">
        <f t="shared" si="18"/>
        <v>3.5762209676554056E-3</v>
      </c>
      <c r="AJ36" s="360">
        <f t="shared" si="19"/>
        <v>5.5565999999999997E-2</v>
      </c>
      <c r="AK36" s="360">
        <f t="shared" si="20"/>
        <v>5.9174387311722559E-2</v>
      </c>
      <c r="AL36" s="360">
        <f t="shared" si="21"/>
        <v>5.5565999999999997E-2</v>
      </c>
      <c r="AM36" s="360">
        <f t="shared" si="22"/>
        <v>0.71442000000000005</v>
      </c>
      <c r="AN36" s="360">
        <f t="shared" si="23"/>
        <v>1.8794661041450163E-2</v>
      </c>
      <c r="AO36" s="360">
        <f t="shared" si="24"/>
        <v>7.3499999999999998E-4</v>
      </c>
      <c r="AP36" s="360">
        <f t="shared" si="25"/>
        <v>0.34650000000000003</v>
      </c>
      <c r="AQ36" s="360">
        <f t="shared" si="26"/>
        <v>1.3167</v>
      </c>
      <c r="AR36" s="360">
        <f t="shared" si="27"/>
        <v>1.1088</v>
      </c>
      <c r="AS36" s="360">
        <f t="shared" si="28"/>
        <v>0.34723500000000002</v>
      </c>
      <c r="AT36" s="360">
        <f t="shared" si="29"/>
        <v>2.2416456754777112</v>
      </c>
      <c r="AU36">
        <f t="shared" si="30"/>
        <v>6.75</v>
      </c>
      <c r="AV36" s="542">
        <f t="shared" si="47"/>
        <v>0.75069684055820896</v>
      </c>
      <c r="AW36" s="551">
        <f t="shared" si="31"/>
        <v>60.745923507812627</v>
      </c>
      <c r="AX36" s="551">
        <f t="shared" si="32"/>
        <v>11.207453517845458</v>
      </c>
      <c r="AY36" s="9"/>
      <c r="AZ36" s="4">
        <f t="shared" si="48"/>
        <v>75.0696840558209</v>
      </c>
      <c r="BA36" s="360">
        <f t="shared" si="33"/>
        <v>0.30259870143286588</v>
      </c>
      <c r="BB36" s="360">
        <f t="shared" si="34"/>
        <v>1.516995657467975</v>
      </c>
      <c r="BC36" s="360">
        <f t="shared" si="35"/>
        <v>1.2149184701562525</v>
      </c>
      <c r="BD36" s="360">
        <f t="shared" si="36"/>
        <v>0.29493298731172257</v>
      </c>
      <c r="BE36" s="360">
        <f t="shared" si="37"/>
        <v>1.8794661041450163E-2</v>
      </c>
    </row>
    <row r="37" spans="1:57" x14ac:dyDescent="0.2">
      <c r="A37" s="23" t="s">
        <v>71</v>
      </c>
      <c r="B37" s="5">
        <f>Rdson1*1000</f>
        <v>6</v>
      </c>
      <c r="C37" s="442" t="s">
        <v>466</v>
      </c>
      <c r="D37" s="440" t="s">
        <v>528</v>
      </c>
      <c r="G37">
        <v>28</v>
      </c>
      <c r="H37" s="548">
        <f t="shared" si="0"/>
        <v>21</v>
      </c>
      <c r="I37" s="4">
        <f t="shared" si="1"/>
        <v>1</v>
      </c>
      <c r="J37" s="360">
        <f t="shared" si="38"/>
        <v>1.4</v>
      </c>
      <c r="K37" s="360">
        <f t="shared" si="2"/>
        <v>1.4</v>
      </c>
      <c r="L37" s="4">
        <f t="shared" si="3"/>
        <v>0.37037037037037035</v>
      </c>
      <c r="M37" s="360">
        <f t="shared" si="4"/>
        <v>0.23891504157722127</v>
      </c>
      <c r="N37" s="4">
        <f t="shared" si="5"/>
        <v>0.82687927044539178</v>
      </c>
      <c r="O37" s="4">
        <f t="shared" si="39"/>
        <v>1.8134396352226958</v>
      </c>
      <c r="P37" s="4">
        <f t="shared" si="40"/>
        <v>0.98656036477730402</v>
      </c>
      <c r="Q37" s="4">
        <f t="shared" si="6"/>
        <v>0</v>
      </c>
      <c r="R37" s="4">
        <f t="shared" si="41"/>
        <v>1.4202033107942769</v>
      </c>
      <c r="S37" s="360">
        <f t="shared" si="7"/>
        <v>2.7229195493878844E-3</v>
      </c>
      <c r="T37" s="360">
        <f t="shared" si="8"/>
        <v>0.3</v>
      </c>
      <c r="U37" s="360">
        <f t="shared" si="9"/>
        <v>0.30278887712961772</v>
      </c>
      <c r="V37" s="4">
        <f t="shared" si="42"/>
        <v>0.23869948468948415</v>
      </c>
      <c r="W37" s="360">
        <f t="shared" si="10"/>
        <v>1.1395488798205056E-4</v>
      </c>
      <c r="X37" s="360">
        <f t="shared" si="43"/>
        <v>1.1395488798205056E-4</v>
      </c>
      <c r="Y37" s="4">
        <f t="shared" si="44"/>
        <v>0.60560414171563448</v>
      </c>
      <c r="Z37" s="360">
        <f t="shared" si="11"/>
        <v>3.6675637646313029E-4</v>
      </c>
      <c r="AA37" s="541">
        <f t="shared" si="45"/>
        <v>3.6675637646313029E-4</v>
      </c>
      <c r="AB37" s="360">
        <f t="shared" si="46"/>
        <v>0.69418027189731724</v>
      </c>
      <c r="AC37" s="360">
        <f t="shared" si="12"/>
        <v>2.8913174993485998E-3</v>
      </c>
      <c r="AD37" s="360">
        <f t="shared" si="13"/>
        <v>0.10978305242859529</v>
      </c>
      <c r="AE37" s="360">
        <f t="shared" si="14"/>
        <v>0.63444464999999983</v>
      </c>
      <c r="AF37" s="360">
        <f t="shared" si="15"/>
        <v>0</v>
      </c>
      <c r="AG37" s="360">
        <f t="shared" si="16"/>
        <v>0.74755130155991589</v>
      </c>
      <c r="AH37" s="360">
        <f t="shared" si="17"/>
        <v>1.2389879717332175</v>
      </c>
      <c r="AI37" s="360">
        <f t="shared" si="18"/>
        <v>3.8377279852489805E-3</v>
      </c>
      <c r="AJ37" s="360">
        <f t="shared" si="19"/>
        <v>5.7623999999999988E-2</v>
      </c>
      <c r="AK37" s="360">
        <f t="shared" si="20"/>
        <v>6.1497601667424573E-2</v>
      </c>
      <c r="AL37" s="360">
        <f t="shared" si="21"/>
        <v>5.7623999999999988E-2</v>
      </c>
      <c r="AM37" s="360">
        <f t="shared" si="22"/>
        <v>0.74087999999999998</v>
      </c>
      <c r="AN37" s="360">
        <f t="shared" si="23"/>
        <v>2.0169774439910255E-2</v>
      </c>
      <c r="AO37" s="360">
        <f t="shared" si="24"/>
        <v>7.3499999999999998E-4</v>
      </c>
      <c r="AP37" s="360">
        <f t="shared" si="25"/>
        <v>0.34650000000000003</v>
      </c>
      <c r="AQ37" s="360">
        <f t="shared" si="26"/>
        <v>1.3167</v>
      </c>
      <c r="AR37" s="360">
        <f t="shared" si="27"/>
        <v>1.1088</v>
      </c>
      <c r="AS37" s="360">
        <f t="shared" si="28"/>
        <v>0.34723500000000002</v>
      </c>
      <c r="AT37" s="360">
        <f t="shared" si="29"/>
        <v>2.2782272660613132</v>
      </c>
      <c r="AU37">
        <f t="shared" si="30"/>
        <v>7</v>
      </c>
      <c r="AV37" s="542">
        <f t="shared" si="47"/>
        <v>0.7544544662755992</v>
      </c>
      <c r="AW37" s="551">
        <f t="shared" si="31"/>
        <v>61.826605077995801</v>
      </c>
      <c r="AX37" s="551">
        <f t="shared" si="32"/>
        <v>11.627544063362134</v>
      </c>
      <c r="AY37" s="9"/>
      <c r="AZ37" s="4">
        <f t="shared" si="48"/>
        <v>75.445446627559917</v>
      </c>
      <c r="BA37" s="360">
        <f t="shared" si="33"/>
        <v>0.30278887712961772</v>
      </c>
      <c r="BB37" s="360">
        <f t="shared" si="34"/>
        <v>1.5499289032273404</v>
      </c>
      <c r="BC37" s="360">
        <f t="shared" si="35"/>
        <v>1.236532101559916</v>
      </c>
      <c r="BD37" s="360">
        <f t="shared" si="36"/>
        <v>0.30598800166742457</v>
      </c>
      <c r="BE37" s="360">
        <f t="shared" si="37"/>
        <v>2.0169774439910255E-2</v>
      </c>
    </row>
    <row r="38" spans="1:57" x14ac:dyDescent="0.2">
      <c r="A38" s="22" t="s">
        <v>79</v>
      </c>
      <c r="B38" s="5">
        <f>RdsonTopTc*1000000</f>
        <v>4000</v>
      </c>
      <c r="C38" s="440" t="s">
        <v>81</v>
      </c>
      <c r="D38" s="21" t="s">
        <v>109</v>
      </c>
      <c r="G38">
        <v>29</v>
      </c>
      <c r="H38" s="548">
        <f t="shared" si="0"/>
        <v>21</v>
      </c>
      <c r="I38" s="4">
        <f t="shared" si="1"/>
        <v>1</v>
      </c>
      <c r="J38" s="360">
        <f t="shared" si="38"/>
        <v>1.45</v>
      </c>
      <c r="K38" s="360">
        <f t="shared" si="2"/>
        <v>1.45</v>
      </c>
      <c r="L38" s="4">
        <f t="shared" si="3"/>
        <v>0.38359788359788355</v>
      </c>
      <c r="M38" s="360">
        <f t="shared" si="4"/>
        <v>0.23894430713834386</v>
      </c>
      <c r="N38" s="4">
        <f t="shared" si="5"/>
        <v>0.82696155092211576</v>
      </c>
      <c r="O38" s="4">
        <f t="shared" si="39"/>
        <v>1.8634807754610578</v>
      </c>
      <c r="P38" s="4">
        <f t="shared" si="40"/>
        <v>1.0365192245389421</v>
      </c>
      <c r="Q38" s="4">
        <f t="shared" si="6"/>
        <v>0</v>
      </c>
      <c r="R38" s="4">
        <f t="shared" si="41"/>
        <v>1.4695199161263379</v>
      </c>
      <c r="S38" s="360">
        <f t="shared" si="7"/>
        <v>2.9153098582541453E-3</v>
      </c>
      <c r="T38" s="360">
        <f t="shared" si="8"/>
        <v>0.3</v>
      </c>
      <c r="U38" s="360">
        <f t="shared" si="9"/>
        <v>0.30298597369793689</v>
      </c>
      <c r="V38" s="4">
        <f t="shared" si="42"/>
        <v>0.23872323701717699</v>
      </c>
      <c r="W38" s="360">
        <f t="shared" si="10"/>
        <v>1.1397756778391852E-4</v>
      </c>
      <c r="X38" s="360">
        <f t="shared" si="43"/>
        <v>1.1397756778391852E-4</v>
      </c>
      <c r="Y38" s="4">
        <f t="shared" si="44"/>
        <v>0.62666009436850523</v>
      </c>
      <c r="Z38" s="360">
        <f t="shared" si="11"/>
        <v>3.9270287387394389E-4</v>
      </c>
      <c r="AA38" s="541">
        <f t="shared" si="45"/>
        <v>3.9270287387394389E-4</v>
      </c>
      <c r="AB38" s="360">
        <f t="shared" si="46"/>
        <v>0.71832969536285285</v>
      </c>
      <c r="AC38" s="360">
        <f t="shared" si="12"/>
        <v>3.0959853074405339E-3</v>
      </c>
      <c r="AD38" s="360">
        <f t="shared" si="13"/>
        <v>0.11370387572961654</v>
      </c>
      <c r="AE38" s="360">
        <f t="shared" si="14"/>
        <v>0.63444464999999983</v>
      </c>
      <c r="AF38" s="360">
        <f t="shared" si="15"/>
        <v>0</v>
      </c>
      <c r="AG38" s="360">
        <f t="shared" si="16"/>
        <v>0.75170996764011089</v>
      </c>
      <c r="AH38" s="360">
        <f t="shared" si="17"/>
        <v>1.2819872201593394</v>
      </c>
      <c r="AI38" s="360">
        <f t="shared" si="18"/>
        <v>4.1087280816296768E-3</v>
      </c>
      <c r="AJ38" s="360">
        <f t="shared" si="19"/>
        <v>5.9681999999999992E-2</v>
      </c>
      <c r="AK38" s="360">
        <f t="shared" si="20"/>
        <v>6.3830591988586788E-2</v>
      </c>
      <c r="AL38" s="360">
        <f t="shared" si="21"/>
        <v>5.9681999999999992E-2</v>
      </c>
      <c r="AM38" s="360">
        <f t="shared" si="22"/>
        <v>0.76733999999999991</v>
      </c>
      <c r="AN38" s="360">
        <f t="shared" si="23"/>
        <v>2.1594887838919594E-2</v>
      </c>
      <c r="AO38" s="360">
        <f t="shared" si="24"/>
        <v>7.3499999999999998E-4</v>
      </c>
      <c r="AP38" s="360">
        <f t="shared" si="25"/>
        <v>0.34650000000000003</v>
      </c>
      <c r="AQ38" s="360">
        <f t="shared" si="26"/>
        <v>1.3167</v>
      </c>
      <c r="AR38" s="360">
        <f t="shared" si="27"/>
        <v>1.1088</v>
      </c>
      <c r="AS38" s="360">
        <f t="shared" si="28"/>
        <v>0.34723500000000002</v>
      </c>
      <c r="AT38" s="360">
        <f t="shared" si="29"/>
        <v>2.3148851016072123</v>
      </c>
      <c r="AU38">
        <f t="shared" si="30"/>
        <v>7.25</v>
      </c>
      <c r="AV38" s="542">
        <f t="shared" si="47"/>
        <v>0.75798087723832297</v>
      </c>
      <c r="AW38" s="551">
        <f t="shared" si="31"/>
        <v>62.907718382005548</v>
      </c>
      <c r="AX38" s="551">
        <f t="shared" si="32"/>
        <v>12.048006095566299</v>
      </c>
      <c r="AY38" s="9"/>
      <c r="AZ38" s="4">
        <f t="shared" si="48"/>
        <v>75.798087723832296</v>
      </c>
      <c r="BA38" s="360">
        <f t="shared" si="33"/>
        <v>0.30298597369793689</v>
      </c>
      <c r="BB38" s="360">
        <f t="shared" si="34"/>
        <v>1.5828805596286974</v>
      </c>
      <c r="BC38" s="360">
        <f t="shared" si="35"/>
        <v>1.258154367640111</v>
      </c>
      <c r="BD38" s="360">
        <f t="shared" si="36"/>
        <v>0.31705279198858682</v>
      </c>
      <c r="BE38" s="360">
        <f t="shared" si="37"/>
        <v>2.1594887838919594E-2</v>
      </c>
    </row>
    <row r="39" spans="1:57" x14ac:dyDescent="0.2">
      <c r="A39" s="23" t="s">
        <v>70</v>
      </c>
      <c r="B39" s="5">
        <f>Qg_Q1*1000000000</f>
        <v>8</v>
      </c>
      <c r="C39" s="440" t="s">
        <v>65</v>
      </c>
      <c r="D39" s="21" t="s">
        <v>99</v>
      </c>
      <c r="G39">
        <v>30</v>
      </c>
      <c r="H39" s="548">
        <f t="shared" si="0"/>
        <v>21</v>
      </c>
      <c r="I39" s="4">
        <f t="shared" si="1"/>
        <v>1</v>
      </c>
      <c r="J39" s="360">
        <f t="shared" si="38"/>
        <v>1.5</v>
      </c>
      <c r="K39" s="360">
        <f t="shared" si="2"/>
        <v>1.5</v>
      </c>
      <c r="L39" s="4">
        <f t="shared" si="3"/>
        <v>0.3968253968253968</v>
      </c>
      <c r="M39" s="360">
        <f t="shared" si="4"/>
        <v>0.23897357179404802</v>
      </c>
      <c r="N39" s="4">
        <f t="shared" si="5"/>
        <v>0.82704382360946727</v>
      </c>
      <c r="O39" s="4">
        <f t="shared" si="39"/>
        <v>1.9135219118047337</v>
      </c>
      <c r="P39" s="4">
        <f t="shared" si="40"/>
        <v>1.0864780881952663</v>
      </c>
      <c r="Q39" s="4">
        <f t="shared" si="6"/>
        <v>0</v>
      </c>
      <c r="R39" s="4">
        <f t="shared" si="41"/>
        <v>1.5188812079446987</v>
      </c>
      <c r="S39" s="360">
        <f t="shared" si="7"/>
        <v>3.114450167194189E-3</v>
      </c>
      <c r="T39" s="360">
        <f t="shared" si="8"/>
        <v>0.3</v>
      </c>
      <c r="U39" s="360">
        <f t="shared" si="9"/>
        <v>0.30318999177684064</v>
      </c>
      <c r="V39" s="4">
        <f t="shared" si="42"/>
        <v>0.23874698709627165</v>
      </c>
      <c r="W39" s="360">
        <f t="shared" si="10"/>
        <v>1.1400024769509461E-4</v>
      </c>
      <c r="X39" s="360">
        <f t="shared" si="43"/>
        <v>1.1400024769509461E-4</v>
      </c>
      <c r="Y39" s="4">
        <f t="shared" si="44"/>
        <v>0.64773686604940484</v>
      </c>
      <c r="Z39" s="360">
        <f t="shared" si="11"/>
        <v>4.1956304763950467E-4</v>
      </c>
      <c r="AA39" s="541">
        <f t="shared" si="45"/>
        <v>4.1956304763950467E-4</v>
      </c>
      <c r="AB39" s="360">
        <f t="shared" si="46"/>
        <v>0.74250391226252777</v>
      </c>
      <c r="AC39" s="360">
        <f t="shared" si="12"/>
        <v>3.3078723583509573E-3</v>
      </c>
      <c r="AD39" s="360">
        <f t="shared" si="13"/>
        <v>0.11762469903063781</v>
      </c>
      <c r="AE39" s="360">
        <f t="shared" si="14"/>
        <v>0.63444464999999983</v>
      </c>
      <c r="AF39" s="360">
        <f t="shared" si="15"/>
        <v>0</v>
      </c>
      <c r="AG39" s="360">
        <f t="shared" si="16"/>
        <v>0.75587729050810393</v>
      </c>
      <c r="AH39" s="360">
        <f t="shared" si="17"/>
        <v>1.3250237975683259</v>
      </c>
      <c r="AI39" s="360">
        <f t="shared" si="18"/>
        <v>4.3892201603059691E-3</v>
      </c>
      <c r="AJ39" s="360">
        <f t="shared" si="19"/>
        <v>6.1739999999999989E-2</v>
      </c>
      <c r="AK39" s="360">
        <f t="shared" si="20"/>
        <v>6.6173368481724282E-2</v>
      </c>
      <c r="AL39" s="360">
        <f t="shared" si="21"/>
        <v>6.1739999999999989E-2</v>
      </c>
      <c r="AM39" s="360">
        <f t="shared" si="22"/>
        <v>0.79379999999999984</v>
      </c>
      <c r="AN39" s="360">
        <f t="shared" si="23"/>
        <v>2.3070001238475472E-2</v>
      </c>
      <c r="AO39" s="360">
        <f t="shared" si="24"/>
        <v>7.3499999999999998E-4</v>
      </c>
      <c r="AP39" s="360">
        <f t="shared" si="25"/>
        <v>0.34650000000000003</v>
      </c>
      <c r="AQ39" s="360">
        <f t="shared" si="26"/>
        <v>1.3167</v>
      </c>
      <c r="AR39" s="360">
        <f t="shared" si="27"/>
        <v>1.1088</v>
      </c>
      <c r="AS39" s="360">
        <f t="shared" si="28"/>
        <v>0.34723500000000002</v>
      </c>
      <c r="AT39" s="360">
        <f t="shared" si="29"/>
        <v>2.3516192153004791</v>
      </c>
      <c r="AU39">
        <f t="shared" si="30"/>
        <v>7.5</v>
      </c>
      <c r="AV39" s="542">
        <f t="shared" si="47"/>
        <v>0.76129617234411617</v>
      </c>
      <c r="AW39" s="551">
        <f t="shared" si="31"/>
        <v>63.98926452540519</v>
      </c>
      <c r="AX39" s="551">
        <f t="shared" si="32"/>
        <v>12.468840002305521</v>
      </c>
      <c r="AY39" s="9"/>
      <c r="AZ39" s="4">
        <f t="shared" si="48"/>
        <v>76.129617234411612</v>
      </c>
      <c r="BA39" s="360">
        <f t="shared" si="33"/>
        <v>0.30318999177684064</v>
      </c>
      <c r="BB39" s="360">
        <f t="shared" si="34"/>
        <v>1.615850658989828</v>
      </c>
      <c r="BC39" s="360">
        <f t="shared" si="35"/>
        <v>1.2797852905081037</v>
      </c>
      <c r="BD39" s="360">
        <f t="shared" si="36"/>
        <v>0.32812736848172425</v>
      </c>
      <c r="BE39" s="360">
        <f t="shared" si="37"/>
        <v>2.3070001238475472E-2</v>
      </c>
    </row>
    <row r="40" spans="1:57" x14ac:dyDescent="0.2">
      <c r="A40" s="23" t="s">
        <v>120</v>
      </c>
      <c r="B40" s="5">
        <f>Qgd_Q1*1000000000</f>
        <v>1.4</v>
      </c>
      <c r="C40" s="440" t="s">
        <v>65</v>
      </c>
      <c r="D40" s="21" t="s">
        <v>121</v>
      </c>
      <c r="G40">
        <v>31</v>
      </c>
      <c r="H40" s="548">
        <f t="shared" si="0"/>
        <v>21</v>
      </c>
      <c r="I40" s="4">
        <f t="shared" si="1"/>
        <v>1</v>
      </c>
      <c r="J40" s="360">
        <f t="shared" si="38"/>
        <v>1.55</v>
      </c>
      <c r="K40" s="360">
        <f t="shared" si="2"/>
        <v>1.55</v>
      </c>
      <c r="L40" s="4">
        <f t="shared" si="3"/>
        <v>0.41005291005291</v>
      </c>
      <c r="M40" s="360">
        <f t="shared" si="4"/>
        <v>0.23900283554437574</v>
      </c>
      <c r="N40" s="4">
        <f t="shared" si="5"/>
        <v>0.82712608850780789</v>
      </c>
      <c r="O40" s="4">
        <f t="shared" si="39"/>
        <v>1.963563044253904</v>
      </c>
      <c r="P40" s="4">
        <f t="shared" si="40"/>
        <v>1.136436955746096</v>
      </c>
      <c r="Q40" s="4">
        <f t="shared" si="6"/>
        <v>0</v>
      </c>
      <c r="R40" s="4">
        <f t="shared" si="41"/>
        <v>1.568282966768918</v>
      </c>
      <c r="S40" s="360">
        <f t="shared" si="7"/>
        <v>3.3203404762076508E-3</v>
      </c>
      <c r="T40" s="360">
        <f t="shared" si="8"/>
        <v>0.3</v>
      </c>
      <c r="U40" s="360">
        <f t="shared" si="9"/>
        <v>0.30340093202781815</v>
      </c>
      <c r="V40" s="4">
        <f t="shared" si="42"/>
        <v>0.23877073492687256</v>
      </c>
      <c r="W40" s="360">
        <f t="shared" si="10"/>
        <v>1.1402292771503768E-4</v>
      </c>
      <c r="X40" s="360">
        <f t="shared" si="43"/>
        <v>1.1402292771503768E-4</v>
      </c>
      <c r="Y40" s="4">
        <f t="shared" si="44"/>
        <v>0.66883265916916879</v>
      </c>
      <c r="Z40" s="360">
        <f t="shared" si="11"/>
        <v>4.4733712597130149E-4</v>
      </c>
      <c r="AA40" s="541">
        <f t="shared" si="45"/>
        <v>4.4733712597130149E-4</v>
      </c>
      <c r="AB40" s="360">
        <f t="shared" si="46"/>
        <v>0.76670086338535282</v>
      </c>
      <c r="AC40" s="360">
        <f t="shared" si="12"/>
        <v>3.5269812834950727E-3</v>
      </c>
      <c r="AD40" s="360">
        <f t="shared" si="13"/>
        <v>0.12154552233165909</v>
      </c>
      <c r="AE40" s="360">
        <f t="shared" si="14"/>
        <v>0.63444464999999983</v>
      </c>
      <c r="AF40" s="360">
        <f t="shared" si="15"/>
        <v>0</v>
      </c>
      <c r="AG40" s="360">
        <f t="shared" si="16"/>
        <v>0.76005329236247809</v>
      </c>
      <c r="AH40" s="360">
        <f t="shared" si="17"/>
        <v>1.3680940208705226</v>
      </c>
      <c r="AI40" s="360">
        <f t="shared" si="18"/>
        <v>4.6792031248541841E-3</v>
      </c>
      <c r="AJ40" s="360">
        <f t="shared" si="19"/>
        <v>6.3797999999999994E-2</v>
      </c>
      <c r="AK40" s="360">
        <f t="shared" si="20"/>
        <v>6.8525941438349586E-2</v>
      </c>
      <c r="AL40" s="360">
        <f t="shared" si="21"/>
        <v>6.3797999999999994E-2</v>
      </c>
      <c r="AM40" s="360">
        <f t="shared" si="22"/>
        <v>0.8202600000000001</v>
      </c>
      <c r="AN40" s="360">
        <f t="shared" si="23"/>
        <v>2.4595114638575191E-2</v>
      </c>
      <c r="AO40" s="360">
        <f t="shared" si="24"/>
        <v>7.3499999999999998E-4</v>
      </c>
      <c r="AP40" s="360">
        <f t="shared" si="25"/>
        <v>0.34650000000000003</v>
      </c>
      <c r="AQ40" s="360">
        <f t="shared" si="26"/>
        <v>1.3167</v>
      </c>
      <c r="AR40" s="360">
        <f t="shared" si="27"/>
        <v>1.1088</v>
      </c>
      <c r="AS40" s="360">
        <f t="shared" si="28"/>
        <v>0.34723500000000002</v>
      </c>
      <c r="AT40" s="360">
        <f t="shared" si="29"/>
        <v>2.3884296405209073</v>
      </c>
      <c r="AU40">
        <f t="shared" si="30"/>
        <v>7.75</v>
      </c>
      <c r="AV40" s="542">
        <f t="shared" si="47"/>
        <v>0.76441818652319504</v>
      </c>
      <c r="AW40" s="551">
        <f t="shared" si="31"/>
        <v>65.071244618123899</v>
      </c>
      <c r="AX40" s="551">
        <f t="shared" si="32"/>
        <v>12.890046174657286</v>
      </c>
      <c r="AY40" s="9"/>
      <c r="AZ40" s="4">
        <f t="shared" si="48"/>
        <v>76.441818652319498</v>
      </c>
      <c r="BA40" s="360">
        <f t="shared" si="33"/>
        <v>0.30340093202781815</v>
      </c>
      <c r="BB40" s="360">
        <f t="shared" si="34"/>
        <v>1.6488392338008278</v>
      </c>
      <c r="BC40" s="360">
        <f t="shared" si="35"/>
        <v>1.301424892362478</v>
      </c>
      <c r="BD40" s="360">
        <f t="shared" si="36"/>
        <v>0.33921174143834965</v>
      </c>
      <c r="BE40" s="360">
        <f t="shared" si="37"/>
        <v>2.4595114638575191E-2</v>
      </c>
    </row>
    <row r="41" spans="1:57" x14ac:dyDescent="0.2">
      <c r="A41" s="23" t="s">
        <v>124</v>
      </c>
      <c r="B41" s="5">
        <f>Qgs_Q1*1000000000</f>
        <v>3.8000000000000003</v>
      </c>
      <c r="C41" s="440" t="s">
        <v>65</v>
      </c>
      <c r="D41" s="21"/>
      <c r="G41">
        <v>32</v>
      </c>
      <c r="H41" s="548">
        <f t="shared" ref="H41:H72" si="49">Vin</f>
        <v>21</v>
      </c>
      <c r="I41" s="4">
        <f t="shared" ref="I41:I72" si="50">MODE</f>
        <v>1</v>
      </c>
      <c r="J41" s="360">
        <f t="shared" si="38"/>
        <v>1.6</v>
      </c>
      <c r="K41" s="360">
        <f t="shared" ref="K41:K72" si="51">Iout*G41/100/Number_of_Phases</f>
        <v>1.6</v>
      </c>
      <c r="L41" s="4">
        <f t="shared" ref="L41:L72" si="52">Vout*K41/(Vin*Efficiency)</f>
        <v>0.42328042328042326</v>
      </c>
      <c r="M41" s="360">
        <f t="shared" ref="M41:M72" si="53">(Vout+(Rdson2+Rs+Rdcr)*K41)/(Vin+(Rs+Rdson2-Rdson1)*K41)</f>
        <v>0.23903209838936909</v>
      </c>
      <c r="N41" s="4">
        <f t="shared" ref="N41:N72" si="54">(Vin-(Rdson1+Rdcr)*K41-Vout)*M41/(Fsw*Lf)</f>
        <v>0.82720834561749923</v>
      </c>
      <c r="O41" s="4">
        <f t="shared" si="39"/>
        <v>2.0136041728087495</v>
      </c>
      <c r="P41" s="4">
        <f t="shared" si="40"/>
        <v>1.1863958271912505</v>
      </c>
      <c r="Q41" s="4">
        <f t="shared" ref="Q41:Q72" si="55">IF(MIN(Vin, -P41/(Coss_Q1+Coss_Q2)*0.00000002)&lt;0, 0, MIN(Vin, -P41/(Coss_Q1+Coss_Q2)*0.00000002))</f>
        <v>0</v>
      </c>
      <c r="R41" s="4">
        <f t="shared" si="41"/>
        <v>1.617721485275387</v>
      </c>
      <c r="S41" s="360">
        <f t="shared" ref="S41:S72" si="56">R41^2*Rdcr</f>
        <v>3.5329807852941654E-3</v>
      </c>
      <c r="T41" s="360">
        <f t="shared" ref="T41:T72" si="57">Core_Loss_Ch1</f>
        <v>0.3</v>
      </c>
      <c r="U41" s="360">
        <f t="shared" ref="U41:U72" si="58">(T41+S41*(1+Ltc*(Ta-25)))/(1-S41*Ltc*ThetaCa)</f>
        <v>0.30361879513483542</v>
      </c>
      <c r="V41" s="4">
        <f t="shared" si="42"/>
        <v>0.23879448050908408</v>
      </c>
      <c r="W41" s="360">
        <f t="shared" si="10"/>
        <v>1.1404560784320669E-4</v>
      </c>
      <c r="X41" s="360">
        <f t="shared" si="43"/>
        <v>1.1404560784320669E-4</v>
      </c>
      <c r="Y41" s="4">
        <f t="shared" si="44"/>
        <v>0.68994589426662178</v>
      </c>
      <c r="Z41" s="360">
        <f t="shared" si="11"/>
        <v>4.7602533701536845E-4</v>
      </c>
      <c r="AA41" s="541">
        <f t="shared" si="45"/>
        <v>4.7602533701536845E-4</v>
      </c>
      <c r="AB41" s="360">
        <f t="shared" si="46"/>
        <v>0.79091873941272339</v>
      </c>
      <c r="AC41" s="360">
        <f t="shared" ref="AC41:AC72" si="59">Rdson1*AB41^2</f>
        <v>3.7533147141252687E-3</v>
      </c>
      <c r="AD41" s="360">
        <f t="shared" ref="AD41:AD72" si="60">(Vin*K41/2)*Fsw*(Tr_buck+Tf_buck)</f>
        <v>0.12546634563268033</v>
      </c>
      <c r="AE41" s="360">
        <f t="shared" ref="AE41:AE72" si="61">(0.5*Coss_Q1*(Vin-Q41)^2-0.5*Coss_Q2*(Vin-Q41)^2+(Qoss_Q2*(Vin-Q41)/Vin)*Vin)*Fsw</f>
        <v>0.63444464999999983</v>
      </c>
      <c r="AF41" s="360">
        <f t="shared" ref="AF41:AF72" si="62">IF(K41&gt;N41/2,0,ABS(K41-N41/2)*Vsd_Q1*Deadtime*Fsw)</f>
        <v>0</v>
      </c>
      <c r="AG41" s="360">
        <f t="shared" ref="AG41:AG72" si="63">(AF41+AE41+AD41+AC41*(1+RdsonTopTc*Ta-RdsonTopTc*25))/(1-AC41*RdsonTopTc*ThetaJA_Q1)</f>
        <v>0.76423799548951843</v>
      </c>
      <c r="AH41" s="360">
        <f t="shared" ref="AH41:AH72" si="64">SQRT((1-M41))*SQRT(K41^2+(N41^2)/12)</f>
        <v>1.4111946540316089</v>
      </c>
      <c r="AI41" s="360">
        <f t="shared" ref="AI41:AI72" si="65">Rdson2*AH41^2</f>
        <v>4.9786758789184806E-3</v>
      </c>
      <c r="AJ41" s="360">
        <f t="shared" ref="AJ41:AJ72" si="66">IF(K41&lt;N41/2,Deadtime*Fsw*IF(VfdSky_Q2&gt;0,0,Vsd_Q2)*(K41+N41/2),2*Deadtime*Fsw*IF(VfdSky_Q2&gt;0,0,Vsd_Q2)*K41)</f>
        <v>6.5855999999999998E-2</v>
      </c>
      <c r="AK41" s="360">
        <f t="shared" ref="AK41:AK72" si="67">(AJ41+AI41*(1+RdsonBotTc*Ta-RdsonBotTc*25))/(1-AI41*RdsonBotTc*ThetaJA_Q2)</f>
        <v>7.0888321235123092E-2</v>
      </c>
      <c r="AL41" s="360">
        <f t="shared" ref="AL41:AL72" si="68">2*Deadtime*Fsw*IF(VfdSky_Q2&gt;0,VfdSky_Q2,Vsd_Q2)*K41</f>
        <v>6.5855999999999998E-2</v>
      </c>
      <c r="AM41" s="360">
        <f t="shared" ref="AM41:AM72" si="69">IF(QrrSky_Q2&gt;0,QrrSky_Q2,Qrr_Q2*K41/(Iout/Number_of_Phases))*Fsw*Vin</f>
        <v>0.84672000000000003</v>
      </c>
      <c r="AN41" s="360">
        <f t="shared" ref="AN41:AN72" si="70">CHOOSE(SENSING_TYPE, Rs*R41^2, 0)</f>
        <v>2.617022803921604E-2</v>
      </c>
      <c r="AO41" s="360">
        <f t="shared" ref="AO41:AO72" si="71">Iq*Vin</f>
        <v>7.3499999999999998E-4</v>
      </c>
      <c r="AP41" s="360">
        <f t="shared" ref="AP41:AP72" si="72">IF(Ext_VCC=1,  (Qg_Q1+Qg_Q2)*Fsw*VCC, (Qg_Q1+Qg_Q2)*Fsw*Vin)</f>
        <v>0.34650000000000003</v>
      </c>
      <c r="AQ41" s="360">
        <f t="shared" si="26"/>
        <v>1.3167</v>
      </c>
      <c r="AR41" s="360">
        <f t="shared" ref="AR41:AR72" si="73">(Qg_Q1+Qg_Q2)*Fsw*(Vin-VCC)</f>
        <v>1.1088</v>
      </c>
      <c r="AS41" s="360">
        <f t="shared" ref="AS41:AS74" si="74">SUM(AO41:AP41)</f>
        <v>0.34723500000000002</v>
      </c>
      <c r="AT41" s="360">
        <f t="shared" ref="AT41:AT72" si="75" xml:space="preserve"> SUM(U41,X41,AA41,AG41,AK41,AL41,AM41,AS41,AN41)</f>
        <v>2.4253164108435512</v>
      </c>
      <c r="AU41">
        <f t="shared" ref="AU41:AU72" si="76">Vout*K41</f>
        <v>8</v>
      </c>
      <c r="AV41" s="542">
        <f t="shared" si="47"/>
        <v>0.76736280077591335</v>
      </c>
      <c r="AW41" s="551">
        <f t="shared" ref="AW41:AW72" si="77">ThetaJA_Q1*BC41</f>
        <v>66.153659774475926</v>
      </c>
      <c r="AX41" s="551">
        <f t="shared" ref="AX41:AX72" si="78">ThetaJA_Q2*BD41</f>
        <v>13.31162500693468</v>
      </c>
      <c r="AY41" s="9"/>
      <c r="AZ41" s="4">
        <f t="shared" si="48"/>
        <v>76.736280077591331</v>
      </c>
      <c r="BA41" s="360">
        <f t="shared" ref="BA41:BA72" si="79">U41</f>
        <v>0.30361879513483542</v>
      </c>
      <c r="BB41" s="360">
        <f t="shared" ref="BB41:BB73" si="80">AG41+AK41+AM41</f>
        <v>1.6818463167246416</v>
      </c>
      <c r="BC41" s="360">
        <f t="shared" ref="BC41:BC73" si="81">AG41+AM41*0.66</f>
        <v>1.3230731954895185</v>
      </c>
      <c r="BD41" s="360">
        <f t="shared" ref="BD41:BD73" si="82">AK41+AM41*0.33</f>
        <v>0.35030592123512316</v>
      </c>
      <c r="BE41" s="360">
        <f t="shared" ref="BE41:BE73" si="83">AN41</f>
        <v>2.617022803921604E-2</v>
      </c>
    </row>
    <row r="42" spans="1:57" x14ac:dyDescent="0.2">
      <c r="A42" s="23" t="s">
        <v>90</v>
      </c>
      <c r="B42" s="5">
        <f>Rgate1</f>
        <v>0.5</v>
      </c>
      <c r="C42" s="444" t="s">
        <v>116</v>
      </c>
      <c r="D42" s="21" t="s">
        <v>100</v>
      </c>
      <c r="G42">
        <v>33</v>
      </c>
      <c r="H42" s="548">
        <f t="shared" si="49"/>
        <v>21</v>
      </c>
      <c r="I42" s="4">
        <f t="shared" si="50"/>
        <v>1</v>
      </c>
      <c r="J42" s="360">
        <f t="shared" ref="J42:J73" si="84">Iout*G42/100</f>
        <v>1.65</v>
      </c>
      <c r="K42" s="360">
        <f t="shared" si="51"/>
        <v>1.65</v>
      </c>
      <c r="L42" s="4">
        <f t="shared" si="52"/>
        <v>0.43650793650793646</v>
      </c>
      <c r="M42" s="360">
        <f t="shared" si="53"/>
        <v>0.23906136032907002</v>
      </c>
      <c r="N42" s="4">
        <f t="shared" si="54"/>
        <v>0.82729059493890256</v>
      </c>
      <c r="O42" s="4">
        <f t="shared" si="39"/>
        <v>2.063645297469451</v>
      </c>
      <c r="P42" s="4">
        <f t="shared" si="40"/>
        <v>1.2363547025305486</v>
      </c>
      <c r="Q42" s="4">
        <f t="shared" si="55"/>
        <v>0</v>
      </c>
      <c r="R42" s="4">
        <f t="shared" si="41"/>
        <v>1.6671934932813077</v>
      </c>
      <c r="S42" s="360">
        <f t="shared" si="56"/>
        <v>3.7523710944533657E-3</v>
      </c>
      <c r="T42" s="360">
        <f t="shared" si="57"/>
        <v>0.3</v>
      </c>
      <c r="U42" s="360">
        <f t="shared" si="58"/>
        <v>0.30384358180434118</v>
      </c>
      <c r="V42" s="4">
        <f t="shared" si="42"/>
        <v>0.23881822384301055</v>
      </c>
      <c r="W42" s="360">
        <f t="shared" si="10"/>
        <v>1.1406828807906059E-4</v>
      </c>
      <c r="X42" s="360">
        <f t="shared" si="43"/>
        <v>1.1406828807906059E-4</v>
      </c>
      <c r="Y42" s="4">
        <f t="shared" si="44"/>
        <v>0.71107517805946063</v>
      </c>
      <c r="Z42" s="360">
        <f t="shared" si="11"/>
        <v>5.0562790885229369E-4</v>
      </c>
      <c r="AA42" s="541">
        <f t="shared" si="45"/>
        <v>5.0562790885229369E-4</v>
      </c>
      <c r="AB42" s="360">
        <f t="shared" si="46"/>
        <v>0.8151559443169063</v>
      </c>
      <c r="AC42" s="360">
        <f t="shared" si="59"/>
        <v>3.9868752813311233E-3</v>
      </c>
      <c r="AD42" s="360">
        <f t="shared" si="60"/>
        <v>0.12938716893370159</v>
      </c>
      <c r="AE42" s="360">
        <f t="shared" si="61"/>
        <v>0.63444464999999983</v>
      </c>
      <c r="AF42" s="360">
        <f t="shared" si="62"/>
        <v>0</v>
      </c>
      <c r="AG42" s="360">
        <f t="shared" si="63"/>
        <v>0.76843142226359673</v>
      </c>
      <c r="AH42" s="360">
        <f t="shared" si="64"/>
        <v>1.4543228425918169</v>
      </c>
      <c r="AI42" s="360">
        <f t="shared" si="65"/>
        <v>5.2876373262108565E-3</v>
      </c>
      <c r="AJ42" s="360">
        <f t="shared" si="66"/>
        <v>6.7913999999999988E-2</v>
      </c>
      <c r="AK42" s="360">
        <f t="shared" si="67"/>
        <v>7.3260518334005473E-2</v>
      </c>
      <c r="AL42" s="360">
        <f t="shared" si="68"/>
        <v>6.7913999999999988E-2</v>
      </c>
      <c r="AM42" s="360">
        <f t="shared" si="69"/>
        <v>0.87317999999999996</v>
      </c>
      <c r="AN42" s="360">
        <f t="shared" si="70"/>
        <v>2.7795341440395301E-2</v>
      </c>
      <c r="AO42" s="360">
        <f t="shared" si="71"/>
        <v>7.3499999999999998E-4</v>
      </c>
      <c r="AP42" s="360">
        <f t="shared" si="72"/>
        <v>0.34650000000000003</v>
      </c>
      <c r="AQ42" s="360">
        <f t="shared" si="26"/>
        <v>1.3167</v>
      </c>
      <c r="AR42" s="360">
        <f t="shared" si="73"/>
        <v>1.1088</v>
      </c>
      <c r="AS42" s="360">
        <f t="shared" si="74"/>
        <v>0.34723500000000002</v>
      </c>
      <c r="AT42" s="360">
        <f t="shared" si="75"/>
        <v>2.4622795600392697</v>
      </c>
      <c r="AU42">
        <f t="shared" si="76"/>
        <v>8.25</v>
      </c>
      <c r="AV42" s="542">
        <f t="shared" si="47"/>
        <v>0.77014420261916283</v>
      </c>
      <c r="AW42" s="551">
        <f t="shared" si="77"/>
        <v>67.23651111317983</v>
      </c>
      <c r="AX42" s="551">
        <f t="shared" si="78"/>
        <v>13.733576896692208</v>
      </c>
      <c r="AY42" s="9"/>
      <c r="AZ42" s="4">
        <f t="shared" si="48"/>
        <v>77.014420261916285</v>
      </c>
      <c r="BA42" s="360">
        <f t="shared" si="79"/>
        <v>0.30384358180434118</v>
      </c>
      <c r="BB42" s="360">
        <f t="shared" si="80"/>
        <v>1.7148719405976021</v>
      </c>
      <c r="BC42" s="360">
        <f t="shared" si="81"/>
        <v>1.3447302222635966</v>
      </c>
      <c r="BD42" s="360">
        <f t="shared" si="82"/>
        <v>0.36140991833400549</v>
      </c>
      <c r="BE42" s="360">
        <f t="shared" si="83"/>
        <v>2.7795341440395301E-2</v>
      </c>
    </row>
    <row r="43" spans="1:57" x14ac:dyDescent="0.2">
      <c r="A43" s="23" t="s">
        <v>69</v>
      </c>
      <c r="B43" s="5">
        <f>Gfs_Q1</f>
        <v>64</v>
      </c>
      <c r="C43" s="440" t="s">
        <v>66</v>
      </c>
      <c r="D43" s="21" t="s">
        <v>101</v>
      </c>
      <c r="G43">
        <v>34</v>
      </c>
      <c r="H43" s="548">
        <f t="shared" si="49"/>
        <v>21</v>
      </c>
      <c r="I43" s="4">
        <f t="shared" si="50"/>
        <v>1</v>
      </c>
      <c r="J43" s="360">
        <f t="shared" si="84"/>
        <v>1.7</v>
      </c>
      <c r="K43" s="360">
        <f t="shared" si="51"/>
        <v>1.7</v>
      </c>
      <c r="L43" s="4">
        <f t="shared" si="52"/>
        <v>0.44973544973544971</v>
      </c>
      <c r="M43" s="360">
        <f t="shared" si="53"/>
        <v>0.23909062136352063</v>
      </c>
      <c r="N43" s="4">
        <f t="shared" si="54"/>
        <v>0.82737283647237936</v>
      </c>
      <c r="O43" s="4">
        <f t="shared" si="39"/>
        <v>2.1136864182361896</v>
      </c>
      <c r="P43" s="4">
        <f t="shared" si="40"/>
        <v>1.2863135817638103</v>
      </c>
      <c r="Q43" s="4">
        <f t="shared" si="55"/>
        <v>0</v>
      </c>
      <c r="R43" s="4">
        <f t="shared" si="41"/>
        <v>1.7166960954726462</v>
      </c>
      <c r="S43" s="360">
        <f t="shared" si="56"/>
        <v>3.978511403684889E-3</v>
      </c>
      <c r="T43" s="360">
        <f t="shared" si="57"/>
        <v>0.3</v>
      </c>
      <c r="U43" s="360">
        <f t="shared" si="58"/>
        <v>0.30407529276527251</v>
      </c>
      <c r="V43" s="4">
        <f t="shared" si="42"/>
        <v>0.23884196492875623</v>
      </c>
      <c r="W43" s="360">
        <f t="shared" si="10"/>
        <v>1.1409096842205845E-4</v>
      </c>
      <c r="X43" s="360">
        <f t="shared" si="43"/>
        <v>1.1409096842205845E-4</v>
      </c>
      <c r="Y43" s="4">
        <f t="shared" si="44"/>
        <v>0.73221927692271882</v>
      </c>
      <c r="Z43" s="360">
        <f t="shared" si="11"/>
        <v>5.3614506949722918E-4</v>
      </c>
      <c r="AA43" s="541">
        <f t="shared" si="45"/>
        <v>5.3614506949722918E-4</v>
      </c>
      <c r="AB43" s="360">
        <f t="shared" si="46"/>
        <v>0.83941106497744744</v>
      </c>
      <c r="AC43" s="360">
        <f t="shared" si="59"/>
        <v>4.227665616039435E-3</v>
      </c>
      <c r="AD43" s="360">
        <f t="shared" si="60"/>
        <v>0.13330799223472281</v>
      </c>
      <c r="AE43" s="360">
        <f t="shared" si="61"/>
        <v>0.63444464999999983</v>
      </c>
      <c r="AF43" s="360">
        <f t="shared" si="62"/>
        <v>0</v>
      </c>
      <c r="AG43" s="360">
        <f t="shared" si="63"/>
        <v>0.77263359514756258</v>
      </c>
      <c r="AH43" s="360">
        <f t="shared" si="64"/>
        <v>1.497476059309282</v>
      </c>
      <c r="AI43" s="360">
        <f t="shared" si="65"/>
        <v>5.6060863705111406E-3</v>
      </c>
      <c r="AJ43" s="360">
        <f t="shared" si="66"/>
        <v>6.9971999999999993E-2</v>
      </c>
      <c r="AK43" s="360">
        <f t="shared" si="67"/>
        <v>7.5642543282411934E-2</v>
      </c>
      <c r="AL43" s="360">
        <f t="shared" si="68"/>
        <v>6.9971999999999993E-2</v>
      </c>
      <c r="AM43" s="360">
        <f t="shared" si="69"/>
        <v>0.89963999999999988</v>
      </c>
      <c r="AN43" s="360">
        <f t="shared" si="70"/>
        <v>2.9470454842110288E-2</v>
      </c>
      <c r="AO43" s="360">
        <f t="shared" si="71"/>
        <v>7.3499999999999998E-4</v>
      </c>
      <c r="AP43" s="360">
        <f t="shared" si="72"/>
        <v>0.34650000000000003</v>
      </c>
      <c r="AQ43" s="360">
        <f t="shared" si="26"/>
        <v>1.3167</v>
      </c>
      <c r="AR43" s="360">
        <f t="shared" si="73"/>
        <v>1.1088</v>
      </c>
      <c r="AS43" s="360">
        <f t="shared" si="74"/>
        <v>0.34723500000000002</v>
      </c>
      <c r="AT43" s="360">
        <f t="shared" si="75"/>
        <v>2.4993191220752764</v>
      </c>
      <c r="AU43">
        <f t="shared" si="76"/>
        <v>8.5</v>
      </c>
      <c r="AV43" s="542">
        <f t="shared" si="47"/>
        <v>0.77277510595549281</v>
      </c>
      <c r="AW43" s="551">
        <f t="shared" si="77"/>
        <v>68.319799757378121</v>
      </c>
      <c r="AX43" s="551">
        <f t="shared" si="78"/>
        <v>14.155902244731651</v>
      </c>
      <c r="AY43" s="9"/>
      <c r="AZ43" s="4">
        <f t="shared" si="48"/>
        <v>77.277510595549288</v>
      </c>
      <c r="BA43" s="360">
        <f t="shared" si="79"/>
        <v>0.30407529276527251</v>
      </c>
      <c r="BB43" s="360">
        <f t="shared" si="80"/>
        <v>1.7479161384299744</v>
      </c>
      <c r="BC43" s="360">
        <f t="shared" si="81"/>
        <v>1.3663959951475624</v>
      </c>
      <c r="BD43" s="360">
        <f t="shared" si="82"/>
        <v>0.37252374328241189</v>
      </c>
      <c r="BE43" s="360">
        <f t="shared" si="83"/>
        <v>2.9470454842110288E-2</v>
      </c>
    </row>
    <row r="44" spans="1:57" x14ac:dyDescent="0.2">
      <c r="A44" s="23" t="s">
        <v>92</v>
      </c>
      <c r="B44" s="5">
        <f>Vth_Q1</f>
        <v>2.9</v>
      </c>
      <c r="C44" s="440" t="s">
        <v>0</v>
      </c>
      <c r="D44" s="21" t="s">
        <v>102</v>
      </c>
      <c r="G44">
        <v>35</v>
      </c>
      <c r="H44" s="548">
        <f t="shared" si="49"/>
        <v>21</v>
      </c>
      <c r="I44" s="4">
        <f t="shared" si="50"/>
        <v>1</v>
      </c>
      <c r="J44" s="360">
        <f t="shared" si="84"/>
        <v>1.75</v>
      </c>
      <c r="K44" s="360">
        <f t="shared" si="51"/>
        <v>1.75</v>
      </c>
      <c r="L44" s="4">
        <f t="shared" si="52"/>
        <v>0.46296296296296291</v>
      </c>
      <c r="M44" s="360">
        <f t="shared" si="53"/>
        <v>0.23911988149276284</v>
      </c>
      <c r="N44" s="4">
        <f t="shared" si="54"/>
        <v>0.82745507021829101</v>
      </c>
      <c r="O44" s="4">
        <f t="shared" si="39"/>
        <v>2.1637275351091456</v>
      </c>
      <c r="P44" s="4">
        <f t="shared" si="40"/>
        <v>1.3362724648908544</v>
      </c>
      <c r="Q44" s="4">
        <f t="shared" si="55"/>
        <v>0</v>
      </c>
      <c r="R44" s="4">
        <f t="shared" si="41"/>
        <v>1.7662267194320862</v>
      </c>
      <c r="S44" s="360">
        <f t="shared" si="56"/>
        <v>4.2114017129883698E-3</v>
      </c>
      <c r="T44" s="360">
        <f t="shared" si="57"/>
        <v>0.3</v>
      </c>
      <c r="U44" s="360">
        <f t="shared" si="58"/>
        <v>0.30431392876906072</v>
      </c>
      <c r="V44" s="4">
        <f t="shared" si="42"/>
        <v>0.23886570376642552</v>
      </c>
      <c r="W44" s="360">
        <f t="shared" si="10"/>
        <v>1.1411364887165951E-4</v>
      </c>
      <c r="X44" s="360">
        <f t="shared" si="43"/>
        <v>1.1411364887165951E-4</v>
      </c>
      <c r="Y44" s="4">
        <f t="shared" si="44"/>
        <v>0.75337709475394776</v>
      </c>
      <c r="Z44" s="360">
        <f t="shared" si="11"/>
        <v>5.6757704689989878E-4</v>
      </c>
      <c r="AA44" s="541">
        <f t="shared" si="45"/>
        <v>5.6757704689989878E-4</v>
      </c>
      <c r="AB44" s="360">
        <f t="shared" si="46"/>
        <v>0.86368284582306887</v>
      </c>
      <c r="AC44" s="360">
        <f t="shared" si="59"/>
        <v>4.4756883490142101E-3</v>
      </c>
      <c r="AD44" s="360">
        <f t="shared" si="60"/>
        <v>0.13722881553574412</v>
      </c>
      <c r="AE44" s="360">
        <f t="shared" si="61"/>
        <v>0.63444464999999983</v>
      </c>
      <c r="AF44" s="360">
        <f t="shared" si="62"/>
        <v>0</v>
      </c>
      <c r="AG44" s="360">
        <f t="shared" si="63"/>
        <v>0.7768445366931328</v>
      </c>
      <c r="AH44" s="360">
        <f t="shared" si="64"/>
        <v>1.5406520587941959</v>
      </c>
      <c r="AI44" s="360">
        <f t="shared" si="65"/>
        <v>5.9340219156669861E-3</v>
      </c>
      <c r="AJ44" s="360">
        <f t="shared" si="66"/>
        <v>7.2029999999999997E-2</v>
      </c>
      <c r="AK44" s="360">
        <f t="shared" si="67"/>
        <v>7.8034406713368185E-2</v>
      </c>
      <c r="AL44" s="360">
        <f t="shared" si="68"/>
        <v>7.2029999999999997E-2</v>
      </c>
      <c r="AM44" s="360">
        <f t="shared" si="69"/>
        <v>0.92609999999999981</v>
      </c>
      <c r="AN44" s="360">
        <f t="shared" si="70"/>
        <v>3.1195568244358294E-2</v>
      </c>
      <c r="AO44" s="360">
        <f t="shared" si="71"/>
        <v>7.3499999999999998E-4</v>
      </c>
      <c r="AP44" s="360">
        <f t="shared" si="72"/>
        <v>0.34650000000000003</v>
      </c>
      <c r="AQ44" s="360">
        <f t="shared" si="26"/>
        <v>1.3167</v>
      </c>
      <c r="AR44" s="360">
        <f t="shared" si="73"/>
        <v>1.1088</v>
      </c>
      <c r="AS44" s="360">
        <f t="shared" si="74"/>
        <v>0.34723500000000002</v>
      </c>
      <c r="AT44" s="360">
        <f t="shared" si="75"/>
        <v>2.5364351311156912</v>
      </c>
      <c r="AU44">
        <f t="shared" si="76"/>
        <v>8.75</v>
      </c>
      <c r="AV44" s="542">
        <f t="shared" si="47"/>
        <v>0.77526693755382803</v>
      </c>
      <c r="AW44" s="551">
        <f t="shared" si="77"/>
        <v>69.403526834656631</v>
      </c>
      <c r="AX44" s="551">
        <f t="shared" si="78"/>
        <v>14.578601455107989</v>
      </c>
      <c r="AY44" s="9"/>
      <c r="AZ44" s="4">
        <f t="shared" si="48"/>
        <v>77.526693755382809</v>
      </c>
      <c r="BA44" s="360">
        <f t="shared" si="79"/>
        <v>0.30431392876906072</v>
      </c>
      <c r="BB44" s="360">
        <f t="shared" si="80"/>
        <v>1.7809789434065006</v>
      </c>
      <c r="BC44" s="360">
        <f t="shared" si="81"/>
        <v>1.3880705366931327</v>
      </c>
      <c r="BD44" s="360">
        <f t="shared" si="82"/>
        <v>0.38364740671336817</v>
      </c>
      <c r="BE44" s="360">
        <f t="shared" si="83"/>
        <v>3.1195568244358294E-2</v>
      </c>
    </row>
    <row r="45" spans="1:57" x14ac:dyDescent="0.2">
      <c r="A45" s="28" t="s">
        <v>123</v>
      </c>
      <c r="B45" s="447">
        <f>Vsp_Q1</f>
        <v>2.9781249999999999</v>
      </c>
      <c r="C45" s="445" t="s">
        <v>0</v>
      </c>
      <c r="G45">
        <v>36</v>
      </c>
      <c r="H45" s="548">
        <f t="shared" si="49"/>
        <v>21</v>
      </c>
      <c r="I45" s="4">
        <f t="shared" si="50"/>
        <v>1</v>
      </c>
      <c r="J45" s="360">
        <f t="shared" si="84"/>
        <v>1.8</v>
      </c>
      <c r="K45" s="360">
        <f t="shared" si="51"/>
        <v>1.8</v>
      </c>
      <c r="L45" s="4">
        <f t="shared" si="52"/>
        <v>0.47619047619047616</v>
      </c>
      <c r="M45" s="360">
        <f t="shared" si="53"/>
        <v>0.23914914071683871</v>
      </c>
      <c r="N45" s="4">
        <f t="shared" si="54"/>
        <v>0.827537296176999</v>
      </c>
      <c r="O45" s="4">
        <f t="shared" si="39"/>
        <v>2.2137686480884997</v>
      </c>
      <c r="P45" s="4">
        <f t="shared" si="40"/>
        <v>1.3862313519115006</v>
      </c>
      <c r="Q45" s="4">
        <f t="shared" si="55"/>
        <v>0</v>
      </c>
      <c r="R45" s="4">
        <f t="shared" si="41"/>
        <v>1.8157830720418289</v>
      </c>
      <c r="S45" s="360">
        <f t="shared" si="56"/>
        <v>4.4510420223634432E-3</v>
      </c>
      <c r="T45" s="360">
        <f t="shared" si="57"/>
        <v>0.3</v>
      </c>
      <c r="U45" s="360">
        <f t="shared" si="58"/>
        <v>0.30455949058963738</v>
      </c>
      <c r="V45" s="4">
        <f t="shared" si="42"/>
        <v>0.23888944035612272</v>
      </c>
      <c r="W45" s="360">
        <f t="shared" si="10"/>
        <v>1.1413632942732303E-4</v>
      </c>
      <c r="X45" s="360">
        <f t="shared" si="43"/>
        <v>1.1413632942732303E-4</v>
      </c>
      <c r="Y45" s="4">
        <f t="shared" si="44"/>
        <v>0.77454765440520723</v>
      </c>
      <c r="Z45" s="360">
        <f t="shared" si="11"/>
        <v>5.9992406894460843E-4</v>
      </c>
      <c r="AA45" s="541">
        <f t="shared" si="45"/>
        <v>5.9992406894460843E-4</v>
      </c>
      <c r="AB45" s="360">
        <f t="shared" si="46"/>
        <v>0.88797016755976477</v>
      </c>
      <c r="AC45" s="360">
        <f t="shared" si="59"/>
        <v>4.7309461108567003E-3</v>
      </c>
      <c r="AD45" s="360">
        <f t="shared" si="60"/>
        <v>0.1411496388367654</v>
      </c>
      <c r="AE45" s="360">
        <f t="shared" si="61"/>
        <v>0.63444464999999983</v>
      </c>
      <c r="AF45" s="360">
        <f t="shared" si="62"/>
        <v>0</v>
      </c>
      <c r="AG45" s="360">
        <f t="shared" si="63"/>
        <v>0.78106426954128505</v>
      </c>
      <c r="AH45" s="360">
        <f t="shared" si="64"/>
        <v>1.5838488394532935</v>
      </c>
      <c r="AI45" s="360">
        <f t="shared" si="65"/>
        <v>6.2714428655938617E-3</v>
      </c>
      <c r="AJ45" s="360">
        <f t="shared" si="66"/>
        <v>7.4087999999999987E-2</v>
      </c>
      <c r="AK45" s="360">
        <f t="shared" si="67"/>
        <v>8.0436119345668425E-2</v>
      </c>
      <c r="AL45" s="360">
        <f t="shared" si="68"/>
        <v>7.4087999999999987E-2</v>
      </c>
      <c r="AM45" s="360">
        <f t="shared" si="69"/>
        <v>0.95255999999999996</v>
      </c>
      <c r="AN45" s="360">
        <f t="shared" si="70"/>
        <v>3.2970681647136617E-2</v>
      </c>
      <c r="AO45" s="360">
        <f t="shared" si="71"/>
        <v>7.3499999999999998E-4</v>
      </c>
      <c r="AP45" s="360">
        <f t="shared" si="72"/>
        <v>0.34650000000000003</v>
      </c>
      <c r="AQ45" s="360">
        <f t="shared" si="26"/>
        <v>1.3167</v>
      </c>
      <c r="AR45" s="360">
        <f t="shared" si="73"/>
        <v>1.1088</v>
      </c>
      <c r="AS45" s="360">
        <f t="shared" si="74"/>
        <v>0.34723500000000002</v>
      </c>
      <c r="AT45" s="360">
        <f t="shared" si="75"/>
        <v>2.5736276215220992</v>
      </c>
      <c r="AU45">
        <f t="shared" si="76"/>
        <v>9</v>
      </c>
      <c r="AV45" s="542">
        <f t="shared" si="47"/>
        <v>0.77762999591102877</v>
      </c>
      <c r="AW45" s="551">
        <f t="shared" si="77"/>
        <v>70.487693477064255</v>
      </c>
      <c r="AX45" s="551">
        <f t="shared" si="78"/>
        <v>15.001674935135398</v>
      </c>
      <c r="AY45" s="9"/>
      <c r="AZ45" s="4">
        <f t="shared" si="48"/>
        <v>77.762999591102883</v>
      </c>
      <c r="BA45" s="360">
        <f t="shared" si="79"/>
        <v>0.30455949058963738</v>
      </c>
      <c r="BB45" s="360">
        <f t="shared" si="80"/>
        <v>1.8140603888869533</v>
      </c>
      <c r="BC45" s="360">
        <f t="shared" si="81"/>
        <v>1.409753869541285</v>
      </c>
      <c r="BD45" s="360">
        <f t="shared" si="82"/>
        <v>0.39478091934566839</v>
      </c>
      <c r="BE45" s="360">
        <f t="shared" si="83"/>
        <v>3.2970681647136617E-2</v>
      </c>
    </row>
    <row r="46" spans="1:57" x14ac:dyDescent="0.2">
      <c r="A46" s="77" t="s">
        <v>203</v>
      </c>
      <c r="B46" s="5">
        <f>Vsd_Q1</f>
        <v>0.7</v>
      </c>
      <c r="C46" s="445" t="s">
        <v>0</v>
      </c>
      <c r="G46">
        <v>37</v>
      </c>
      <c r="H46" s="548">
        <f t="shared" si="49"/>
        <v>21</v>
      </c>
      <c r="I46" s="4">
        <f t="shared" si="50"/>
        <v>1</v>
      </c>
      <c r="J46" s="360">
        <f t="shared" si="84"/>
        <v>1.85</v>
      </c>
      <c r="K46" s="360">
        <f t="shared" si="51"/>
        <v>1.85</v>
      </c>
      <c r="L46" s="4">
        <f t="shared" si="52"/>
        <v>0.48941798941798936</v>
      </c>
      <c r="M46" s="360">
        <f t="shared" si="53"/>
        <v>0.23917839903579019</v>
      </c>
      <c r="N46" s="4">
        <f t="shared" si="54"/>
        <v>0.82761951434886449</v>
      </c>
      <c r="O46" s="4">
        <f t="shared" si="39"/>
        <v>2.2638097571744322</v>
      </c>
      <c r="P46" s="4">
        <f t="shared" si="40"/>
        <v>1.436190242825568</v>
      </c>
      <c r="Q46" s="4">
        <f t="shared" si="55"/>
        <v>0</v>
      </c>
      <c r="R46" s="4">
        <f t="shared" si="41"/>
        <v>1.865363102734761</v>
      </c>
      <c r="S46" s="360">
        <f t="shared" si="56"/>
        <v>4.6974323318097443E-3</v>
      </c>
      <c r="T46" s="360">
        <f t="shared" si="57"/>
        <v>0.3</v>
      </c>
      <c r="U46" s="360">
        <f t="shared" si="58"/>
        <v>0.30481197902344076</v>
      </c>
      <c r="V46" s="4">
        <f t="shared" si="42"/>
        <v>0.23891317469795215</v>
      </c>
      <c r="W46" s="360">
        <f t="shared" si="10"/>
        <v>1.141590100885084E-4</v>
      </c>
      <c r="X46" s="360">
        <f t="shared" si="43"/>
        <v>1.141590100885084E-4</v>
      </c>
      <c r="Y46" s="4">
        <f t="shared" si="44"/>
        <v>0.79573008203174844</v>
      </c>
      <c r="Z46" s="360">
        <f t="shared" si="11"/>
        <v>6.3318636345025318E-4</v>
      </c>
      <c r="AA46" s="541">
        <f t="shared" si="45"/>
        <v>6.3318636345025318E-4</v>
      </c>
      <c r="AB46" s="360">
        <f t="shared" si="46"/>
        <v>0.91227202924030948</v>
      </c>
      <c r="AC46" s="360">
        <f t="shared" si="59"/>
        <v>4.9934415320053924E-3</v>
      </c>
      <c r="AD46" s="360">
        <f t="shared" si="60"/>
        <v>0.14507046213778663</v>
      </c>
      <c r="AE46" s="360">
        <f t="shared" si="61"/>
        <v>0.63444464999999983</v>
      </c>
      <c r="AF46" s="360">
        <f t="shared" si="62"/>
        <v>0</v>
      </c>
      <c r="AG46" s="360">
        <f t="shared" si="63"/>
        <v>0.78529281642265392</v>
      </c>
      <c r="AH46" s="360">
        <f t="shared" si="64"/>
        <v>1.6270646114122274</v>
      </c>
      <c r="AI46" s="360">
        <f t="shared" si="65"/>
        <v>6.6183481242750569E-3</v>
      </c>
      <c r="AJ46" s="360">
        <f t="shared" si="66"/>
        <v>7.6145999999999991E-2</v>
      </c>
      <c r="AK46" s="360">
        <f t="shared" si="67"/>
        <v>8.2847691984035188E-2</v>
      </c>
      <c r="AL46" s="360">
        <f t="shared" si="68"/>
        <v>7.6145999999999991E-2</v>
      </c>
      <c r="AM46" s="360">
        <f t="shared" si="69"/>
        <v>0.97902</v>
      </c>
      <c r="AN46" s="360">
        <f t="shared" si="70"/>
        <v>3.479579505044255E-2</v>
      </c>
      <c r="AO46" s="360">
        <f t="shared" si="71"/>
        <v>7.3499999999999998E-4</v>
      </c>
      <c r="AP46" s="360">
        <f t="shared" si="72"/>
        <v>0.34650000000000003</v>
      </c>
      <c r="AQ46" s="360">
        <f t="shared" si="26"/>
        <v>1.3167</v>
      </c>
      <c r="AR46" s="360">
        <f t="shared" si="73"/>
        <v>1.1088</v>
      </c>
      <c r="AS46" s="360">
        <f t="shared" si="74"/>
        <v>0.34723500000000002</v>
      </c>
      <c r="AT46" s="360">
        <f t="shared" si="75"/>
        <v>2.6108966278541113</v>
      </c>
      <c r="AU46">
        <f t="shared" si="76"/>
        <v>9.25</v>
      </c>
      <c r="AV46" s="542">
        <f t="shared" si="47"/>
        <v>0.77987358715169264</v>
      </c>
      <c r="AW46" s="551">
        <f t="shared" si="77"/>
        <v>71.5723008211327</v>
      </c>
      <c r="AX46" s="551">
        <f t="shared" si="78"/>
        <v>15.425123095393337</v>
      </c>
      <c r="AY46" s="9"/>
      <c r="AZ46" s="4">
        <f t="shared" si="48"/>
        <v>77.987358715169265</v>
      </c>
      <c r="BA46" s="360">
        <f t="shared" si="79"/>
        <v>0.30481197902344076</v>
      </c>
      <c r="BB46" s="360">
        <f t="shared" si="80"/>
        <v>1.8471605084066891</v>
      </c>
      <c r="BC46" s="360">
        <f t="shared" si="81"/>
        <v>1.4314460164226539</v>
      </c>
      <c r="BD46" s="360">
        <f t="shared" si="82"/>
        <v>0.40592429198403518</v>
      </c>
      <c r="BE46" s="360">
        <f t="shared" si="83"/>
        <v>3.479579505044255E-2</v>
      </c>
    </row>
    <row r="47" spans="1:57" ht="15.75" x14ac:dyDescent="0.3">
      <c r="A47" s="446" t="s">
        <v>472</v>
      </c>
      <c r="B47" s="5">
        <f>ThetaJA_Q1</f>
        <v>50</v>
      </c>
      <c r="C47" s="441" t="s">
        <v>205</v>
      </c>
      <c r="D47" s="21" t="s">
        <v>103</v>
      </c>
      <c r="G47">
        <v>38</v>
      </c>
      <c r="H47" s="548">
        <f t="shared" si="49"/>
        <v>21</v>
      </c>
      <c r="I47" s="4">
        <f t="shared" si="50"/>
        <v>1</v>
      </c>
      <c r="J47" s="360">
        <f t="shared" si="84"/>
        <v>1.9</v>
      </c>
      <c r="K47" s="360">
        <f t="shared" si="51"/>
        <v>1.9</v>
      </c>
      <c r="L47" s="4">
        <f t="shared" si="52"/>
        <v>0.50264550264550256</v>
      </c>
      <c r="M47" s="360">
        <f t="shared" si="53"/>
        <v>0.23920765644965936</v>
      </c>
      <c r="N47" s="4">
        <f t="shared" si="54"/>
        <v>0.82770172473424897</v>
      </c>
      <c r="O47" s="4">
        <f t="shared" si="39"/>
        <v>2.3138508623671243</v>
      </c>
      <c r="P47" s="4">
        <f t="shared" si="40"/>
        <v>1.4861491376328755</v>
      </c>
      <c r="Q47" s="4">
        <f t="shared" si="55"/>
        <v>0</v>
      </c>
      <c r="R47" s="4">
        <f t="shared" si="41"/>
        <v>1.9149649723760844</v>
      </c>
      <c r="S47" s="360">
        <f t="shared" si="56"/>
        <v>4.9505726413269068E-3</v>
      </c>
      <c r="T47" s="360">
        <f t="shared" si="57"/>
        <v>0.3</v>
      </c>
      <c r="U47" s="360">
        <f t="shared" si="58"/>
        <v>0.3050713948894222</v>
      </c>
      <c r="V47" s="4">
        <f t="shared" si="42"/>
        <v>0.23893690679201809</v>
      </c>
      <c r="W47" s="360">
        <f t="shared" si="10"/>
        <v>1.1418169085467509E-4</v>
      </c>
      <c r="X47" s="360">
        <f t="shared" si="43"/>
        <v>1.1418169085467509E-4</v>
      </c>
      <c r="Y47" s="4">
        <f t="shared" si="44"/>
        <v>0.81692359383869473</v>
      </c>
      <c r="Z47" s="360">
        <f t="shared" si="11"/>
        <v>6.6736415817032866E-4</v>
      </c>
      <c r="AA47" s="541">
        <f t="shared" si="45"/>
        <v>6.6736415817032866E-4</v>
      </c>
      <c r="AB47" s="360">
        <f t="shared" si="46"/>
        <v>0.93658753308095744</v>
      </c>
      <c r="AC47" s="360">
        <f t="shared" si="59"/>
        <v>5.2631772427360413E-3</v>
      </c>
      <c r="AD47" s="360">
        <f t="shared" si="60"/>
        <v>0.14899128543880788</v>
      </c>
      <c r="AE47" s="360">
        <f t="shared" si="61"/>
        <v>0.63444464999999983</v>
      </c>
      <c r="AF47" s="360">
        <f t="shared" si="62"/>
        <v>0</v>
      </c>
      <c r="AG47" s="360">
        <f t="shared" si="63"/>
        <v>0.78953020015792863</v>
      </c>
      <c r="AH47" s="360">
        <f t="shared" si="64"/>
        <v>1.6702977693527175</v>
      </c>
      <c r="AI47" s="360">
        <f t="shared" si="65"/>
        <v>6.9747365957616592E-3</v>
      </c>
      <c r="AJ47" s="360">
        <f t="shared" si="66"/>
        <v>7.8203999999999982E-2</v>
      </c>
      <c r="AK47" s="360">
        <f t="shared" si="67"/>
        <v>8.5269135519280934E-2</v>
      </c>
      <c r="AL47" s="360">
        <f t="shared" si="68"/>
        <v>7.8203999999999982E-2</v>
      </c>
      <c r="AM47" s="360">
        <f t="shared" si="69"/>
        <v>1.0054799999999999</v>
      </c>
      <c r="AN47" s="360">
        <f t="shared" si="70"/>
        <v>3.6670908454273378E-2</v>
      </c>
      <c r="AO47" s="360">
        <f t="shared" si="71"/>
        <v>7.3499999999999998E-4</v>
      </c>
      <c r="AP47" s="360">
        <f t="shared" si="72"/>
        <v>0.34650000000000003</v>
      </c>
      <c r="AQ47" s="360">
        <f t="shared" si="26"/>
        <v>1.3167</v>
      </c>
      <c r="AR47" s="360">
        <f t="shared" si="73"/>
        <v>1.1088</v>
      </c>
      <c r="AS47" s="360">
        <f t="shared" si="74"/>
        <v>0.34723500000000002</v>
      </c>
      <c r="AT47" s="360">
        <f t="shared" si="75"/>
        <v>2.6482421848699302</v>
      </c>
      <c r="AU47">
        <f t="shared" si="76"/>
        <v>9.5</v>
      </c>
      <c r="AV47" s="542">
        <f t="shared" si="47"/>
        <v>0.78200614174714156</v>
      </c>
      <c r="AW47" s="551">
        <f t="shared" si="77"/>
        <v>72.65735000789644</v>
      </c>
      <c r="AX47" s="551">
        <f t="shared" si="78"/>
        <v>15.848946349732676</v>
      </c>
      <c r="AY47" s="9"/>
      <c r="AZ47" s="4">
        <f t="shared" si="48"/>
        <v>78.200614174714161</v>
      </c>
      <c r="BA47" s="360">
        <f t="shared" si="79"/>
        <v>0.3050713948894222</v>
      </c>
      <c r="BB47" s="360">
        <f t="shared" si="80"/>
        <v>1.8802793356772094</v>
      </c>
      <c r="BC47" s="360">
        <f t="shared" si="81"/>
        <v>1.4531470001579287</v>
      </c>
      <c r="BD47" s="360">
        <f t="shared" si="82"/>
        <v>0.41707753551928095</v>
      </c>
      <c r="BE47" s="360">
        <f t="shared" si="83"/>
        <v>3.6670908454273378E-2</v>
      </c>
    </row>
    <row r="48" spans="1:57" x14ac:dyDescent="0.2">
      <c r="A48" s="24" t="s">
        <v>526</v>
      </c>
      <c r="B48" s="15" t="s">
        <v>111</v>
      </c>
      <c r="C48" s="24" t="s">
        <v>76</v>
      </c>
      <c r="D48" s="17" t="s">
        <v>107</v>
      </c>
      <c r="G48">
        <v>39</v>
      </c>
      <c r="H48" s="548">
        <f t="shared" si="49"/>
        <v>21</v>
      </c>
      <c r="I48" s="4">
        <f t="shared" si="50"/>
        <v>1</v>
      </c>
      <c r="J48" s="360">
        <f t="shared" si="84"/>
        <v>1.95</v>
      </c>
      <c r="K48" s="360">
        <f t="shared" si="51"/>
        <v>1.95</v>
      </c>
      <c r="L48" s="4">
        <f t="shared" si="52"/>
        <v>0.51587301587301582</v>
      </c>
      <c r="M48" s="360">
        <f t="shared" si="53"/>
        <v>0.23923691295848812</v>
      </c>
      <c r="N48" s="4">
        <f t="shared" si="54"/>
        <v>0.82778392733351358</v>
      </c>
      <c r="O48" s="4">
        <f t="shared" si="39"/>
        <v>2.3638919636667568</v>
      </c>
      <c r="P48" s="4">
        <f t="shared" si="40"/>
        <v>1.5361080363332431</v>
      </c>
      <c r="Q48" s="4">
        <f t="shared" si="55"/>
        <v>0</v>
      </c>
      <c r="R48" s="4">
        <f t="shared" si="41"/>
        <v>1.9645870267979073</v>
      </c>
      <c r="S48" s="360">
        <f t="shared" si="56"/>
        <v>5.2104629509145666E-3</v>
      </c>
      <c r="T48" s="360">
        <f t="shared" si="57"/>
        <v>0.3</v>
      </c>
      <c r="U48" s="360">
        <f t="shared" si="58"/>
        <v>0.3053377390290527</v>
      </c>
      <c r="V48" s="4">
        <f t="shared" si="42"/>
        <v>0.23896063663842484</v>
      </c>
      <c r="W48" s="360">
        <f t="shared" si="10"/>
        <v>1.1420437172528263E-4</v>
      </c>
      <c r="X48" s="360">
        <f t="shared" si="43"/>
        <v>1.1420437172528263E-4</v>
      </c>
      <c r="Y48" s="4">
        <f t="shared" si="44"/>
        <v>0.83812748480940469</v>
      </c>
      <c r="Z48" s="360">
        <f t="shared" si="11"/>
        <v>7.0245768079293892E-4</v>
      </c>
      <c r="AA48" s="541">
        <f t="shared" si="45"/>
        <v>7.0245768079293892E-4</v>
      </c>
      <c r="AB48" s="360">
        <f t="shared" si="46"/>
        <v>0.96091587154839486</v>
      </c>
      <c r="AC48" s="360">
        <f t="shared" si="59"/>
        <v>5.5401558731616686E-3</v>
      </c>
      <c r="AD48" s="360">
        <f t="shared" si="60"/>
        <v>0.15291210873982913</v>
      </c>
      <c r="AE48" s="360">
        <f t="shared" si="61"/>
        <v>0.63444464999999983</v>
      </c>
      <c r="AF48" s="360">
        <f t="shared" si="62"/>
        <v>0</v>
      </c>
      <c r="AG48" s="360">
        <f t="shared" si="63"/>
        <v>0.79377644365825273</v>
      </c>
      <c r="AH48" s="360">
        <f t="shared" si="64"/>
        <v>1.713546869411231</v>
      </c>
      <c r="AI48" s="360">
        <f t="shared" si="65"/>
        <v>7.3406071841725764E-3</v>
      </c>
      <c r="AJ48" s="360">
        <f t="shared" si="66"/>
        <v>8.0261999999999986E-2</v>
      </c>
      <c r="AK48" s="360">
        <f t="shared" si="67"/>
        <v>8.7700460928471682E-2</v>
      </c>
      <c r="AL48" s="360">
        <f t="shared" si="68"/>
        <v>8.0261999999999986E-2</v>
      </c>
      <c r="AM48" s="360">
        <f t="shared" si="69"/>
        <v>1.0319399999999999</v>
      </c>
      <c r="AN48" s="360">
        <f t="shared" si="70"/>
        <v>3.8596021858626414E-2</v>
      </c>
      <c r="AO48" s="360">
        <f t="shared" si="71"/>
        <v>7.3499999999999998E-4</v>
      </c>
      <c r="AP48" s="360">
        <f t="shared" si="72"/>
        <v>0.34650000000000003</v>
      </c>
      <c r="AQ48" s="360">
        <f t="shared" si="26"/>
        <v>1.3167</v>
      </c>
      <c r="AR48" s="360">
        <f t="shared" si="73"/>
        <v>1.1088</v>
      </c>
      <c r="AS48" s="360">
        <f t="shared" si="74"/>
        <v>0.34723500000000002</v>
      </c>
      <c r="AT48" s="360">
        <f t="shared" si="75"/>
        <v>2.6856643275269216</v>
      </c>
      <c r="AU48">
        <f t="shared" si="76"/>
        <v>9.75</v>
      </c>
      <c r="AV48" s="542">
        <f t="shared" si="47"/>
        <v>0.78403531513937064</v>
      </c>
      <c r="AW48" s="551">
        <f t="shared" si="77"/>
        <v>73.742842182912625</v>
      </c>
      <c r="AX48" s="551">
        <f t="shared" si="78"/>
        <v>16.27314511528192</v>
      </c>
      <c r="AY48" s="9"/>
      <c r="AZ48" s="4">
        <f t="shared" si="48"/>
        <v>78.403531513937068</v>
      </c>
      <c r="BA48" s="360">
        <f t="shared" si="79"/>
        <v>0.3053377390290527</v>
      </c>
      <c r="BB48" s="360">
        <f t="shared" si="80"/>
        <v>1.9134169045867244</v>
      </c>
      <c r="BC48" s="360">
        <f t="shared" si="81"/>
        <v>1.4748568436582525</v>
      </c>
      <c r="BD48" s="360">
        <f t="shared" si="82"/>
        <v>0.42824066092847163</v>
      </c>
      <c r="BE48" s="360">
        <f t="shared" si="83"/>
        <v>3.8596021858626414E-2</v>
      </c>
    </row>
    <row r="49" spans="1:64" x14ac:dyDescent="0.2">
      <c r="A49" s="23" t="s">
        <v>68</v>
      </c>
      <c r="B49" s="5">
        <f>Rdson2*1000</f>
        <v>2.5</v>
      </c>
      <c r="C49" s="442" t="s">
        <v>466</v>
      </c>
      <c r="D49" s="440" t="s">
        <v>527</v>
      </c>
      <c r="G49">
        <v>40</v>
      </c>
      <c r="H49" s="548">
        <f t="shared" si="49"/>
        <v>21</v>
      </c>
      <c r="I49" s="4">
        <f t="shared" si="50"/>
        <v>1</v>
      </c>
      <c r="J49" s="360">
        <f t="shared" si="84"/>
        <v>2</v>
      </c>
      <c r="K49" s="360">
        <f t="shared" si="51"/>
        <v>2</v>
      </c>
      <c r="L49" s="4">
        <f t="shared" si="52"/>
        <v>0.52910052910052907</v>
      </c>
      <c r="M49" s="360">
        <f t="shared" si="53"/>
        <v>0.23926616856231855</v>
      </c>
      <c r="N49" s="4">
        <f t="shared" si="54"/>
        <v>0.8278661221470196</v>
      </c>
      <c r="O49" s="4">
        <f t="shared" si="39"/>
        <v>2.4139330610735099</v>
      </c>
      <c r="P49" s="4">
        <f t="shared" si="40"/>
        <v>1.5860669389264901</v>
      </c>
      <c r="Q49" s="4">
        <f t="shared" si="55"/>
        <v>0</v>
      </c>
      <c r="R49" s="4">
        <f t="shared" si="41"/>
        <v>2.0142277741978178</v>
      </c>
      <c r="S49" s="360">
        <f t="shared" si="56"/>
        <v>5.4771032605723594E-3</v>
      </c>
      <c r="T49" s="360">
        <f t="shared" si="57"/>
        <v>0.3</v>
      </c>
      <c r="U49" s="360">
        <f t="shared" si="58"/>
        <v>0.30561101230632992</v>
      </c>
      <c r="V49" s="4">
        <f t="shared" si="42"/>
        <v>0.2389843642372767</v>
      </c>
      <c r="W49" s="360">
        <f t="shared" si="10"/>
        <v>1.1422705269979069E-4</v>
      </c>
      <c r="X49" s="360">
        <f t="shared" si="43"/>
        <v>1.1422705269979069E-4</v>
      </c>
      <c r="Y49" s="4">
        <f t="shared" si="44"/>
        <v>0.85934111907949839</v>
      </c>
      <c r="Z49" s="360">
        <f t="shared" si="11"/>
        <v>7.3846715894080467E-4</v>
      </c>
      <c r="AA49" s="541">
        <f t="shared" si="45"/>
        <v>7.3846715894080467E-4</v>
      </c>
      <c r="AB49" s="360">
        <f t="shared" si="46"/>
        <v>0.98525631633199728</v>
      </c>
      <c r="AC49" s="360">
        <f t="shared" si="59"/>
        <v>5.8243800532325803E-3</v>
      </c>
      <c r="AD49" s="360">
        <f t="shared" si="60"/>
        <v>0.15683293204085041</v>
      </c>
      <c r="AE49" s="360">
        <f t="shared" si="61"/>
        <v>0.63444464999999983</v>
      </c>
      <c r="AF49" s="360">
        <f t="shared" si="62"/>
        <v>0</v>
      </c>
      <c r="AG49" s="360">
        <f t="shared" si="63"/>
        <v>0.79803156992562774</v>
      </c>
      <c r="AH49" s="360">
        <f t="shared" si="64"/>
        <v>1.7568106094504889</v>
      </c>
      <c r="AI49" s="360">
        <f t="shared" si="65"/>
        <v>7.7159587936944966E-3</v>
      </c>
      <c r="AJ49" s="360">
        <f t="shared" si="66"/>
        <v>8.231999999999999E-2</v>
      </c>
      <c r="AK49" s="360">
        <f t="shared" si="67"/>
        <v>9.014167927509241E-2</v>
      </c>
      <c r="AL49" s="360">
        <f t="shared" si="68"/>
        <v>8.231999999999999E-2</v>
      </c>
      <c r="AM49" s="360">
        <f t="shared" si="69"/>
        <v>1.0583999999999998</v>
      </c>
      <c r="AN49" s="360">
        <f t="shared" si="70"/>
        <v>4.0571135263498953E-2</v>
      </c>
      <c r="AO49" s="360">
        <f t="shared" si="71"/>
        <v>7.3499999999999998E-4</v>
      </c>
      <c r="AP49" s="360">
        <f t="shared" si="72"/>
        <v>0.34650000000000003</v>
      </c>
      <c r="AQ49" s="360">
        <f t="shared" si="26"/>
        <v>1.3167</v>
      </c>
      <c r="AR49" s="360">
        <f t="shared" si="73"/>
        <v>1.1088</v>
      </c>
      <c r="AS49" s="360">
        <f t="shared" si="74"/>
        <v>0.34723500000000002</v>
      </c>
      <c r="AT49" s="360">
        <f t="shared" si="75"/>
        <v>2.7231630909821893</v>
      </c>
      <c r="AU49">
        <f t="shared" si="76"/>
        <v>10</v>
      </c>
      <c r="AV49" s="542">
        <f t="shared" si="47"/>
        <v>0.78596807480112474</v>
      </c>
      <c r="AW49" s="551">
        <f t="shared" si="77"/>
        <v>74.828778496281373</v>
      </c>
      <c r="AX49" s="551">
        <f t="shared" si="78"/>
        <v>16.69771981245351</v>
      </c>
      <c r="AY49" s="9"/>
      <c r="AZ49" s="4">
        <f t="shared" si="48"/>
        <v>78.596807480112474</v>
      </c>
      <c r="BA49" s="360">
        <f t="shared" si="79"/>
        <v>0.30561101230632992</v>
      </c>
      <c r="BB49" s="360">
        <f t="shared" si="80"/>
        <v>1.9465732492007199</v>
      </c>
      <c r="BC49" s="360">
        <f t="shared" si="81"/>
        <v>1.4965755699256276</v>
      </c>
      <c r="BD49" s="360">
        <f t="shared" si="82"/>
        <v>0.43941367927509239</v>
      </c>
      <c r="BE49" s="360">
        <f t="shared" si="83"/>
        <v>4.0571135263498953E-2</v>
      </c>
    </row>
    <row r="50" spans="1:64" x14ac:dyDescent="0.2">
      <c r="A50" s="23" t="s">
        <v>80</v>
      </c>
      <c r="B50" s="5">
        <f>RdsonBotTc*1000000</f>
        <v>4000</v>
      </c>
      <c r="C50" s="440" t="s">
        <v>81</v>
      </c>
      <c r="D50" s="21" t="s">
        <v>104</v>
      </c>
      <c r="G50">
        <v>41</v>
      </c>
      <c r="H50" s="548">
        <f t="shared" si="49"/>
        <v>21</v>
      </c>
      <c r="I50" s="4">
        <f t="shared" si="50"/>
        <v>1</v>
      </c>
      <c r="J50" s="360">
        <f t="shared" si="84"/>
        <v>2.0499999999999998</v>
      </c>
      <c r="K50" s="360">
        <f t="shared" si="51"/>
        <v>2.0499999999999998</v>
      </c>
      <c r="L50" s="4">
        <f t="shared" si="52"/>
        <v>0.54232804232804221</v>
      </c>
      <c r="M50" s="360">
        <f t="shared" si="53"/>
        <v>0.2392954232611926</v>
      </c>
      <c r="N50" s="4">
        <f t="shared" si="54"/>
        <v>0.82794830917512841</v>
      </c>
      <c r="O50" s="4">
        <f t="shared" si="39"/>
        <v>2.463974154587564</v>
      </c>
      <c r="P50" s="4">
        <f t="shared" si="40"/>
        <v>1.6360258454124357</v>
      </c>
      <c r="Q50" s="4">
        <f t="shared" si="55"/>
        <v>0</v>
      </c>
      <c r="R50" s="4">
        <f t="shared" si="41"/>
        <v>2.0638858657611929</v>
      </c>
      <c r="S50" s="360">
        <f t="shared" si="56"/>
        <v>5.750493570299919E-3</v>
      </c>
      <c r="T50" s="360">
        <f t="shared" si="57"/>
        <v>0.3</v>
      </c>
      <c r="U50" s="360">
        <f t="shared" si="58"/>
        <v>0.30589121560778504</v>
      </c>
      <c r="V50" s="4">
        <f t="shared" si="42"/>
        <v>0.23900808958867795</v>
      </c>
      <c r="W50" s="360">
        <f t="shared" si="10"/>
        <v>1.1424973377765902E-4</v>
      </c>
      <c r="X50" s="360">
        <f t="shared" si="43"/>
        <v>1.1424973377765902E-4</v>
      </c>
      <c r="Y50" s="4">
        <f t="shared" si="44"/>
        <v>0.88056392168386832</v>
      </c>
      <c r="Z50" s="360">
        <f t="shared" si="11"/>
        <v>7.7539282017127374E-4</v>
      </c>
      <c r="AA50" s="541">
        <f t="shared" si="45"/>
        <v>7.7539282017127374E-4</v>
      </c>
      <c r="AB50" s="360">
        <f t="shared" si="46"/>
        <v>1.0096082088890044</v>
      </c>
      <c r="AC50" s="360">
        <f t="shared" si="59"/>
        <v>6.1158524127363813E-3</v>
      </c>
      <c r="AD50" s="360">
        <f t="shared" si="60"/>
        <v>0.16075375534187167</v>
      </c>
      <c r="AE50" s="360">
        <f t="shared" si="61"/>
        <v>0.63444464999999983</v>
      </c>
      <c r="AF50" s="360">
        <f t="shared" si="62"/>
        <v>0</v>
      </c>
      <c r="AG50" s="360">
        <f t="shared" si="63"/>
        <v>0.80229560205331696</v>
      </c>
      <c r="AH50" s="360">
        <f t="shared" si="64"/>
        <v>1.8000878121449424</v>
      </c>
      <c r="AI50" s="360">
        <f t="shared" si="65"/>
        <v>8.1007903285819135E-3</v>
      </c>
      <c r="AJ50" s="360">
        <f t="shared" si="66"/>
        <v>8.4377999999999981E-2</v>
      </c>
      <c r="AK50" s="360">
        <f t="shared" si="67"/>
        <v>9.2592801709214398E-2</v>
      </c>
      <c r="AL50" s="360">
        <f t="shared" si="68"/>
        <v>8.4377999999999981E-2</v>
      </c>
      <c r="AM50" s="360">
        <f t="shared" si="69"/>
        <v>1.0848599999999997</v>
      </c>
      <c r="AN50" s="360">
        <f t="shared" si="70"/>
        <v>4.2596248668888288E-2</v>
      </c>
      <c r="AO50" s="360">
        <f t="shared" si="71"/>
        <v>7.3499999999999998E-4</v>
      </c>
      <c r="AP50" s="360">
        <f t="shared" si="72"/>
        <v>0.34650000000000003</v>
      </c>
      <c r="AQ50" s="360">
        <f t="shared" si="26"/>
        <v>1.3167</v>
      </c>
      <c r="AR50" s="360">
        <f t="shared" si="73"/>
        <v>1.1088</v>
      </c>
      <c r="AS50" s="360">
        <f t="shared" si="74"/>
        <v>0.34723500000000002</v>
      </c>
      <c r="AT50" s="360">
        <f t="shared" si="75"/>
        <v>2.7607385105931534</v>
      </c>
      <c r="AU50">
        <f t="shared" si="76"/>
        <v>10.25</v>
      </c>
      <c r="AV50" s="542">
        <f t="shared" si="47"/>
        <v>0.78781077581834413</v>
      </c>
      <c r="AW50" s="551">
        <f t="shared" si="77"/>
        <v>75.915160102665837</v>
      </c>
      <c r="AX50" s="551">
        <f t="shared" si="78"/>
        <v>17.122670864950145</v>
      </c>
      <c r="AY50" s="9"/>
      <c r="AZ50" s="4">
        <f t="shared" si="48"/>
        <v>78.78107758183441</v>
      </c>
      <c r="BA50" s="360">
        <f t="shared" si="79"/>
        <v>0.30589121560778504</v>
      </c>
      <c r="BB50" s="360">
        <f t="shared" si="80"/>
        <v>1.979748403762531</v>
      </c>
      <c r="BC50" s="360">
        <f t="shared" si="81"/>
        <v>1.5183032020533167</v>
      </c>
      <c r="BD50" s="360">
        <f t="shared" si="82"/>
        <v>0.45059660170921434</v>
      </c>
      <c r="BE50" s="360">
        <f t="shared" si="83"/>
        <v>4.2596248668888288E-2</v>
      </c>
    </row>
    <row r="51" spans="1:64" x14ac:dyDescent="0.2">
      <c r="A51" s="23" t="s">
        <v>67</v>
      </c>
      <c r="B51" s="5">
        <f>Qg_Q2*1000000000</f>
        <v>25</v>
      </c>
      <c r="C51" s="440" t="s">
        <v>65</v>
      </c>
      <c r="D51" s="21" t="s">
        <v>99</v>
      </c>
      <c r="G51">
        <v>42</v>
      </c>
      <c r="H51" s="548">
        <f t="shared" si="49"/>
        <v>21</v>
      </c>
      <c r="I51" s="4">
        <f t="shared" si="50"/>
        <v>1</v>
      </c>
      <c r="J51" s="360">
        <f t="shared" si="84"/>
        <v>2.1</v>
      </c>
      <c r="K51" s="360">
        <f t="shared" si="51"/>
        <v>2.1</v>
      </c>
      <c r="L51" s="4">
        <f t="shared" si="52"/>
        <v>0.55555555555555547</v>
      </c>
      <c r="M51" s="360">
        <f t="shared" si="53"/>
        <v>0.23932467705515229</v>
      </c>
      <c r="N51" s="4">
        <f t="shared" si="54"/>
        <v>0.82803048841820137</v>
      </c>
      <c r="O51" s="4">
        <f t="shared" si="39"/>
        <v>2.5140152442091006</v>
      </c>
      <c r="P51" s="4">
        <f t="shared" si="40"/>
        <v>1.6859847557908993</v>
      </c>
      <c r="Q51" s="4">
        <f t="shared" si="55"/>
        <v>0</v>
      </c>
      <c r="R51" s="4">
        <f t="shared" si="41"/>
        <v>2.1135600789850226</v>
      </c>
      <c r="S51" s="360">
        <f t="shared" si="56"/>
        <v>6.0306338800968865E-3</v>
      </c>
      <c r="T51" s="360">
        <f t="shared" si="57"/>
        <v>0.3</v>
      </c>
      <c r="U51" s="360">
        <f t="shared" si="58"/>
        <v>0.30617834984248987</v>
      </c>
      <c r="V51" s="4">
        <f t="shared" si="42"/>
        <v>0.23903181269273294</v>
      </c>
      <c r="W51" s="360">
        <f t="shared" si="10"/>
        <v>1.1427241495834753E-4</v>
      </c>
      <c r="X51" s="360">
        <f t="shared" si="43"/>
        <v>1.1427241495834753E-4</v>
      </c>
      <c r="Y51" s="4">
        <f t="shared" si="44"/>
        <v>0.90179537145426192</v>
      </c>
      <c r="Z51" s="360">
        <f t="shared" si="11"/>
        <v>8.1323489197633028E-4</v>
      </c>
      <c r="AA51" s="541">
        <f t="shared" si="45"/>
        <v>8.1323489197633028E-4</v>
      </c>
      <c r="AB51" s="360">
        <f t="shared" si="46"/>
        <v>1.0339709523078158</v>
      </c>
      <c r="AC51" s="360">
        <f t="shared" si="59"/>
        <v>6.4145755812979885E-3</v>
      </c>
      <c r="AD51" s="360">
        <f t="shared" si="60"/>
        <v>0.16467457864289292</v>
      </c>
      <c r="AE51" s="360">
        <f t="shared" si="61"/>
        <v>0.63444464999999983</v>
      </c>
      <c r="AF51" s="360">
        <f t="shared" si="62"/>
        <v>0</v>
      </c>
      <c r="AG51" s="360">
        <f t="shared" si="63"/>
        <v>0.80656856322625348</v>
      </c>
      <c r="AH51" s="360">
        <f t="shared" si="64"/>
        <v>1.8433774104243665</v>
      </c>
      <c r="AI51" s="360">
        <f t="shared" si="65"/>
        <v>8.4951006931571083E-3</v>
      </c>
      <c r="AJ51" s="360">
        <f t="shared" si="66"/>
        <v>8.6435999999999999E-2</v>
      </c>
      <c r="AK51" s="360">
        <f t="shared" si="67"/>
        <v>9.5053839467664561E-2</v>
      </c>
      <c r="AL51" s="360">
        <f t="shared" si="68"/>
        <v>8.6435999999999999E-2</v>
      </c>
      <c r="AM51" s="360">
        <f t="shared" si="69"/>
        <v>1.1113199999999999</v>
      </c>
      <c r="AN51" s="360">
        <f t="shared" si="70"/>
        <v>4.4671362074791755E-2</v>
      </c>
      <c r="AO51" s="360">
        <f t="shared" si="71"/>
        <v>7.3499999999999998E-4</v>
      </c>
      <c r="AP51" s="360">
        <f t="shared" si="72"/>
        <v>0.34650000000000003</v>
      </c>
      <c r="AQ51" s="360">
        <f t="shared" si="26"/>
        <v>1.3167</v>
      </c>
      <c r="AR51" s="360">
        <f t="shared" si="73"/>
        <v>1.1088</v>
      </c>
      <c r="AS51" s="360">
        <f t="shared" si="74"/>
        <v>0.34723500000000002</v>
      </c>
      <c r="AT51" s="360">
        <f t="shared" si="75"/>
        <v>2.7983906219181338</v>
      </c>
      <c r="AU51">
        <f t="shared" si="76"/>
        <v>10.5</v>
      </c>
      <c r="AV51" s="542">
        <f t="shared" si="47"/>
        <v>0.78956922672237617</v>
      </c>
      <c r="AW51" s="551">
        <f t="shared" si="77"/>
        <v>77.001988161312667</v>
      </c>
      <c r="AX51" s="551">
        <f t="shared" si="78"/>
        <v>17.547998699771252</v>
      </c>
      <c r="AY51" s="9"/>
      <c r="AZ51" s="4">
        <f t="shared" si="48"/>
        <v>78.956922672237624</v>
      </c>
      <c r="BA51" s="360">
        <f t="shared" si="79"/>
        <v>0.30617834984248987</v>
      </c>
      <c r="BB51" s="360">
        <f t="shared" si="80"/>
        <v>2.012942402693918</v>
      </c>
      <c r="BC51" s="360">
        <f t="shared" si="81"/>
        <v>1.5400397632262535</v>
      </c>
      <c r="BD51" s="360">
        <f t="shared" si="82"/>
        <v>0.46178943946766454</v>
      </c>
      <c r="BE51" s="360">
        <f t="shared" si="83"/>
        <v>4.4671362074791755E-2</v>
      </c>
    </row>
    <row r="52" spans="1:64" x14ac:dyDescent="0.2">
      <c r="A52" s="23" t="s">
        <v>91</v>
      </c>
      <c r="B52" s="5">
        <f>Rgate2</f>
        <v>0.5</v>
      </c>
      <c r="C52" s="444" t="s">
        <v>116</v>
      </c>
      <c r="D52" s="21" t="s">
        <v>100</v>
      </c>
      <c r="G52">
        <v>43</v>
      </c>
      <c r="H52" s="548">
        <f t="shared" si="49"/>
        <v>21</v>
      </c>
      <c r="I52" s="4">
        <f t="shared" si="50"/>
        <v>1</v>
      </c>
      <c r="J52" s="360">
        <f t="shared" si="84"/>
        <v>2.15</v>
      </c>
      <c r="K52" s="360">
        <f t="shared" si="51"/>
        <v>2.15</v>
      </c>
      <c r="L52" s="4">
        <f t="shared" si="52"/>
        <v>0.56878306878306872</v>
      </c>
      <c r="M52" s="360">
        <f t="shared" si="53"/>
        <v>0.23935392994423949</v>
      </c>
      <c r="N52" s="4">
        <f t="shared" si="54"/>
        <v>0.8281126598765991</v>
      </c>
      <c r="O52" s="4">
        <f t="shared" si="39"/>
        <v>2.5640563299382997</v>
      </c>
      <c r="P52" s="4">
        <f t="shared" si="40"/>
        <v>1.7359436700617004</v>
      </c>
      <c r="Q52" s="4">
        <f t="shared" si="55"/>
        <v>0</v>
      </c>
      <c r="R52" s="4">
        <f t="shared" si="41"/>
        <v>2.1632493032752045</v>
      </c>
      <c r="S52" s="360">
        <f t="shared" si="56"/>
        <v>6.317524189962888E-3</v>
      </c>
      <c r="T52" s="360">
        <f t="shared" si="57"/>
        <v>0.3</v>
      </c>
      <c r="U52" s="360">
        <f t="shared" si="58"/>
        <v>0.30647241594206448</v>
      </c>
      <c r="V52" s="4">
        <f t="shared" si="42"/>
        <v>0.23905553354954576</v>
      </c>
      <c r="W52" s="360">
        <f t="shared" si="10"/>
        <v>1.14295096241316E-4</v>
      </c>
      <c r="X52" s="360">
        <f t="shared" si="43"/>
        <v>1.14295096241316E-4</v>
      </c>
      <c r="Y52" s="4">
        <f t="shared" si="44"/>
        <v>0.92303499488513452</v>
      </c>
      <c r="Z52" s="360">
        <f t="shared" si="11"/>
        <v>8.5199360178260031E-4</v>
      </c>
      <c r="AA52" s="541">
        <f t="shared" si="45"/>
        <v>8.5199360178260031E-4</v>
      </c>
      <c r="AB52" s="360">
        <f t="shared" si="46"/>
        <v>1.0583440042805572</v>
      </c>
      <c r="AC52" s="360">
        <f t="shared" si="59"/>
        <v>6.7205521883796247E-3</v>
      </c>
      <c r="AD52" s="360">
        <f t="shared" si="60"/>
        <v>0.16859540194391417</v>
      </c>
      <c r="AE52" s="360">
        <f t="shared" si="61"/>
        <v>0.63444464999999983</v>
      </c>
      <c r="AF52" s="360">
        <f t="shared" si="62"/>
        <v>0</v>
      </c>
      <c r="AG52" s="360">
        <f t="shared" si="63"/>
        <v>0.8108504767214495</v>
      </c>
      <c r="AH52" s="360">
        <f t="shared" si="64"/>
        <v>1.8866784349019452</v>
      </c>
      <c r="AI52" s="360">
        <f t="shared" si="65"/>
        <v>8.8988887918101337E-3</v>
      </c>
      <c r="AJ52" s="360">
        <f t="shared" si="66"/>
        <v>8.8493999999999989E-2</v>
      </c>
      <c r="AK52" s="360">
        <f t="shared" si="67"/>
        <v>9.7524803874196306E-2</v>
      </c>
      <c r="AL52" s="360">
        <f t="shared" si="68"/>
        <v>8.8493999999999989E-2</v>
      </c>
      <c r="AM52" s="360">
        <f t="shared" si="69"/>
        <v>1.1377799999999998</v>
      </c>
      <c r="AN52" s="360">
        <f t="shared" si="70"/>
        <v>4.6796475481206579E-2</v>
      </c>
      <c r="AO52" s="360">
        <f t="shared" si="71"/>
        <v>7.3499999999999998E-4</v>
      </c>
      <c r="AP52" s="360">
        <f t="shared" si="72"/>
        <v>0.34650000000000003</v>
      </c>
      <c r="AQ52" s="360">
        <f t="shared" si="26"/>
        <v>1.3167</v>
      </c>
      <c r="AR52" s="360">
        <f t="shared" si="73"/>
        <v>1.1088</v>
      </c>
      <c r="AS52" s="360">
        <f t="shared" si="74"/>
        <v>0.34723500000000002</v>
      </c>
      <c r="AT52" s="360">
        <f t="shared" si="75"/>
        <v>2.8361194607169402</v>
      </c>
      <c r="AU52">
        <f t="shared" si="76"/>
        <v>10.75</v>
      </c>
      <c r="AV52" s="542">
        <f t="shared" si="47"/>
        <v>0.79124874700849435</v>
      </c>
      <c r="AW52" s="551">
        <f t="shared" si="77"/>
        <v>78.089263836072462</v>
      </c>
      <c r="AX52" s="551">
        <f t="shared" si="78"/>
        <v>17.97370374721946</v>
      </c>
      <c r="AY52" s="9"/>
      <c r="AZ52" s="4">
        <f t="shared" si="48"/>
        <v>79.124874700849432</v>
      </c>
      <c r="BA52" s="360">
        <f t="shared" si="79"/>
        <v>0.30647241594206448</v>
      </c>
      <c r="BB52" s="360">
        <f t="shared" si="80"/>
        <v>2.0461552805956456</v>
      </c>
      <c r="BC52" s="360">
        <f t="shared" si="81"/>
        <v>1.5617852767214493</v>
      </c>
      <c r="BD52" s="360">
        <f t="shared" si="82"/>
        <v>0.47299220387419627</v>
      </c>
      <c r="BE52" s="360">
        <f t="shared" si="83"/>
        <v>4.6796475481206579E-2</v>
      </c>
    </row>
    <row r="53" spans="1:64" x14ac:dyDescent="0.2">
      <c r="A53" s="23" t="s">
        <v>72</v>
      </c>
      <c r="B53" s="5">
        <f>Vsd_Q2</f>
        <v>0.7</v>
      </c>
      <c r="C53" s="440" t="s">
        <v>0</v>
      </c>
      <c r="D53" s="21" t="s">
        <v>105</v>
      </c>
      <c r="G53">
        <v>44</v>
      </c>
      <c r="H53" s="548">
        <f t="shared" si="49"/>
        <v>21</v>
      </c>
      <c r="I53" s="4">
        <f t="shared" si="50"/>
        <v>1</v>
      </c>
      <c r="J53" s="360">
        <f t="shared" si="84"/>
        <v>2.2000000000000002</v>
      </c>
      <c r="K53" s="360">
        <f t="shared" si="51"/>
        <v>2.2000000000000002</v>
      </c>
      <c r="L53" s="4">
        <f t="shared" si="52"/>
        <v>0.58201058201058198</v>
      </c>
      <c r="M53" s="360">
        <f t="shared" si="53"/>
        <v>0.23938318192849634</v>
      </c>
      <c r="N53" s="4">
        <f t="shared" si="54"/>
        <v>0.82819482355068352</v>
      </c>
      <c r="O53" s="4">
        <f t="shared" si="39"/>
        <v>2.6140974117753419</v>
      </c>
      <c r="P53" s="4">
        <f t="shared" si="40"/>
        <v>1.7859025882246584</v>
      </c>
      <c r="Q53" s="4">
        <f t="shared" si="55"/>
        <v>0</v>
      </c>
      <c r="R53" s="4">
        <f t="shared" si="41"/>
        <v>2.2129525274648376</v>
      </c>
      <c r="S53" s="360">
        <f t="shared" si="56"/>
        <v>6.611164499897567E-3</v>
      </c>
      <c r="T53" s="360">
        <f t="shared" si="57"/>
        <v>0.3</v>
      </c>
      <c r="U53" s="360">
        <f t="shared" si="58"/>
        <v>0.30677341486068471</v>
      </c>
      <c r="V53" s="4">
        <f t="shared" si="42"/>
        <v>0.23907925215922088</v>
      </c>
      <c r="W53" s="360">
        <f t="shared" si="10"/>
        <v>1.1431777762602465E-4</v>
      </c>
      <c r="X53" s="360">
        <f t="shared" si="43"/>
        <v>1.1431777762602465E-4</v>
      </c>
      <c r="Y53" s="4">
        <f t="shared" si="44"/>
        <v>0.9442823608176566</v>
      </c>
      <c r="Z53" s="360">
        <f t="shared" si="11"/>
        <v>8.9166917695136707E-4</v>
      </c>
      <c r="AA53" s="541">
        <f t="shared" si="45"/>
        <v>8.9166917695136707E-4</v>
      </c>
      <c r="AB53" s="360">
        <f t="shared" si="46"/>
        <v>1.0827268710129432</v>
      </c>
      <c r="AC53" s="360">
        <f t="shared" si="59"/>
        <v>7.0337848632808708E-3</v>
      </c>
      <c r="AD53" s="360">
        <f t="shared" si="60"/>
        <v>0.17251622524493546</v>
      </c>
      <c r="AE53" s="360">
        <f t="shared" si="61"/>
        <v>0.63444464999999983</v>
      </c>
      <c r="AF53" s="360">
        <f t="shared" si="62"/>
        <v>0</v>
      </c>
      <c r="AG53" s="360">
        <f t="shared" si="63"/>
        <v>0.81514136590840824</v>
      </c>
      <c r="AH53" s="360">
        <f t="shared" si="64"/>
        <v>1.9299900029791695</v>
      </c>
      <c r="AI53" s="360">
        <f t="shared" si="65"/>
        <v>9.3121535289988362E-3</v>
      </c>
      <c r="AJ53" s="360">
        <f t="shared" si="66"/>
        <v>9.0551999999999994E-2</v>
      </c>
      <c r="AK53" s="360">
        <f t="shared" si="67"/>
        <v>0.10000570633966289</v>
      </c>
      <c r="AL53" s="360">
        <f t="shared" si="68"/>
        <v>9.0551999999999994E-2</v>
      </c>
      <c r="AM53" s="360">
        <f t="shared" si="69"/>
        <v>1.1642399999999999</v>
      </c>
      <c r="AN53" s="360">
        <f t="shared" si="70"/>
        <v>4.8971588888130128E-2</v>
      </c>
      <c r="AO53" s="360">
        <f t="shared" si="71"/>
        <v>7.3499999999999998E-4</v>
      </c>
      <c r="AP53" s="360">
        <f t="shared" si="72"/>
        <v>0.34650000000000003</v>
      </c>
      <c r="AQ53" s="360">
        <f t="shared" si="26"/>
        <v>1.3167</v>
      </c>
      <c r="AR53" s="360">
        <f t="shared" si="73"/>
        <v>1.1088</v>
      </c>
      <c r="AS53" s="360">
        <f t="shared" si="74"/>
        <v>0.34723500000000002</v>
      </c>
      <c r="AT53" s="360">
        <f t="shared" si="75"/>
        <v>2.873925062951463</v>
      </c>
      <c r="AU53">
        <f t="shared" si="76"/>
        <v>11</v>
      </c>
      <c r="AV53" s="542">
        <f t="shared" si="47"/>
        <v>0.79285421754036201</v>
      </c>
      <c r="AW53" s="551">
        <f t="shared" si="77"/>
        <v>79.176988295420415</v>
      </c>
      <c r="AX53" s="551">
        <f t="shared" si="78"/>
        <v>18.399786440907189</v>
      </c>
      <c r="AY53" s="9"/>
      <c r="AZ53" s="4">
        <f t="shared" si="48"/>
        <v>79.285421754036207</v>
      </c>
      <c r="BA53" s="360">
        <f t="shared" si="79"/>
        <v>0.30677341486068471</v>
      </c>
      <c r="BB53" s="360">
        <f t="shared" si="80"/>
        <v>2.0793870722480712</v>
      </c>
      <c r="BC53" s="360">
        <f t="shared" si="81"/>
        <v>1.5835397659084083</v>
      </c>
      <c r="BD53" s="360">
        <f t="shared" si="82"/>
        <v>0.4842049063396629</v>
      </c>
      <c r="BE53" s="360">
        <f t="shared" si="83"/>
        <v>4.8971588888130128E-2</v>
      </c>
    </row>
    <row r="54" spans="1:64" x14ac:dyDescent="0.2">
      <c r="A54" s="23" t="s">
        <v>73</v>
      </c>
      <c r="B54" s="5">
        <f>Qrr_Q2*1000000000</f>
        <v>59.999999999999993</v>
      </c>
      <c r="C54" s="440" t="s">
        <v>65</v>
      </c>
      <c r="D54" s="21" t="s">
        <v>110</v>
      </c>
      <c r="G54">
        <v>45</v>
      </c>
      <c r="H54" s="548">
        <f t="shared" si="49"/>
        <v>21</v>
      </c>
      <c r="I54" s="4">
        <f t="shared" si="50"/>
        <v>1</v>
      </c>
      <c r="J54" s="360">
        <f t="shared" si="84"/>
        <v>2.25</v>
      </c>
      <c r="K54" s="360">
        <f t="shared" si="51"/>
        <v>2.25</v>
      </c>
      <c r="L54" s="4">
        <f t="shared" si="52"/>
        <v>0.59523809523809512</v>
      </c>
      <c r="M54" s="360">
        <f t="shared" si="53"/>
        <v>0.23941243300796469</v>
      </c>
      <c r="N54" s="4">
        <f t="shared" si="54"/>
        <v>0.82827697944081513</v>
      </c>
      <c r="O54" s="4">
        <f t="shared" si="39"/>
        <v>2.6641384897204077</v>
      </c>
      <c r="P54" s="4">
        <f t="shared" si="40"/>
        <v>1.8358615102795923</v>
      </c>
      <c r="Q54" s="4">
        <f t="shared" si="55"/>
        <v>0</v>
      </c>
      <c r="R54" s="4">
        <f t="shared" si="41"/>
        <v>2.2626688289619334</v>
      </c>
      <c r="S54" s="360">
        <f t="shared" si="56"/>
        <v>6.9115548099005558E-3</v>
      </c>
      <c r="T54" s="360">
        <f t="shared" si="57"/>
        <v>0.3</v>
      </c>
      <c r="U54" s="360">
        <f t="shared" si="58"/>
        <v>0.30708134757508965</v>
      </c>
      <c r="V54" s="4">
        <f t="shared" si="42"/>
        <v>0.23910296852186239</v>
      </c>
      <c r="W54" s="360">
        <f t="shared" si="10"/>
        <v>1.1434045911193343E-4</v>
      </c>
      <c r="X54" s="360">
        <f t="shared" si="43"/>
        <v>1.1434045911193343E-4</v>
      </c>
      <c r="Y54" s="4">
        <f t="shared" si="44"/>
        <v>0.96553707581768888</v>
      </c>
      <c r="Z54" s="360">
        <f t="shared" si="11"/>
        <v>9.3226184477857358E-4</v>
      </c>
      <c r="AA54" s="541">
        <f t="shared" si="45"/>
        <v>9.3226184477857358E-4</v>
      </c>
      <c r="AB54" s="360">
        <f t="shared" si="46"/>
        <v>1.1071191019291642</v>
      </c>
      <c r="AC54" s="360">
        <f t="shared" si="59"/>
        <v>7.3542762351386341E-3</v>
      </c>
      <c r="AD54" s="360">
        <f t="shared" si="60"/>
        <v>0.17643704854595671</v>
      </c>
      <c r="AE54" s="360">
        <f t="shared" si="61"/>
        <v>0.63444464999999983</v>
      </c>
      <c r="AF54" s="360">
        <f t="shared" si="62"/>
        <v>0</v>
      </c>
      <c r="AG54" s="360">
        <f t="shared" si="63"/>
        <v>0.81944125424953917</v>
      </c>
      <c r="AH54" s="360">
        <f t="shared" si="64"/>
        <v>1.9733113093730368</v>
      </c>
      <c r="AI54" s="360">
        <f t="shared" si="65"/>
        <v>9.7348938092488221E-3</v>
      </c>
      <c r="AJ54" s="360">
        <f t="shared" si="66"/>
        <v>9.2609999999999984E-2</v>
      </c>
      <c r="AK54" s="360">
        <f t="shared" si="67"/>
        <v>0.10249655836219215</v>
      </c>
      <c r="AL54" s="360">
        <f t="shared" si="68"/>
        <v>9.2609999999999984E-2</v>
      </c>
      <c r="AM54" s="360">
        <f t="shared" si="69"/>
        <v>1.1906999999999999</v>
      </c>
      <c r="AN54" s="360">
        <f t="shared" si="70"/>
        <v>5.1196702295559671E-2</v>
      </c>
      <c r="AO54" s="360">
        <f t="shared" si="71"/>
        <v>7.3499999999999998E-4</v>
      </c>
      <c r="AP54" s="360">
        <f t="shared" si="72"/>
        <v>0.34650000000000003</v>
      </c>
      <c r="AQ54" s="360">
        <f t="shared" si="26"/>
        <v>1.3167</v>
      </c>
      <c r="AR54" s="360">
        <f t="shared" si="73"/>
        <v>1.1088</v>
      </c>
      <c r="AS54" s="360">
        <f t="shared" si="74"/>
        <v>0.34723500000000002</v>
      </c>
      <c r="AT54" s="360">
        <f t="shared" si="75"/>
        <v>2.9118074647862708</v>
      </c>
      <c r="AU54">
        <f t="shared" si="76"/>
        <v>11.25</v>
      </c>
      <c r="AV54" s="542">
        <f t="shared" si="47"/>
        <v>0.79439012484624139</v>
      </c>
      <c r="AW54" s="551">
        <f t="shared" si="77"/>
        <v>80.26516271247695</v>
      </c>
      <c r="AX54" s="551">
        <f t="shared" si="78"/>
        <v>18.826247217763299</v>
      </c>
      <c r="AY54" s="9"/>
      <c r="AZ54" s="4">
        <f t="shared" si="48"/>
        <v>79.439012484624143</v>
      </c>
      <c r="BA54" s="360">
        <f t="shared" si="79"/>
        <v>0.30708134757508965</v>
      </c>
      <c r="BB54" s="360">
        <f t="shared" si="80"/>
        <v>2.1126378126117311</v>
      </c>
      <c r="BC54" s="360">
        <f t="shared" si="81"/>
        <v>1.6053032542495391</v>
      </c>
      <c r="BD54" s="360">
        <f t="shared" si="82"/>
        <v>0.4954275583621921</v>
      </c>
      <c r="BE54" s="360">
        <f t="shared" si="83"/>
        <v>5.1196702295559671E-2</v>
      </c>
    </row>
    <row r="55" spans="1:64" x14ac:dyDescent="0.2">
      <c r="A55" s="23" t="s">
        <v>74</v>
      </c>
      <c r="B55" s="5">
        <f>Trr_Q2*1000000000</f>
        <v>40</v>
      </c>
      <c r="C55" s="440" t="s">
        <v>75</v>
      </c>
      <c r="D55" s="76" t="s">
        <v>106</v>
      </c>
      <c r="G55">
        <v>46</v>
      </c>
      <c r="H55" s="548">
        <f t="shared" si="49"/>
        <v>21</v>
      </c>
      <c r="I55" s="4">
        <f t="shared" si="50"/>
        <v>1</v>
      </c>
      <c r="J55" s="360">
        <f t="shared" si="84"/>
        <v>2.2999999999999998</v>
      </c>
      <c r="K55" s="360">
        <f t="shared" si="51"/>
        <v>2.2999999999999998</v>
      </c>
      <c r="L55" s="4">
        <f t="shared" si="52"/>
        <v>0.60846560846560838</v>
      </c>
      <c r="M55" s="360">
        <f t="shared" si="53"/>
        <v>0.23944168318268663</v>
      </c>
      <c r="N55" s="4">
        <f t="shared" si="54"/>
        <v>0.82835912754735552</v>
      </c>
      <c r="O55" s="4">
        <f t="shared" si="39"/>
        <v>2.7141795637736776</v>
      </c>
      <c r="P55" s="4">
        <f t="shared" si="40"/>
        <v>1.885820436226322</v>
      </c>
      <c r="Q55" s="4">
        <f t="shared" si="55"/>
        <v>0</v>
      </c>
      <c r="R55" s="4">
        <f t="shared" si="41"/>
        <v>2.3123973642843589</v>
      </c>
      <c r="S55" s="360">
        <f t="shared" si="56"/>
        <v>7.2186951199714883E-3</v>
      </c>
      <c r="T55" s="360">
        <f t="shared" si="57"/>
        <v>0.3</v>
      </c>
      <c r="U55" s="360">
        <f t="shared" si="58"/>
        <v>0.30739621508458975</v>
      </c>
      <c r="V55" s="4">
        <f t="shared" si="42"/>
        <v>0.23912668263757464</v>
      </c>
      <c r="W55" s="360">
        <f t="shared" si="10"/>
        <v>1.1436314069850268E-4</v>
      </c>
      <c r="X55" s="360">
        <f t="shared" si="43"/>
        <v>1.1436314069850268E-4</v>
      </c>
      <c r="Y55" s="4">
        <f t="shared" si="44"/>
        <v>0.986798780144582</v>
      </c>
      <c r="Z55" s="360">
        <f t="shared" si="11"/>
        <v>9.7377183249483512E-4</v>
      </c>
      <c r="AA55" s="541">
        <f t="shared" si="45"/>
        <v>9.7377183249483512E-4</v>
      </c>
      <c r="AB55" s="360">
        <f t="shared" si="46"/>
        <v>1.1315202850536379</v>
      </c>
      <c r="AC55" s="360">
        <f t="shared" si="59"/>
        <v>7.6820289329271952E-3</v>
      </c>
      <c r="AD55" s="360">
        <f t="shared" si="60"/>
        <v>0.18035787184697796</v>
      </c>
      <c r="AE55" s="360">
        <f t="shared" si="61"/>
        <v>0.63444464999999983</v>
      </c>
      <c r="AF55" s="360">
        <f t="shared" si="62"/>
        <v>0</v>
      </c>
      <c r="AG55" s="360">
        <f t="shared" si="63"/>
        <v>0.82375016530057354</v>
      </c>
      <c r="AH55" s="360">
        <f t="shared" si="64"/>
        <v>2.0166416178541451</v>
      </c>
      <c r="AI55" s="360">
        <f t="shared" si="65"/>
        <v>1.016710853715346E-2</v>
      </c>
      <c r="AJ55" s="360">
        <f t="shared" si="66"/>
        <v>9.4667999999999988E-2</v>
      </c>
      <c r="AK55" s="360">
        <f t="shared" si="67"/>
        <v>0.10499737152736349</v>
      </c>
      <c r="AL55" s="360">
        <f t="shared" si="68"/>
        <v>9.4667999999999988E-2</v>
      </c>
      <c r="AM55" s="360">
        <f t="shared" si="69"/>
        <v>1.2171599999999996</v>
      </c>
      <c r="AN55" s="360">
        <f t="shared" si="70"/>
        <v>5.3471815703492506E-2</v>
      </c>
      <c r="AO55" s="360">
        <f t="shared" si="71"/>
        <v>7.3499999999999998E-4</v>
      </c>
      <c r="AP55" s="360">
        <f t="shared" si="72"/>
        <v>0.34650000000000003</v>
      </c>
      <c r="AQ55" s="360">
        <f t="shared" si="26"/>
        <v>1.3167</v>
      </c>
      <c r="AR55" s="360">
        <f t="shared" si="73"/>
        <v>1.1088</v>
      </c>
      <c r="AS55" s="360">
        <f t="shared" si="74"/>
        <v>0.34723500000000002</v>
      </c>
      <c r="AT55" s="360">
        <f t="shared" si="75"/>
        <v>2.949766702589212</v>
      </c>
      <c r="AU55">
        <f t="shared" si="76"/>
        <v>11.5</v>
      </c>
      <c r="AV55" s="542">
        <f t="shared" si="47"/>
        <v>0.79586060015345084</v>
      </c>
      <c r="AW55" s="551">
        <f t="shared" si="77"/>
        <v>81.353788265028655</v>
      </c>
      <c r="AX55" s="551">
        <f t="shared" si="78"/>
        <v>19.253086518039805</v>
      </c>
      <c r="AY55" s="9"/>
      <c r="AZ55" s="4">
        <f t="shared" si="48"/>
        <v>79.586060015345083</v>
      </c>
      <c r="BA55" s="360">
        <f t="shared" si="79"/>
        <v>0.30739621508458975</v>
      </c>
      <c r="BB55" s="360">
        <f t="shared" si="80"/>
        <v>2.1459075368279366</v>
      </c>
      <c r="BC55" s="360">
        <f t="shared" si="81"/>
        <v>1.6270757653005732</v>
      </c>
      <c r="BD55" s="360">
        <f t="shared" si="82"/>
        <v>0.50666017152736331</v>
      </c>
      <c r="BE55" s="360">
        <f t="shared" si="83"/>
        <v>5.3471815703492506E-2</v>
      </c>
    </row>
    <row r="56" spans="1:64" ht="15.75" x14ac:dyDescent="0.3">
      <c r="A56" s="446" t="s">
        <v>471</v>
      </c>
      <c r="B56" s="5">
        <f>ThetaJA_Q2</f>
        <v>38</v>
      </c>
      <c r="C56" s="441" t="s">
        <v>205</v>
      </c>
      <c r="D56" s="76" t="s">
        <v>103</v>
      </c>
      <c r="E56" s="2"/>
      <c r="G56">
        <v>47</v>
      </c>
      <c r="H56" s="548">
        <f t="shared" si="49"/>
        <v>21</v>
      </c>
      <c r="I56" s="4">
        <f t="shared" si="50"/>
        <v>1</v>
      </c>
      <c r="J56" s="360">
        <f t="shared" si="84"/>
        <v>2.35</v>
      </c>
      <c r="K56" s="360">
        <f t="shared" si="51"/>
        <v>2.35</v>
      </c>
      <c r="L56" s="4">
        <f t="shared" si="52"/>
        <v>0.62169312169312163</v>
      </c>
      <c r="M56" s="360">
        <f t="shared" si="53"/>
        <v>0.23947093245270404</v>
      </c>
      <c r="N56" s="4">
        <f t="shared" si="54"/>
        <v>0.82844126787066563</v>
      </c>
      <c r="O56" s="4">
        <f t="shared" si="39"/>
        <v>2.764220633935333</v>
      </c>
      <c r="P56" s="4">
        <f t="shared" si="40"/>
        <v>1.9357793660646672</v>
      </c>
      <c r="Q56" s="4">
        <f t="shared" si="55"/>
        <v>0</v>
      </c>
      <c r="R56" s="4">
        <f t="shared" si="41"/>
        <v>2.3621373607799776</v>
      </c>
      <c r="S56" s="360">
        <f t="shared" si="56"/>
        <v>7.532585430110008E-3</v>
      </c>
      <c r="T56" s="360">
        <f t="shared" si="57"/>
        <v>0.3</v>
      </c>
      <c r="U56" s="360">
        <f t="shared" si="58"/>
        <v>0.30771801841107521</v>
      </c>
      <c r="V56" s="4">
        <f t="shared" si="42"/>
        <v>0.23915039450646186</v>
      </c>
      <c r="W56" s="360">
        <f t="shared" si="10"/>
        <v>1.1438582238519268E-4</v>
      </c>
      <c r="X56" s="360">
        <f t="shared" si="43"/>
        <v>1.1438582238519268E-4</v>
      </c>
      <c r="Y56" s="4">
        <f t="shared" si="44"/>
        <v>1.0080671442247531</v>
      </c>
      <c r="Z56" s="360">
        <f t="shared" si="11"/>
        <v>1.0161993672654491E-3</v>
      </c>
      <c r="AA56" s="541">
        <f t="shared" si="45"/>
        <v>1.0161993672654491E-3</v>
      </c>
      <c r="AB56" s="360">
        <f t="shared" si="46"/>
        <v>1.1559300429710417</v>
      </c>
      <c r="AC56" s="360">
        <f t="shared" si="59"/>
        <v>8.0170455854582066E-3</v>
      </c>
      <c r="AD56" s="360">
        <f t="shared" si="60"/>
        <v>0.18427869514799922</v>
      </c>
      <c r="AE56" s="360">
        <f t="shared" si="61"/>
        <v>0.63444464999999983</v>
      </c>
      <c r="AF56" s="360">
        <f t="shared" si="62"/>
        <v>0</v>
      </c>
      <c r="AG56" s="360">
        <f t="shared" si="63"/>
        <v>0.82806812271098507</v>
      </c>
      <c r="AH56" s="360">
        <f t="shared" si="64"/>
        <v>2.0599802540193353</v>
      </c>
      <c r="AI56" s="360">
        <f t="shared" si="65"/>
        <v>1.0608796617373913E-2</v>
      </c>
      <c r="AJ56" s="360">
        <f t="shared" si="66"/>
        <v>9.6725999999999993E-2</v>
      </c>
      <c r="AK56" s="360">
        <f t="shared" si="67"/>
        <v>0.1075081575083866</v>
      </c>
      <c r="AL56" s="360">
        <f t="shared" si="68"/>
        <v>9.6725999999999993E-2</v>
      </c>
      <c r="AM56" s="360">
        <f t="shared" si="69"/>
        <v>1.2436199999999999</v>
      </c>
      <c r="AN56" s="360">
        <f t="shared" si="70"/>
        <v>5.5796929111925984E-2</v>
      </c>
      <c r="AO56" s="360">
        <f t="shared" si="71"/>
        <v>7.3499999999999998E-4</v>
      </c>
      <c r="AP56" s="360">
        <f t="shared" si="72"/>
        <v>0.34650000000000003</v>
      </c>
      <c r="AQ56" s="360">
        <f t="shared" si="26"/>
        <v>1.3167</v>
      </c>
      <c r="AR56" s="360">
        <f t="shared" si="73"/>
        <v>1.1088</v>
      </c>
      <c r="AS56" s="360">
        <f t="shared" si="74"/>
        <v>0.34723500000000002</v>
      </c>
      <c r="AT56" s="360">
        <f t="shared" si="75"/>
        <v>2.9878028129320238</v>
      </c>
      <c r="AU56">
        <f t="shared" si="76"/>
        <v>11.75</v>
      </c>
      <c r="AV56" s="542">
        <f t="shared" si="47"/>
        <v>0.79726945387610237</v>
      </c>
      <c r="AW56" s="551">
        <f t="shared" si="77"/>
        <v>82.442866135549252</v>
      </c>
      <c r="AX56" s="551">
        <f t="shared" si="78"/>
        <v>19.68030478531869</v>
      </c>
      <c r="AY56" s="9"/>
      <c r="AZ56" s="4">
        <f t="shared" si="48"/>
        <v>79.726945387610243</v>
      </c>
      <c r="BA56" s="360">
        <f t="shared" si="79"/>
        <v>0.30771801841107521</v>
      </c>
      <c r="BB56" s="360">
        <f t="shared" si="80"/>
        <v>2.1791962802193714</v>
      </c>
      <c r="BC56" s="360">
        <f t="shared" si="81"/>
        <v>1.6488573227109851</v>
      </c>
      <c r="BD56" s="360">
        <f t="shared" si="82"/>
        <v>0.51790275750838655</v>
      </c>
      <c r="BE56" s="360">
        <f t="shared" si="83"/>
        <v>5.5796929111925984E-2</v>
      </c>
      <c r="BK56" s="18"/>
      <c r="BL56" s="19"/>
    </row>
    <row r="57" spans="1:64" x14ac:dyDescent="0.2">
      <c r="A57" s="24" t="s">
        <v>224</v>
      </c>
      <c r="B57" s="15" t="s">
        <v>111</v>
      </c>
      <c r="C57" s="24" t="s">
        <v>76</v>
      </c>
      <c r="D57" s="24" t="s">
        <v>213</v>
      </c>
      <c r="G57">
        <v>48</v>
      </c>
      <c r="H57" s="548">
        <f t="shared" si="49"/>
        <v>21</v>
      </c>
      <c r="I57" s="4">
        <f t="shared" si="50"/>
        <v>1</v>
      </c>
      <c r="J57" s="360">
        <f t="shared" si="84"/>
        <v>2.4</v>
      </c>
      <c r="K57" s="360">
        <f t="shared" si="51"/>
        <v>2.4</v>
      </c>
      <c r="L57" s="4">
        <f t="shared" si="52"/>
        <v>0.63492063492063489</v>
      </c>
      <c r="M57" s="360">
        <f t="shared" si="53"/>
        <v>0.23950018081805899</v>
      </c>
      <c r="N57" s="4">
        <f t="shared" si="54"/>
        <v>0.82852340041110673</v>
      </c>
      <c r="O57" s="4">
        <f t="shared" si="39"/>
        <v>2.8142617002055532</v>
      </c>
      <c r="P57" s="4">
        <f t="shared" si="40"/>
        <v>1.9857382997944466</v>
      </c>
      <c r="Q57" s="4">
        <f t="shared" si="55"/>
        <v>0</v>
      </c>
      <c r="R57" s="4">
        <f t="shared" si="41"/>
        <v>2.4118881093628146</v>
      </c>
      <c r="S57" s="360">
        <f t="shared" si="56"/>
        <v>7.8532257403157394E-3</v>
      </c>
      <c r="T57" s="360">
        <f t="shared" si="57"/>
        <v>0.3</v>
      </c>
      <c r="U57" s="360">
        <f t="shared" si="58"/>
        <v>0.30804675859902375</v>
      </c>
      <c r="V57" s="4">
        <f t="shared" si="42"/>
        <v>0.2391741041286283</v>
      </c>
      <c r="W57" s="360">
        <f t="shared" si="10"/>
        <v>1.1440850417146386E-4</v>
      </c>
      <c r="X57" s="360">
        <f t="shared" si="43"/>
        <v>1.1440850417146386E-4</v>
      </c>
      <c r="Y57" s="4">
        <f t="shared" si="44"/>
        <v>1.0293418655579885</v>
      </c>
      <c r="Z57" s="360">
        <f t="shared" si="11"/>
        <v>1.0595446761904001E-3</v>
      </c>
      <c r="AA57" s="541">
        <f t="shared" si="45"/>
        <v>1.0595446761904001E-3</v>
      </c>
      <c r="AB57" s="360">
        <f t="shared" si="46"/>
        <v>1.1803480292820905</v>
      </c>
      <c r="AC57" s="360">
        <f t="shared" si="59"/>
        <v>8.3593288213806884E-3</v>
      </c>
      <c r="AD57" s="360">
        <f t="shared" si="60"/>
        <v>0.1881995184490205</v>
      </c>
      <c r="AE57" s="360">
        <f t="shared" si="61"/>
        <v>0.63444464999999983</v>
      </c>
      <c r="AF57" s="360">
        <f t="shared" si="62"/>
        <v>0</v>
      </c>
      <c r="AG57" s="360">
        <f t="shared" si="63"/>
        <v>0.83239515022441068</v>
      </c>
      <c r="AH57" s="360">
        <f t="shared" si="64"/>
        <v>2.1033265989511989</v>
      </c>
      <c r="AI57" s="360">
        <f t="shared" si="65"/>
        <v>1.1059956954639042E-2</v>
      </c>
      <c r="AJ57" s="360">
        <f t="shared" si="66"/>
        <v>9.8783999999999983E-2</v>
      </c>
      <c r="AK57" s="360">
        <f t="shared" si="67"/>
        <v>0.1100289280662821</v>
      </c>
      <c r="AL57" s="360">
        <f t="shared" si="68"/>
        <v>9.8783999999999983E-2</v>
      </c>
      <c r="AM57" s="360">
        <f t="shared" si="69"/>
        <v>1.2700799999999999</v>
      </c>
      <c r="AN57" s="360">
        <f t="shared" si="70"/>
        <v>5.8172042520857323E-2</v>
      </c>
      <c r="AO57" s="360">
        <f t="shared" si="71"/>
        <v>7.3499999999999998E-4</v>
      </c>
      <c r="AP57" s="360">
        <f t="shared" si="72"/>
        <v>0.34650000000000003</v>
      </c>
      <c r="AQ57" s="360">
        <f t="shared" si="26"/>
        <v>1.3167</v>
      </c>
      <c r="AR57" s="360">
        <f t="shared" si="73"/>
        <v>1.1088</v>
      </c>
      <c r="AS57" s="360">
        <f t="shared" si="74"/>
        <v>0.34723500000000002</v>
      </c>
      <c r="AT57" s="360">
        <f t="shared" si="75"/>
        <v>3.0259158325909352</v>
      </c>
      <c r="AU57">
        <f t="shared" si="76"/>
        <v>12</v>
      </c>
      <c r="AV57" s="542">
        <f t="shared" si="47"/>
        <v>0.79862020616222407</v>
      </c>
      <c r="AW57" s="551">
        <f t="shared" si="77"/>
        <v>83.532397511220523</v>
      </c>
      <c r="AX57" s="551">
        <f t="shared" si="78"/>
        <v>20.10790246651872</v>
      </c>
      <c r="AY57" s="9"/>
      <c r="AZ57" s="4">
        <f t="shared" si="48"/>
        <v>79.862020616222409</v>
      </c>
      <c r="BA57" s="360">
        <f t="shared" si="79"/>
        <v>0.30804675859902375</v>
      </c>
      <c r="BB57" s="360">
        <f t="shared" si="80"/>
        <v>2.2125040782906926</v>
      </c>
      <c r="BC57" s="360">
        <f t="shared" si="81"/>
        <v>1.6706479502244105</v>
      </c>
      <c r="BD57" s="360">
        <f t="shared" si="82"/>
        <v>0.52915532806628207</v>
      </c>
      <c r="BE57" s="360">
        <f t="shared" si="83"/>
        <v>5.8172042520857323E-2</v>
      </c>
      <c r="BK57" s="18"/>
      <c r="BL57" s="19"/>
    </row>
    <row r="58" spans="1:64" x14ac:dyDescent="0.2">
      <c r="A58" s="23" t="s">
        <v>195</v>
      </c>
      <c r="B58" s="73">
        <f>VfdSky_Q2</f>
        <v>0</v>
      </c>
      <c r="C58" s="440" t="s">
        <v>0</v>
      </c>
      <c r="D58" s="76" t="s">
        <v>198</v>
      </c>
      <c r="G58">
        <v>49</v>
      </c>
      <c r="H58" s="548">
        <f t="shared" si="49"/>
        <v>21</v>
      </c>
      <c r="I58" s="4">
        <f t="shared" si="50"/>
        <v>1</v>
      </c>
      <c r="J58" s="360">
        <f t="shared" si="84"/>
        <v>2.4500000000000002</v>
      </c>
      <c r="K58" s="360">
        <f t="shared" si="51"/>
        <v>2.4500000000000002</v>
      </c>
      <c r="L58" s="4">
        <f t="shared" si="52"/>
        <v>0.64814814814814803</v>
      </c>
      <c r="M58" s="360">
        <f t="shared" si="53"/>
        <v>0.23952942827879334</v>
      </c>
      <c r="N58" s="4">
        <f t="shared" si="54"/>
        <v>0.82860552516903963</v>
      </c>
      <c r="O58" s="4">
        <f t="shared" si="39"/>
        <v>2.8643027625845199</v>
      </c>
      <c r="P58" s="4">
        <f t="shared" si="40"/>
        <v>2.0356972374154805</v>
      </c>
      <c r="Q58" s="4">
        <f t="shared" si="55"/>
        <v>0</v>
      </c>
      <c r="R58" s="4">
        <f t="shared" si="41"/>
        <v>2.4616489581230687</v>
      </c>
      <c r="S58" s="360">
        <f t="shared" si="56"/>
        <v>8.1806160505883269E-3</v>
      </c>
      <c r="T58" s="360">
        <f t="shared" si="57"/>
        <v>0.3</v>
      </c>
      <c r="U58" s="360">
        <f t="shared" si="58"/>
        <v>0.30838243671550952</v>
      </c>
      <c r="V58" s="4">
        <f t="shared" si="42"/>
        <v>0.23919781150417815</v>
      </c>
      <c r="W58" s="360">
        <f t="shared" si="10"/>
        <v>1.1443118605677669E-4</v>
      </c>
      <c r="X58" s="360">
        <f t="shared" si="43"/>
        <v>1.1443118605677669E-4</v>
      </c>
      <c r="Y58" s="4">
        <f t="shared" si="44"/>
        <v>1.0506226659959195</v>
      </c>
      <c r="Z58" s="360">
        <f t="shared" si="11"/>
        <v>1.1038079863043733E-3</v>
      </c>
      <c r="AA58" s="541">
        <f t="shared" si="45"/>
        <v>1.1038079863043733E-3</v>
      </c>
      <c r="AB58" s="360">
        <f t="shared" si="46"/>
        <v>1.204773925485682</v>
      </c>
      <c r="AC58" s="360">
        <f t="shared" si="59"/>
        <v>8.7088812691810766E-3</v>
      </c>
      <c r="AD58" s="360">
        <f t="shared" si="60"/>
        <v>0.19212034175004175</v>
      </c>
      <c r="AE58" s="360">
        <f t="shared" si="61"/>
        <v>0.63444464999999983</v>
      </c>
      <c r="AF58" s="360">
        <f t="shared" si="62"/>
        <v>0</v>
      </c>
      <c r="AG58" s="360">
        <f t="shared" si="63"/>
        <v>0.83673127167907546</v>
      </c>
      <c r="AH58" s="360">
        <f t="shared" si="64"/>
        <v>2.1466800836403666</v>
      </c>
      <c r="AI58" s="360">
        <f t="shared" si="65"/>
        <v>1.1520588453745529E-2</v>
      </c>
      <c r="AJ58" s="360">
        <f t="shared" si="66"/>
        <v>0.100842</v>
      </c>
      <c r="AK58" s="360">
        <f t="shared" si="67"/>
        <v>0.11255969505006447</v>
      </c>
      <c r="AL58" s="360">
        <f t="shared" si="68"/>
        <v>0.100842</v>
      </c>
      <c r="AM58" s="360">
        <f t="shared" si="69"/>
        <v>1.29654</v>
      </c>
      <c r="AN58" s="360">
        <f t="shared" si="70"/>
        <v>6.0597155930283898E-2</v>
      </c>
      <c r="AO58" s="360">
        <f t="shared" si="71"/>
        <v>7.3499999999999998E-4</v>
      </c>
      <c r="AP58" s="360">
        <f t="shared" si="72"/>
        <v>0.34650000000000003</v>
      </c>
      <c r="AQ58" s="360">
        <f t="shared" si="26"/>
        <v>1.3167</v>
      </c>
      <c r="AR58" s="360">
        <f t="shared" si="73"/>
        <v>1.1088</v>
      </c>
      <c r="AS58" s="360">
        <f t="shared" si="74"/>
        <v>0.34723500000000002</v>
      </c>
      <c r="AT58" s="360">
        <f t="shared" si="75"/>
        <v>3.0641057985472946</v>
      </c>
      <c r="AU58">
        <f t="shared" si="76"/>
        <v>12.25</v>
      </c>
      <c r="AV58" s="542">
        <f t="shared" si="47"/>
        <v>0.79991611401574891</v>
      </c>
      <c r="AW58" s="551">
        <f t="shared" si="77"/>
        <v>84.622383583953777</v>
      </c>
      <c r="AX58" s="551">
        <f t="shared" si="78"/>
        <v>20.535880011902449</v>
      </c>
      <c r="AY58" s="9"/>
      <c r="AZ58" s="4">
        <f t="shared" si="48"/>
        <v>79.991611401574886</v>
      </c>
      <c r="BA58" s="360">
        <f t="shared" si="79"/>
        <v>0.30838243671550952</v>
      </c>
      <c r="BB58" s="360">
        <f t="shared" si="80"/>
        <v>2.2458309667291401</v>
      </c>
      <c r="BC58" s="360">
        <f t="shared" si="81"/>
        <v>1.6924476716790755</v>
      </c>
      <c r="BD58" s="360">
        <f t="shared" si="82"/>
        <v>0.54041789505006443</v>
      </c>
      <c r="BE58" s="360">
        <f t="shared" si="83"/>
        <v>6.0597155930283898E-2</v>
      </c>
      <c r="BK58" s="18"/>
      <c r="BL58" s="19"/>
    </row>
    <row r="59" spans="1:64" x14ac:dyDescent="0.2">
      <c r="A59" s="23" t="s">
        <v>196</v>
      </c>
      <c r="B59" s="73">
        <f>QrrSky_Q2*1000000000</f>
        <v>0</v>
      </c>
      <c r="C59" s="440" t="s">
        <v>65</v>
      </c>
      <c r="D59" s="76" t="s">
        <v>199</v>
      </c>
      <c r="G59">
        <v>50</v>
      </c>
      <c r="H59" s="548">
        <f t="shared" si="49"/>
        <v>21</v>
      </c>
      <c r="I59" s="4">
        <f t="shared" si="50"/>
        <v>1</v>
      </c>
      <c r="J59" s="360">
        <f t="shared" si="84"/>
        <v>2.5</v>
      </c>
      <c r="K59" s="360">
        <f t="shared" si="51"/>
        <v>2.5</v>
      </c>
      <c r="L59" s="4">
        <f t="shared" si="52"/>
        <v>0.66137566137566128</v>
      </c>
      <c r="M59" s="360">
        <f t="shared" si="53"/>
        <v>0.23955867483494916</v>
      </c>
      <c r="N59" s="4">
        <f t="shared" si="54"/>
        <v>0.82868764214482571</v>
      </c>
      <c r="O59" s="4">
        <f t="shared" si="39"/>
        <v>2.9143438210724129</v>
      </c>
      <c r="P59" s="4">
        <f t="shared" si="40"/>
        <v>2.0856561789275871</v>
      </c>
      <c r="Q59" s="4">
        <f t="shared" si="55"/>
        <v>0</v>
      </c>
      <c r="R59" s="4">
        <f t="shared" si="41"/>
        <v>2.5114193066909984</v>
      </c>
      <c r="S59" s="360">
        <f t="shared" si="56"/>
        <v>8.5147563609273991E-3</v>
      </c>
      <c r="T59" s="360">
        <f t="shared" si="57"/>
        <v>0.3</v>
      </c>
      <c r="U59" s="360">
        <f t="shared" si="58"/>
        <v>0.30872505385021132</v>
      </c>
      <c r="V59" s="4">
        <f t="shared" si="42"/>
        <v>0.2392215166332157</v>
      </c>
      <c r="W59" s="360">
        <f t="shared" si="10"/>
        <v>1.144538680405918E-4</v>
      </c>
      <c r="X59" s="360">
        <f t="shared" si="43"/>
        <v>1.144538680405918E-4</v>
      </c>
      <c r="Y59" s="4">
        <f t="shared" si="44"/>
        <v>1.0719092893415751</v>
      </c>
      <c r="Z59" s="360">
        <f t="shared" si="11"/>
        <v>1.1489895245767607E-3</v>
      </c>
      <c r="AA59" s="541">
        <f t="shared" si="45"/>
        <v>1.1489895245767607E-3</v>
      </c>
      <c r="AB59" s="360">
        <f t="shared" si="46"/>
        <v>1.229207438228878</v>
      </c>
      <c r="AC59" s="360">
        <f t="shared" si="59"/>
        <v>9.0657055571832061E-3</v>
      </c>
      <c r="AD59" s="360">
        <f t="shared" si="60"/>
        <v>0.196041165051063</v>
      </c>
      <c r="AE59" s="360">
        <f t="shared" si="61"/>
        <v>0.63444464999999983</v>
      </c>
      <c r="AF59" s="360">
        <f t="shared" si="62"/>
        <v>0</v>
      </c>
      <c r="AG59" s="360">
        <f t="shared" si="63"/>
        <v>0.84107651100821867</v>
      </c>
      <c r="AH59" s="360">
        <f t="shared" si="64"/>
        <v>2.1900401840658299</v>
      </c>
      <c r="AI59" s="360">
        <f t="shared" si="65"/>
        <v>1.1990690019557736E-2</v>
      </c>
      <c r="AJ59" s="360">
        <f t="shared" si="66"/>
        <v>0.10289999999999999</v>
      </c>
      <c r="AK59" s="360">
        <f t="shared" si="67"/>
        <v>0.11510047039692624</v>
      </c>
      <c r="AL59" s="360">
        <f t="shared" si="68"/>
        <v>0.10289999999999999</v>
      </c>
      <c r="AM59" s="360">
        <f t="shared" si="69"/>
        <v>1.323</v>
      </c>
      <c r="AN59" s="360">
        <f t="shared" si="70"/>
        <v>6.3072269340202949E-2</v>
      </c>
      <c r="AO59" s="360">
        <f t="shared" si="71"/>
        <v>7.3499999999999998E-4</v>
      </c>
      <c r="AP59" s="360">
        <f t="shared" si="72"/>
        <v>0.34650000000000003</v>
      </c>
      <c r="AQ59" s="360">
        <f t="shared" si="26"/>
        <v>1.3167</v>
      </c>
      <c r="AR59" s="360">
        <f t="shared" si="73"/>
        <v>1.1088</v>
      </c>
      <c r="AS59" s="360">
        <f t="shared" si="74"/>
        <v>0.34723500000000002</v>
      </c>
      <c r="AT59" s="360">
        <f t="shared" si="75"/>
        <v>3.1023727479881766</v>
      </c>
      <c r="AU59">
        <f t="shared" si="76"/>
        <v>12.5</v>
      </c>
      <c r="AV59" s="542">
        <f t="shared" si="47"/>
        <v>0.80116019543321015</v>
      </c>
      <c r="AW59" s="551">
        <f t="shared" si="77"/>
        <v>85.712825550410926</v>
      </c>
      <c r="AX59" s="551">
        <f t="shared" si="78"/>
        <v>20.964237875083196</v>
      </c>
      <c r="AY59" s="9"/>
      <c r="AZ59" s="4">
        <f t="shared" si="48"/>
        <v>80.116019543321016</v>
      </c>
      <c r="BA59" s="360">
        <f t="shared" si="79"/>
        <v>0.30872505385021132</v>
      </c>
      <c r="BB59" s="360">
        <f t="shared" si="80"/>
        <v>2.2791769814051448</v>
      </c>
      <c r="BC59" s="360">
        <f t="shared" si="81"/>
        <v>1.7142565110082186</v>
      </c>
      <c r="BD59" s="360">
        <f t="shared" si="82"/>
        <v>0.5516904703969262</v>
      </c>
      <c r="BE59" s="360">
        <f t="shared" si="83"/>
        <v>6.3072269340202949E-2</v>
      </c>
      <c r="BK59" s="18"/>
      <c r="BL59" s="19"/>
    </row>
    <row r="60" spans="1:64" x14ac:dyDescent="0.2">
      <c r="A60" s="23" t="s">
        <v>197</v>
      </c>
      <c r="B60" s="73">
        <f>Ireverse</f>
        <v>0</v>
      </c>
      <c r="C60" s="440" t="s">
        <v>64</v>
      </c>
      <c r="D60" s="76" t="s">
        <v>200</v>
      </c>
      <c r="E60" s="2"/>
      <c r="G60">
        <v>51</v>
      </c>
      <c r="H60" s="548">
        <f t="shared" si="49"/>
        <v>21</v>
      </c>
      <c r="I60" s="4">
        <f t="shared" si="50"/>
        <v>1</v>
      </c>
      <c r="J60" s="360">
        <f t="shared" si="84"/>
        <v>2.5499999999999998</v>
      </c>
      <c r="K60" s="360">
        <f t="shared" si="51"/>
        <v>2.5499999999999998</v>
      </c>
      <c r="L60" s="4">
        <f t="shared" si="52"/>
        <v>0.67460317460317454</v>
      </c>
      <c r="M60" s="360">
        <f t="shared" si="53"/>
        <v>0.23958792048656832</v>
      </c>
      <c r="N60" s="4">
        <f t="shared" si="54"/>
        <v>0.82876975133882558</v>
      </c>
      <c r="O60" s="4">
        <f t="shared" si="39"/>
        <v>2.9643848756694124</v>
      </c>
      <c r="P60" s="4">
        <f t="shared" si="40"/>
        <v>2.1356151243305872</v>
      </c>
      <c r="Q60" s="4">
        <f t="shared" si="55"/>
        <v>0</v>
      </c>
      <c r="R60" s="4">
        <f t="shared" si="41"/>
        <v>2.5611986012531682</v>
      </c>
      <c r="S60" s="360">
        <f t="shared" si="56"/>
        <v>8.8556466713326006E-3</v>
      </c>
      <c r="T60" s="360">
        <f t="shared" si="57"/>
        <v>0.3</v>
      </c>
      <c r="U60" s="360">
        <f t="shared" si="58"/>
        <v>0.309074611115422</v>
      </c>
      <c r="V60" s="4">
        <f t="shared" si="42"/>
        <v>0.2392452195158451</v>
      </c>
      <c r="W60" s="360">
        <f t="shared" si="10"/>
        <v>1.1447655012236982E-4</v>
      </c>
      <c r="X60" s="360">
        <f t="shared" si="43"/>
        <v>1.1447655012236982E-4</v>
      </c>
      <c r="Y60" s="4">
        <f t="shared" si="44"/>
        <v>1.0932014992267762</v>
      </c>
      <c r="Z60" s="360">
        <f t="shared" si="11"/>
        <v>1.1950895179116711E-3</v>
      </c>
      <c r="AA60" s="541">
        <f t="shared" si="45"/>
        <v>1.1950895179116711E-3</v>
      </c>
      <c r="AB60" s="360">
        <f t="shared" si="46"/>
        <v>1.2536482968751874</v>
      </c>
      <c r="AC60" s="360">
        <f t="shared" si="59"/>
        <v>9.4298043135483487E-3</v>
      </c>
      <c r="AD60" s="360">
        <f t="shared" si="60"/>
        <v>0.19996198835208426</v>
      </c>
      <c r="AE60" s="360">
        <f t="shared" si="61"/>
        <v>0.63444464999999983</v>
      </c>
      <c r="AF60" s="360">
        <f t="shared" si="62"/>
        <v>0</v>
      </c>
      <c r="AG60" s="360">
        <f t="shared" si="63"/>
        <v>0.8454308922405237</v>
      </c>
      <c r="AH60" s="360">
        <f t="shared" si="64"/>
        <v>2.2334064168447103</v>
      </c>
      <c r="AI60" s="360">
        <f t="shared" si="65"/>
        <v>1.247026055700782E-2</v>
      </c>
      <c r="AJ60" s="360">
        <f t="shared" si="66"/>
        <v>0.10495799999999998</v>
      </c>
      <c r="AK60" s="360">
        <f t="shared" si="67"/>
        <v>0.11765126613242485</v>
      </c>
      <c r="AL60" s="360">
        <f t="shared" si="68"/>
        <v>0.10495799999999998</v>
      </c>
      <c r="AM60" s="360">
        <f t="shared" si="69"/>
        <v>1.3494599999999999</v>
      </c>
      <c r="AN60" s="360">
        <f t="shared" si="70"/>
        <v>6.559738275061186E-2</v>
      </c>
      <c r="AO60" s="360">
        <f t="shared" si="71"/>
        <v>7.3499999999999998E-4</v>
      </c>
      <c r="AP60" s="360">
        <f t="shared" si="72"/>
        <v>0.34650000000000003</v>
      </c>
      <c r="AQ60" s="360">
        <f t="shared" si="26"/>
        <v>1.3167</v>
      </c>
      <c r="AR60" s="360">
        <f t="shared" si="73"/>
        <v>1.1088</v>
      </c>
      <c r="AS60" s="360">
        <f t="shared" si="74"/>
        <v>0.34723500000000002</v>
      </c>
      <c r="AT60" s="360">
        <f t="shared" si="75"/>
        <v>3.1407167183070164</v>
      </c>
      <c r="AU60">
        <f t="shared" si="76"/>
        <v>12.75</v>
      </c>
      <c r="AV60" s="542">
        <f t="shared" si="47"/>
        <v>0.80235525093158755</v>
      </c>
      <c r="AW60" s="551">
        <f t="shared" si="77"/>
        <v>86.803724612026187</v>
      </c>
      <c r="AX60" s="551">
        <f t="shared" si="78"/>
        <v>21.392976513032142</v>
      </c>
      <c r="AY60" s="9"/>
      <c r="AZ60" s="4">
        <f t="shared" si="48"/>
        <v>80.235525093158756</v>
      </c>
      <c r="BA60" s="360">
        <f t="shared" si="79"/>
        <v>0.309074611115422</v>
      </c>
      <c r="BB60" s="360">
        <f t="shared" si="80"/>
        <v>2.3125421583729482</v>
      </c>
      <c r="BC60" s="360">
        <f t="shared" si="81"/>
        <v>1.7360744922405238</v>
      </c>
      <c r="BD60" s="360">
        <f t="shared" si="82"/>
        <v>0.56297306613242482</v>
      </c>
      <c r="BE60" s="360">
        <f t="shared" si="83"/>
        <v>6.559738275061186E-2</v>
      </c>
      <c r="BK60" s="18"/>
      <c r="BL60" s="19"/>
    </row>
    <row r="61" spans="1:64" x14ac:dyDescent="0.2">
      <c r="A61" s="24" t="s">
        <v>117</v>
      </c>
      <c r="B61" s="15" t="s">
        <v>111</v>
      </c>
      <c r="C61" s="24" t="s">
        <v>76</v>
      </c>
      <c r="D61" s="24" t="s">
        <v>213</v>
      </c>
      <c r="G61">
        <v>52</v>
      </c>
      <c r="H61" s="548">
        <f t="shared" si="49"/>
        <v>21</v>
      </c>
      <c r="I61" s="4">
        <f t="shared" si="50"/>
        <v>1</v>
      </c>
      <c r="J61" s="360">
        <f t="shared" si="84"/>
        <v>2.6</v>
      </c>
      <c r="K61" s="360">
        <f t="shared" si="51"/>
        <v>2.6</v>
      </c>
      <c r="L61" s="4">
        <f t="shared" si="52"/>
        <v>0.68783068783068779</v>
      </c>
      <c r="M61" s="360">
        <f t="shared" si="53"/>
        <v>0.23961716523369289</v>
      </c>
      <c r="N61" s="4">
        <f t="shared" si="54"/>
        <v>0.8288518527514005</v>
      </c>
      <c r="O61" s="4">
        <f t="shared" si="39"/>
        <v>3.0144259263757003</v>
      </c>
      <c r="P61" s="4">
        <f t="shared" si="40"/>
        <v>2.1855740736242999</v>
      </c>
      <c r="Q61" s="4">
        <f t="shared" si="55"/>
        <v>0</v>
      </c>
      <c r="R61" s="4">
        <f t="shared" si="41"/>
        <v>2.6109863301347991</v>
      </c>
      <c r="S61" s="360">
        <f t="shared" si="56"/>
        <v>9.2032869818035618E-3</v>
      </c>
      <c r="T61" s="360">
        <f t="shared" si="57"/>
        <v>0.3</v>
      </c>
      <c r="U61" s="360">
        <f t="shared" si="58"/>
        <v>0.30943110964605719</v>
      </c>
      <c r="V61" s="4">
        <f t="shared" si="42"/>
        <v>0.23926892015217058</v>
      </c>
      <c r="W61" s="360">
        <f t="shared" si="10"/>
        <v>1.1449923230157156E-4</v>
      </c>
      <c r="X61" s="360">
        <f t="shared" si="43"/>
        <v>1.1449923230157156E-4</v>
      </c>
      <c r="Y61" s="4">
        <f t="shared" si="44"/>
        <v>1.1144990772306362</v>
      </c>
      <c r="Z61" s="360">
        <f t="shared" si="11"/>
        <v>1.2421081931479397E-3</v>
      </c>
      <c r="AA61" s="541">
        <f t="shared" si="45"/>
        <v>1.2421081931479397E-3</v>
      </c>
      <c r="AB61" s="360">
        <f t="shared" si="46"/>
        <v>1.278096251349065</v>
      </c>
      <c r="AC61" s="360">
        <f t="shared" si="59"/>
        <v>9.8011801662751946E-3</v>
      </c>
      <c r="AD61" s="360">
        <f t="shared" si="60"/>
        <v>0.20388281165310554</v>
      </c>
      <c r="AE61" s="360">
        <f t="shared" si="61"/>
        <v>0.63444464999999983</v>
      </c>
      <c r="AF61" s="360">
        <f t="shared" si="62"/>
        <v>0</v>
      </c>
      <c r="AG61" s="360">
        <f t="shared" si="63"/>
        <v>0.84979443950054923</v>
      </c>
      <c r="AH61" s="360">
        <f t="shared" si="64"/>
        <v>2.2767783353761635</v>
      </c>
      <c r="AI61" s="360">
        <f t="shared" si="65"/>
        <v>1.2959298971095634E-2</v>
      </c>
      <c r="AJ61" s="360">
        <f t="shared" si="66"/>
        <v>0.10701599999999999</v>
      </c>
      <c r="AK61" s="360">
        <f t="shared" si="67"/>
        <v>0.12021209437067107</v>
      </c>
      <c r="AL61" s="360">
        <f t="shared" si="68"/>
        <v>0.10701599999999999</v>
      </c>
      <c r="AM61" s="360">
        <f t="shared" si="69"/>
        <v>1.3759200000000003</v>
      </c>
      <c r="AN61" s="360">
        <f t="shared" si="70"/>
        <v>6.8172496161507862E-2</v>
      </c>
      <c r="AO61" s="360">
        <f t="shared" si="71"/>
        <v>7.3499999999999998E-4</v>
      </c>
      <c r="AP61" s="360">
        <f t="shared" si="72"/>
        <v>0.34650000000000003</v>
      </c>
      <c r="AQ61" s="360">
        <f t="shared" si="26"/>
        <v>1.3167</v>
      </c>
      <c r="AR61" s="360">
        <f t="shared" si="73"/>
        <v>1.1088</v>
      </c>
      <c r="AS61" s="360">
        <f t="shared" si="74"/>
        <v>0.34723500000000002</v>
      </c>
      <c r="AT61" s="360">
        <f t="shared" si="75"/>
        <v>3.1791377471042352</v>
      </c>
      <c r="AU61">
        <f t="shared" si="76"/>
        <v>13</v>
      </c>
      <c r="AV61" s="542">
        <f t="shared" si="47"/>
        <v>0.80350388279046314</v>
      </c>
      <c r="AW61" s="551">
        <f t="shared" si="77"/>
        <v>87.895081975027466</v>
      </c>
      <c r="AX61" s="551">
        <f t="shared" si="78"/>
        <v>21.822096386085505</v>
      </c>
      <c r="AY61" s="9"/>
      <c r="AZ61" s="4">
        <f t="shared" si="48"/>
        <v>80.350388279046314</v>
      </c>
      <c r="BA61" s="360">
        <f t="shared" si="79"/>
        <v>0.30943110964605719</v>
      </c>
      <c r="BB61" s="360">
        <f t="shared" si="80"/>
        <v>2.3459265338712205</v>
      </c>
      <c r="BC61" s="360">
        <f t="shared" si="81"/>
        <v>1.7579016395005493</v>
      </c>
      <c r="BD61" s="360">
        <f t="shared" si="82"/>
        <v>0.57426569437067121</v>
      </c>
      <c r="BE61" s="360">
        <f t="shared" si="83"/>
        <v>6.8172496161507862E-2</v>
      </c>
      <c r="BK61" s="18"/>
      <c r="BL61" s="19"/>
    </row>
    <row r="62" spans="1:64" ht="15.75" x14ac:dyDescent="0.3">
      <c r="A62" s="446" t="s">
        <v>470</v>
      </c>
      <c r="B62" s="74">
        <v>30</v>
      </c>
      <c r="C62" s="441" t="s">
        <v>205</v>
      </c>
      <c r="D62" s="76" t="s">
        <v>103</v>
      </c>
      <c r="G62">
        <v>53</v>
      </c>
      <c r="H62" s="548">
        <f t="shared" si="49"/>
        <v>21</v>
      </c>
      <c r="I62" s="4">
        <f t="shared" si="50"/>
        <v>1</v>
      </c>
      <c r="J62" s="360">
        <f t="shared" si="84"/>
        <v>2.65</v>
      </c>
      <c r="K62" s="360">
        <f t="shared" si="51"/>
        <v>2.65</v>
      </c>
      <c r="L62" s="4">
        <f t="shared" si="52"/>
        <v>0.70105820105820094</v>
      </c>
      <c r="M62" s="360">
        <f t="shared" si="53"/>
        <v>0.23964640907636472</v>
      </c>
      <c r="N62" s="4">
        <f t="shared" si="54"/>
        <v>0.82893394638291129</v>
      </c>
      <c r="O62" s="4">
        <f t="shared" si="39"/>
        <v>3.0644669731914558</v>
      </c>
      <c r="P62" s="4">
        <f t="shared" si="40"/>
        <v>2.235533026808544</v>
      </c>
      <c r="Q62" s="4">
        <f t="shared" si="55"/>
        <v>0</v>
      </c>
      <c r="R62" s="4">
        <f t="shared" si="41"/>
        <v>2.6607820198747638</v>
      </c>
      <c r="S62" s="360">
        <f t="shared" si="56"/>
        <v>9.5576772923399184E-3</v>
      </c>
      <c r="T62" s="360">
        <f t="shared" si="57"/>
        <v>0.3</v>
      </c>
      <c r="U62" s="360">
        <f t="shared" si="58"/>
        <v>0.30979455059966449</v>
      </c>
      <c r="V62" s="4">
        <f t="shared" si="42"/>
        <v>0.23929261854229633</v>
      </c>
      <c r="W62" s="360">
        <f t="shared" si="10"/>
        <v>1.1452191457765788E-4</v>
      </c>
      <c r="X62" s="360">
        <f t="shared" si="43"/>
        <v>1.1452191457765788E-4</v>
      </c>
      <c r="Y62" s="4">
        <f t="shared" si="44"/>
        <v>1.1358018212078789</v>
      </c>
      <c r="Z62" s="360">
        <f t="shared" si="11"/>
        <v>1.2900457770591346E-3</v>
      </c>
      <c r="AA62" s="541">
        <f t="shared" si="45"/>
        <v>1.2900457770591346E-3</v>
      </c>
      <c r="AB62" s="360">
        <f t="shared" si="46"/>
        <v>1.3025510702207856</v>
      </c>
      <c r="AC62" s="360">
        <f t="shared" si="59"/>
        <v>1.0179835743199885E-2</v>
      </c>
      <c r="AD62" s="360">
        <f t="shared" si="60"/>
        <v>0.20780363495412679</v>
      </c>
      <c r="AE62" s="360">
        <f t="shared" si="61"/>
        <v>0.63444464999999983</v>
      </c>
      <c r="AF62" s="360">
        <f t="shared" si="62"/>
        <v>0</v>
      </c>
      <c r="AG62" s="360">
        <f t="shared" si="63"/>
        <v>0.85416717700916378</v>
      </c>
      <c r="AH62" s="360">
        <f t="shared" si="64"/>
        <v>2.320155526415312</v>
      </c>
      <c r="AI62" s="360">
        <f t="shared" si="65"/>
        <v>1.3457804166888783E-2</v>
      </c>
      <c r="AJ62" s="360">
        <f t="shared" si="66"/>
        <v>0.10907399999999999</v>
      </c>
      <c r="AK62" s="360">
        <f t="shared" si="67"/>
        <v>0.12278296731451932</v>
      </c>
      <c r="AL62" s="360">
        <f t="shared" si="68"/>
        <v>0.10907399999999999</v>
      </c>
      <c r="AM62" s="360">
        <f t="shared" si="69"/>
        <v>1.4023799999999997</v>
      </c>
      <c r="AN62" s="360">
        <f t="shared" si="70"/>
        <v>7.0797609572888276E-2</v>
      </c>
      <c r="AO62" s="360">
        <f t="shared" si="71"/>
        <v>7.3499999999999998E-4</v>
      </c>
      <c r="AP62" s="360">
        <f t="shared" si="72"/>
        <v>0.34650000000000003</v>
      </c>
      <c r="AQ62" s="360">
        <f t="shared" si="26"/>
        <v>1.3167</v>
      </c>
      <c r="AR62" s="360">
        <f t="shared" si="73"/>
        <v>1.1088</v>
      </c>
      <c r="AS62" s="360">
        <f t="shared" si="74"/>
        <v>0.34723500000000002</v>
      </c>
      <c r="AT62" s="360">
        <f t="shared" si="75"/>
        <v>3.2176358721878726</v>
      </c>
      <c r="AU62">
        <f t="shared" si="76"/>
        <v>13.25</v>
      </c>
      <c r="AV62" s="542">
        <f t="shared" si="47"/>
        <v>0.80460851228668917</v>
      </c>
      <c r="AW62" s="551">
        <f t="shared" si="77"/>
        <v>88.986898850458189</v>
      </c>
      <c r="AX62" s="551">
        <f t="shared" si="78"/>
        <v>22.251597957951734</v>
      </c>
      <c r="AY62" s="9"/>
      <c r="AZ62" s="4">
        <f t="shared" si="48"/>
        <v>80.460851228668915</v>
      </c>
      <c r="BA62" s="360">
        <f t="shared" si="79"/>
        <v>0.30979455059966449</v>
      </c>
      <c r="BB62" s="360">
        <f t="shared" si="80"/>
        <v>2.3793301443236827</v>
      </c>
      <c r="BC62" s="360">
        <f t="shared" si="81"/>
        <v>1.7797379770091637</v>
      </c>
      <c r="BD62" s="360">
        <f t="shared" si="82"/>
        <v>0.58556836731451933</v>
      </c>
      <c r="BE62" s="360">
        <f t="shared" si="83"/>
        <v>7.0797609572888276E-2</v>
      </c>
      <c r="BK62" s="18"/>
      <c r="BL62" s="19"/>
    </row>
    <row r="63" spans="1:64" x14ac:dyDescent="0.2">
      <c r="A63" s="23" t="s">
        <v>118</v>
      </c>
      <c r="B63" s="74">
        <v>2</v>
      </c>
      <c r="C63" s="441" t="s">
        <v>205</v>
      </c>
      <c r="D63" s="21" t="s">
        <v>103</v>
      </c>
      <c r="G63">
        <v>54</v>
      </c>
      <c r="H63" s="548">
        <f t="shared" si="49"/>
        <v>21</v>
      </c>
      <c r="I63" s="4">
        <f t="shared" si="50"/>
        <v>1</v>
      </c>
      <c r="J63" s="360">
        <f t="shared" si="84"/>
        <v>2.7</v>
      </c>
      <c r="K63" s="360">
        <f t="shared" si="51"/>
        <v>2.7</v>
      </c>
      <c r="L63" s="4">
        <f t="shared" si="52"/>
        <v>0.71428571428571419</v>
      </c>
      <c r="M63" s="360">
        <f t="shared" si="53"/>
        <v>0.23967565201462587</v>
      </c>
      <c r="N63" s="4">
        <f t="shared" si="54"/>
        <v>0.82901603223371945</v>
      </c>
      <c r="O63" s="4">
        <f t="shared" si="39"/>
        <v>3.1145080161168597</v>
      </c>
      <c r="P63" s="4">
        <f t="shared" si="40"/>
        <v>2.2854919838831407</v>
      </c>
      <c r="Q63" s="4">
        <f t="shared" si="55"/>
        <v>0</v>
      </c>
      <c r="R63" s="4">
        <f t="shared" si="41"/>
        <v>2.7105852317304184</v>
      </c>
      <c r="S63" s="360">
        <f t="shared" si="56"/>
        <v>9.9188176029413131E-3</v>
      </c>
      <c r="T63" s="360">
        <f t="shared" si="57"/>
        <v>0.3</v>
      </c>
      <c r="U63" s="360">
        <f t="shared" si="58"/>
        <v>0.3101649351564329</v>
      </c>
      <c r="V63" s="4">
        <f t="shared" si="42"/>
        <v>0.23931631468632672</v>
      </c>
      <c r="W63" s="360">
        <f t="shared" si="10"/>
        <v>1.1454459695008992E-4</v>
      </c>
      <c r="X63" s="360">
        <f t="shared" si="43"/>
        <v>1.1454459695008992E-4</v>
      </c>
      <c r="Y63" s="4">
        <f t="shared" si="44"/>
        <v>1.1571095438002268</v>
      </c>
      <c r="Z63" s="360">
        <f t="shared" si="11"/>
        <v>1.338902496353569E-3</v>
      </c>
      <c r="AA63" s="541">
        <f t="shared" si="45"/>
        <v>1.338902496353569E-3</v>
      </c>
      <c r="AB63" s="360">
        <f t="shared" si="46"/>
        <v>1.327012539001047</v>
      </c>
      <c r="AC63" s="360">
        <f t="shared" si="59"/>
        <v>1.0565773671996032E-2</v>
      </c>
      <c r="AD63" s="360">
        <f t="shared" si="60"/>
        <v>0.21172445825514805</v>
      </c>
      <c r="AE63" s="360">
        <f t="shared" si="61"/>
        <v>0.63444464999999983</v>
      </c>
      <c r="AF63" s="360">
        <f t="shared" si="62"/>
        <v>0</v>
      </c>
      <c r="AG63" s="360">
        <f t="shared" si="63"/>
        <v>0.85854912908398207</v>
      </c>
      <c r="AH63" s="360">
        <f t="shared" si="64"/>
        <v>2.3635376070223719</v>
      </c>
      <c r="AI63" s="360">
        <f t="shared" si="65"/>
        <v>1.3965775049522599E-2</v>
      </c>
      <c r="AJ63" s="360">
        <f t="shared" si="66"/>
        <v>0.11113199999999999</v>
      </c>
      <c r="AK63" s="360">
        <f t="shared" si="67"/>
        <v>0.12536389725576022</v>
      </c>
      <c r="AL63" s="360">
        <f t="shared" si="68"/>
        <v>0.11113199999999999</v>
      </c>
      <c r="AM63" s="360">
        <f t="shared" si="69"/>
        <v>1.4288400000000001</v>
      </c>
      <c r="AN63" s="360">
        <f t="shared" si="70"/>
        <v>7.3472722984750466E-2</v>
      </c>
      <c r="AO63" s="360">
        <f t="shared" si="71"/>
        <v>7.3499999999999998E-4</v>
      </c>
      <c r="AP63" s="360">
        <f t="shared" si="72"/>
        <v>0.34650000000000003</v>
      </c>
      <c r="AQ63" s="360">
        <f t="shared" si="26"/>
        <v>1.3167</v>
      </c>
      <c r="AR63" s="360">
        <f t="shared" si="73"/>
        <v>1.1088</v>
      </c>
      <c r="AS63" s="360">
        <f t="shared" si="74"/>
        <v>0.34723500000000002</v>
      </c>
      <c r="AT63" s="360">
        <f t="shared" si="75"/>
        <v>3.2562111315742293</v>
      </c>
      <c r="AU63">
        <f t="shared" si="76"/>
        <v>13.5</v>
      </c>
      <c r="AV63" s="542">
        <f t="shared" si="47"/>
        <v>0.8056713951617348</v>
      </c>
      <c r="AW63" s="551">
        <f t="shared" si="77"/>
        <v>90.079176454199114</v>
      </c>
      <c r="AX63" s="551">
        <f t="shared" si="78"/>
        <v>22.681481695718894</v>
      </c>
      <c r="AY63" s="9"/>
      <c r="AZ63" s="4">
        <f t="shared" si="48"/>
        <v>80.567139516173484</v>
      </c>
      <c r="BA63" s="360">
        <f t="shared" si="79"/>
        <v>0.3101649351564329</v>
      </c>
      <c r="BB63" s="360">
        <f t="shared" si="80"/>
        <v>2.4127530263397423</v>
      </c>
      <c r="BC63" s="360">
        <f t="shared" si="81"/>
        <v>1.8015835290839823</v>
      </c>
      <c r="BD63" s="360">
        <f t="shared" si="82"/>
        <v>0.59688109725576033</v>
      </c>
      <c r="BE63" s="360">
        <f t="shared" si="83"/>
        <v>7.3472722984750466E-2</v>
      </c>
      <c r="BK63" s="18"/>
      <c r="BL63" s="19"/>
    </row>
    <row r="64" spans="1:64" x14ac:dyDescent="0.2">
      <c r="A64" s="75"/>
      <c r="B64" s="30"/>
      <c r="G64">
        <v>55</v>
      </c>
      <c r="H64" s="548">
        <f t="shared" si="49"/>
        <v>21</v>
      </c>
      <c r="I64" s="4">
        <f t="shared" si="50"/>
        <v>1</v>
      </c>
      <c r="J64" s="360">
        <f t="shared" si="84"/>
        <v>2.75</v>
      </c>
      <c r="K64" s="360">
        <f t="shared" si="51"/>
        <v>2.75</v>
      </c>
      <c r="L64" s="4">
        <f t="shared" si="52"/>
        <v>0.72751322751322745</v>
      </c>
      <c r="M64" s="360">
        <f t="shared" si="53"/>
        <v>0.23970489404851822</v>
      </c>
      <c r="N64" s="4">
        <f t="shared" si="54"/>
        <v>0.82909811030418523</v>
      </c>
      <c r="O64" s="4">
        <f t="shared" si="39"/>
        <v>3.1645490551520927</v>
      </c>
      <c r="P64" s="4">
        <f t="shared" si="40"/>
        <v>2.3354509448479073</v>
      </c>
      <c r="Q64" s="4">
        <f t="shared" si="55"/>
        <v>0</v>
      </c>
      <c r="R64" s="4">
        <f t="shared" si="41"/>
        <v>2.7603955585584403</v>
      </c>
      <c r="S64" s="360">
        <f t="shared" si="56"/>
        <v>1.0286707913607371E-2</v>
      </c>
      <c r="T64" s="360">
        <f t="shared" si="57"/>
        <v>0.3</v>
      </c>
      <c r="U64" s="360">
        <f t="shared" si="58"/>
        <v>0.31054226451920253</v>
      </c>
      <c r="V64" s="4">
        <f t="shared" si="42"/>
        <v>0.23934000858436572</v>
      </c>
      <c r="W64" s="360">
        <f t="shared" si="10"/>
        <v>1.1456727941832851E-4</v>
      </c>
      <c r="X64" s="360">
        <f t="shared" si="43"/>
        <v>1.1456727941832851E-4</v>
      </c>
      <c r="Y64" s="4">
        <f t="shared" si="44"/>
        <v>1.1784220711079325</v>
      </c>
      <c r="Z64" s="360">
        <f t="shared" si="11"/>
        <v>1.3886785776743092E-3</v>
      </c>
      <c r="AA64" s="541">
        <f t="shared" si="45"/>
        <v>1.3886785776743092E-3</v>
      </c>
      <c r="AB64" s="360">
        <f t="shared" si="46"/>
        <v>1.3514804586190352</v>
      </c>
      <c r="AC64" s="360">
        <f t="shared" si="59"/>
        <v>1.0958996580174707E-2</v>
      </c>
      <c r="AD64" s="360">
        <f t="shared" si="60"/>
        <v>0.2156452815561693</v>
      </c>
      <c r="AE64" s="360">
        <f t="shared" si="61"/>
        <v>0.63444464999999983</v>
      </c>
      <c r="AF64" s="360">
        <f t="shared" si="62"/>
        <v>0</v>
      </c>
      <c r="AG64" s="360">
        <f t="shared" si="63"/>
        <v>0.86294032013980537</v>
      </c>
      <c r="AH64" s="360">
        <f t="shared" si="64"/>
        <v>2.4069242218399909</v>
      </c>
      <c r="AI64" s="360">
        <f t="shared" si="65"/>
        <v>1.4483210524200114E-2</v>
      </c>
      <c r="AJ64" s="360">
        <f t="shared" si="66"/>
        <v>0.11318999999999999</v>
      </c>
      <c r="AK64" s="360">
        <f t="shared" si="67"/>
        <v>0.12795489657531489</v>
      </c>
      <c r="AL64" s="360">
        <f t="shared" si="68"/>
        <v>0.11318999999999999</v>
      </c>
      <c r="AM64" s="360">
        <f t="shared" si="69"/>
        <v>1.4553</v>
      </c>
      <c r="AN64" s="360">
        <f t="shared" si="70"/>
        <v>7.6197836397091642E-2</v>
      </c>
      <c r="AO64" s="360">
        <f t="shared" si="71"/>
        <v>7.3499999999999998E-4</v>
      </c>
      <c r="AP64" s="360">
        <f t="shared" si="72"/>
        <v>0.34650000000000003</v>
      </c>
      <c r="AQ64" s="360">
        <f t="shared" si="26"/>
        <v>1.3167</v>
      </c>
      <c r="AR64" s="360">
        <f t="shared" si="73"/>
        <v>1.1088</v>
      </c>
      <c r="AS64" s="360">
        <f t="shared" si="74"/>
        <v>0.34723500000000002</v>
      </c>
      <c r="AT64" s="360">
        <f t="shared" si="75"/>
        <v>3.2948635634885073</v>
      </c>
      <c r="AU64">
        <f t="shared" si="76"/>
        <v>13.75</v>
      </c>
      <c r="AV64" s="542">
        <f t="shared" si="47"/>
        <v>0.80669463552959286</v>
      </c>
      <c r="AW64" s="551">
        <f t="shared" si="77"/>
        <v>91.171916006990273</v>
      </c>
      <c r="AX64" s="551">
        <f t="shared" si="78"/>
        <v>23.111748069861967</v>
      </c>
      <c r="AY64" s="9"/>
      <c r="AZ64" s="4">
        <f t="shared" si="48"/>
        <v>80.669463552959286</v>
      </c>
      <c r="BA64" s="360">
        <f t="shared" si="79"/>
        <v>0.31054226451920253</v>
      </c>
      <c r="BB64" s="360">
        <f t="shared" si="80"/>
        <v>2.4461952167151204</v>
      </c>
      <c r="BC64" s="360">
        <f t="shared" si="81"/>
        <v>1.8234383201398054</v>
      </c>
      <c r="BD64" s="360">
        <f t="shared" si="82"/>
        <v>0.60820389657531493</v>
      </c>
      <c r="BE64" s="360">
        <f t="shared" si="83"/>
        <v>7.6197836397091642E-2</v>
      </c>
      <c r="BK64" s="18"/>
      <c r="BL64" s="19"/>
    </row>
    <row r="65" spans="1:64" x14ac:dyDescent="0.2">
      <c r="G65">
        <v>56</v>
      </c>
      <c r="H65" s="548">
        <f t="shared" si="49"/>
        <v>21</v>
      </c>
      <c r="I65" s="4">
        <f t="shared" si="50"/>
        <v>1</v>
      </c>
      <c r="J65" s="360">
        <f t="shared" si="84"/>
        <v>2.8</v>
      </c>
      <c r="K65" s="360">
        <f t="shared" si="51"/>
        <v>2.8</v>
      </c>
      <c r="L65" s="4">
        <f t="shared" si="52"/>
        <v>0.7407407407407407</v>
      </c>
      <c r="M65" s="360">
        <f t="shared" si="53"/>
        <v>0.23973413517808376</v>
      </c>
      <c r="N65" s="4">
        <f t="shared" si="54"/>
        <v>0.82918018059466991</v>
      </c>
      <c r="O65" s="4">
        <f t="shared" si="39"/>
        <v>3.2145900902973348</v>
      </c>
      <c r="P65" s="4">
        <f t="shared" si="40"/>
        <v>2.3854099097026649</v>
      </c>
      <c r="Q65" s="4">
        <f t="shared" si="55"/>
        <v>0</v>
      </c>
      <c r="R65" s="4">
        <f t="shared" si="41"/>
        <v>2.8102126220254076</v>
      </c>
      <c r="S65" s="360">
        <f t="shared" si="56"/>
        <v>1.0661348224337739E-2</v>
      </c>
      <c r="T65" s="360">
        <f t="shared" si="57"/>
        <v>0.3</v>
      </c>
      <c r="U65" s="360">
        <f t="shared" si="58"/>
        <v>0.31092653991347419</v>
      </c>
      <c r="V65" s="4">
        <f t="shared" si="42"/>
        <v>0.2393637002365176</v>
      </c>
      <c r="W65" s="360">
        <f t="shared" si="10"/>
        <v>1.1458996198183491E-4</v>
      </c>
      <c r="X65" s="360">
        <f t="shared" si="43"/>
        <v>1.1458996198183491E-4</v>
      </c>
      <c r="Y65" s="4">
        <f t="shared" si="44"/>
        <v>1.1997392415017447</v>
      </c>
      <c r="Z65" s="360">
        <f t="shared" si="11"/>
        <v>1.4393742475991818E-3</v>
      </c>
      <c r="AA65" s="541">
        <f t="shared" si="45"/>
        <v>1.4393742475991818E-3</v>
      </c>
      <c r="AB65" s="360">
        <f t="shared" si="46"/>
        <v>1.3759546440613799</v>
      </c>
      <c r="AC65" s="360">
        <f t="shared" si="59"/>
        <v>1.1359507095084473E-2</v>
      </c>
      <c r="AD65" s="360">
        <f t="shared" si="60"/>
        <v>0.21956610485719058</v>
      </c>
      <c r="AE65" s="360">
        <f t="shared" si="61"/>
        <v>0.63444464999999983</v>
      </c>
      <c r="AF65" s="360">
        <f t="shared" si="62"/>
        <v>0</v>
      </c>
      <c r="AG65" s="360">
        <f t="shared" si="63"/>
        <v>0.86734077468906223</v>
      </c>
      <c r="AH65" s="360">
        <f t="shared" si="64"/>
        <v>2.4503150406584124</v>
      </c>
      <c r="AI65" s="360">
        <f t="shared" si="65"/>
        <v>1.5010109496192095E-2</v>
      </c>
      <c r="AJ65" s="360">
        <f t="shared" si="66"/>
        <v>0.11524799999999998</v>
      </c>
      <c r="AK65" s="360">
        <f t="shared" si="67"/>
        <v>0.13055597774343139</v>
      </c>
      <c r="AL65" s="360">
        <f t="shared" si="68"/>
        <v>0.11524799999999998</v>
      </c>
      <c r="AM65" s="360">
        <f t="shared" si="69"/>
        <v>1.48176</v>
      </c>
      <c r="AN65" s="360">
        <f t="shared" si="70"/>
        <v>7.8972949809909168E-2</v>
      </c>
      <c r="AO65" s="360">
        <f t="shared" si="71"/>
        <v>7.3499999999999998E-4</v>
      </c>
      <c r="AP65" s="360">
        <f t="shared" si="72"/>
        <v>0.34650000000000003</v>
      </c>
      <c r="AQ65" s="360">
        <f t="shared" si="26"/>
        <v>1.3167</v>
      </c>
      <c r="AR65" s="360">
        <f t="shared" si="73"/>
        <v>1.1088</v>
      </c>
      <c r="AS65" s="360">
        <f t="shared" si="74"/>
        <v>0.34723500000000002</v>
      </c>
      <c r="AT65" s="360">
        <f t="shared" si="75"/>
        <v>3.3335932063654581</v>
      </c>
      <c r="AU65">
        <f t="shared" si="76"/>
        <v>14</v>
      </c>
      <c r="AV65" s="542">
        <f t="shared" si="47"/>
        <v>0.80768019840564542</v>
      </c>
      <c r="AW65" s="551">
        <f t="shared" si="77"/>
        <v>92.265118734453111</v>
      </c>
      <c r="AX65" s="551">
        <f t="shared" si="78"/>
        <v>23.542397554250392</v>
      </c>
      <c r="AY65" s="9"/>
      <c r="AZ65" s="4">
        <f t="shared" si="48"/>
        <v>80.768019840564548</v>
      </c>
      <c r="BA65" s="360">
        <f t="shared" si="79"/>
        <v>0.31092653991347419</v>
      </c>
      <c r="BB65" s="360">
        <f t="shared" si="80"/>
        <v>2.4796567524324935</v>
      </c>
      <c r="BC65" s="360">
        <f t="shared" si="81"/>
        <v>1.8453023746890622</v>
      </c>
      <c r="BD65" s="360">
        <f t="shared" si="82"/>
        <v>0.61953677774343141</v>
      </c>
      <c r="BE65" s="360">
        <f t="shared" si="83"/>
        <v>7.8972949809909168E-2</v>
      </c>
      <c r="BK65" s="18"/>
      <c r="BL65" s="19"/>
    </row>
    <row r="66" spans="1:64" x14ac:dyDescent="0.2">
      <c r="A66" s="11" t="s">
        <v>77</v>
      </c>
      <c r="B66" s="31"/>
      <c r="C66" s="31"/>
      <c r="G66">
        <v>57</v>
      </c>
      <c r="H66" s="548">
        <f t="shared" si="49"/>
        <v>21</v>
      </c>
      <c r="I66" s="4">
        <f t="shared" si="50"/>
        <v>1</v>
      </c>
      <c r="J66" s="360">
        <f t="shared" si="84"/>
        <v>2.85</v>
      </c>
      <c r="K66" s="360">
        <f t="shared" si="51"/>
        <v>2.85</v>
      </c>
      <c r="L66" s="4">
        <f t="shared" si="52"/>
        <v>0.75396825396825384</v>
      </c>
      <c r="M66" s="360">
        <f t="shared" si="53"/>
        <v>0.2397633754033644</v>
      </c>
      <c r="N66" s="4">
        <f t="shared" si="54"/>
        <v>0.82926224310553431</v>
      </c>
      <c r="O66" s="4">
        <f t="shared" si="39"/>
        <v>3.2646311215527675</v>
      </c>
      <c r="P66" s="4">
        <f t="shared" si="40"/>
        <v>2.4353688784472327</v>
      </c>
      <c r="Q66" s="4">
        <f t="shared" si="55"/>
        <v>0</v>
      </c>
      <c r="R66" s="4">
        <f t="shared" si="41"/>
        <v>2.8600360701082139</v>
      </c>
      <c r="S66" s="360">
        <f t="shared" si="56"/>
        <v>1.104273853513205E-2</v>
      </c>
      <c r="T66" s="360">
        <f t="shared" si="57"/>
        <v>0.3</v>
      </c>
      <c r="U66" s="360">
        <f t="shared" si="58"/>
        <v>0.31131776258741967</v>
      </c>
      <c r="V66" s="4">
        <f t="shared" si="42"/>
        <v>0.23938738964288658</v>
      </c>
      <c r="W66" s="360">
        <f t="shared" si="10"/>
        <v>1.146126446400704E-4</v>
      </c>
      <c r="X66" s="360">
        <f t="shared" si="43"/>
        <v>1.146126446400704E-4</v>
      </c>
      <c r="Y66" s="4">
        <f t="shared" si="44"/>
        <v>1.2210609045583209</v>
      </c>
      <c r="Z66" s="360">
        <f t="shared" si="11"/>
        <v>1.4909897326407851E-3</v>
      </c>
      <c r="AA66" s="541">
        <f t="shared" si="45"/>
        <v>1.4909897326407851E-3</v>
      </c>
      <c r="AB66" s="360">
        <f t="shared" si="46"/>
        <v>1.4004349231525299</v>
      </c>
      <c r="AC66" s="360">
        <f t="shared" si="59"/>
        <v>1.1767307843911395E-2</v>
      </c>
      <c r="AD66" s="360">
        <f t="shared" si="60"/>
        <v>0.22348692815821183</v>
      </c>
      <c r="AE66" s="360">
        <f t="shared" si="61"/>
        <v>0.63444464999999983</v>
      </c>
      <c r="AF66" s="360">
        <f t="shared" si="62"/>
        <v>0</v>
      </c>
      <c r="AG66" s="360">
        <f t="shared" si="63"/>
        <v>0.87175051734225417</v>
      </c>
      <c r="AH66" s="360">
        <f t="shared" si="64"/>
        <v>2.493709756233633</v>
      </c>
      <c r="AI66" s="360">
        <f t="shared" si="65"/>
        <v>1.5546470870837013E-2</v>
      </c>
      <c r="AJ66" s="360">
        <f t="shared" si="66"/>
        <v>0.11730599999999999</v>
      </c>
      <c r="AK66" s="360">
        <f t="shared" si="67"/>
        <v>0.13316715331988307</v>
      </c>
      <c r="AL66" s="360">
        <f t="shared" si="68"/>
        <v>0.11730599999999999</v>
      </c>
      <c r="AM66" s="360">
        <f t="shared" si="69"/>
        <v>1.5082199999999999</v>
      </c>
      <c r="AN66" s="360">
        <f t="shared" si="70"/>
        <v>8.1798063223200365E-2</v>
      </c>
      <c r="AO66" s="360">
        <f t="shared" si="71"/>
        <v>7.3499999999999998E-4</v>
      </c>
      <c r="AP66" s="360">
        <f t="shared" si="72"/>
        <v>0.34650000000000003</v>
      </c>
      <c r="AQ66" s="360">
        <f t="shared" si="26"/>
        <v>1.3167</v>
      </c>
      <c r="AR66" s="360">
        <f t="shared" si="73"/>
        <v>1.1088</v>
      </c>
      <c r="AS66" s="360">
        <f t="shared" si="74"/>
        <v>0.34723500000000002</v>
      </c>
      <c r="AT66" s="360">
        <f t="shared" si="75"/>
        <v>3.3724000988500382</v>
      </c>
      <c r="AU66">
        <f t="shared" si="76"/>
        <v>14.25</v>
      </c>
      <c r="AV66" s="542">
        <f t="shared" si="47"/>
        <v>0.80862992101342057</v>
      </c>
      <c r="AW66" s="551">
        <f t="shared" si="77"/>
        <v>93.358785867112701</v>
      </c>
      <c r="AX66" s="551">
        <f t="shared" si="78"/>
        <v>23.973430626155558</v>
      </c>
      <c r="AY66" s="9"/>
      <c r="AZ66" s="4">
        <f t="shared" si="48"/>
        <v>80.862992101342059</v>
      </c>
      <c r="BA66" s="360">
        <f t="shared" si="79"/>
        <v>0.31131776258741967</v>
      </c>
      <c r="BB66" s="360">
        <f t="shared" si="80"/>
        <v>2.5131376706621369</v>
      </c>
      <c r="BC66" s="360">
        <f t="shared" si="81"/>
        <v>1.8671757173422541</v>
      </c>
      <c r="BD66" s="360">
        <f t="shared" si="82"/>
        <v>0.63087975331988311</v>
      </c>
      <c r="BE66" s="360">
        <f t="shared" si="83"/>
        <v>8.1798063223200365E-2</v>
      </c>
      <c r="BK66" s="18"/>
      <c r="BL66" s="19"/>
    </row>
    <row r="67" spans="1:64" x14ac:dyDescent="0.2">
      <c r="A67" s="14" t="s">
        <v>55</v>
      </c>
      <c r="B67" s="15" t="s">
        <v>7</v>
      </c>
      <c r="C67" s="15" t="s">
        <v>76</v>
      </c>
      <c r="G67">
        <v>58</v>
      </c>
      <c r="H67" s="548">
        <f t="shared" si="49"/>
        <v>21</v>
      </c>
      <c r="I67" s="4">
        <f t="shared" si="50"/>
        <v>1</v>
      </c>
      <c r="J67" s="360">
        <f t="shared" si="84"/>
        <v>2.9</v>
      </c>
      <c r="K67" s="360">
        <f t="shared" si="51"/>
        <v>2.9</v>
      </c>
      <c r="L67" s="4">
        <f t="shared" si="52"/>
        <v>0.7671957671957671</v>
      </c>
      <c r="M67" s="360">
        <f t="shared" si="53"/>
        <v>0.23979261472440214</v>
      </c>
      <c r="N67" s="4">
        <f t="shared" si="54"/>
        <v>0.82934429783713914</v>
      </c>
      <c r="O67" s="4">
        <f t="shared" si="39"/>
        <v>3.3146721489185693</v>
      </c>
      <c r="P67" s="4">
        <f t="shared" si="40"/>
        <v>2.4853278510814305</v>
      </c>
      <c r="Q67" s="4">
        <f t="shared" si="55"/>
        <v>0</v>
      </c>
      <c r="R67" s="4">
        <f t="shared" si="41"/>
        <v>2.9098655748498499</v>
      </c>
      <c r="S67" s="360">
        <f t="shared" si="56"/>
        <v>1.1430878845989935E-2</v>
      </c>
      <c r="T67" s="360">
        <f t="shared" si="57"/>
        <v>0.3</v>
      </c>
      <c r="U67" s="360">
        <f t="shared" si="58"/>
        <v>0.31171593381189139</v>
      </c>
      <c r="V67" s="4">
        <f t="shared" si="42"/>
        <v>0.23941107680357673</v>
      </c>
      <c r="W67" s="360">
        <f t="shared" si="10"/>
        <v>1.1463532739249624E-4</v>
      </c>
      <c r="X67" s="360">
        <f t="shared" si="43"/>
        <v>1.1463532739249624E-4</v>
      </c>
      <c r="Y67" s="4">
        <f t="shared" si="44"/>
        <v>1.2423869201044</v>
      </c>
      <c r="Z67" s="360">
        <f t="shared" si="11"/>
        <v>1.5435252592464967E-3</v>
      </c>
      <c r="AA67" s="541">
        <f t="shared" si="45"/>
        <v>1.5435252592464967E-3</v>
      </c>
      <c r="AB67" s="360">
        <f t="shared" si="46"/>
        <v>1.4249211354597275</v>
      </c>
      <c r="AC67" s="360">
        <f t="shared" si="59"/>
        <v>1.2182401453679034E-2</v>
      </c>
      <c r="AD67" s="360">
        <f t="shared" si="60"/>
        <v>0.22740775145923309</v>
      </c>
      <c r="AE67" s="360">
        <f t="shared" si="61"/>
        <v>0.63444464999999983</v>
      </c>
      <c r="AF67" s="360">
        <f t="shared" si="62"/>
        <v>0</v>
      </c>
      <c r="AG67" s="360">
        <f t="shared" si="63"/>
        <v>0.87616957280840202</v>
      </c>
      <c r="AH67" s="360">
        <f t="shared" si="64"/>
        <v>2.5371080823284622</v>
      </c>
      <c r="AI67" s="360">
        <f t="shared" si="65"/>
        <v>1.6092293553541019E-2</v>
      </c>
      <c r="AJ67" s="360">
        <f t="shared" si="66"/>
        <v>0.11936399999999998</v>
      </c>
      <c r="AK67" s="360">
        <f t="shared" si="67"/>
        <v>0.1357884359541687</v>
      </c>
      <c r="AL67" s="360">
        <f t="shared" si="68"/>
        <v>0.11936399999999998</v>
      </c>
      <c r="AM67" s="360">
        <f t="shared" si="69"/>
        <v>1.5346799999999998</v>
      </c>
      <c r="AN67" s="360">
        <f t="shared" si="70"/>
        <v>8.4673176636962486E-2</v>
      </c>
      <c r="AO67" s="360">
        <f t="shared" si="71"/>
        <v>7.3499999999999998E-4</v>
      </c>
      <c r="AP67" s="360">
        <f t="shared" si="72"/>
        <v>0.34650000000000003</v>
      </c>
      <c r="AQ67" s="360">
        <f t="shared" si="26"/>
        <v>1.3167</v>
      </c>
      <c r="AR67" s="360">
        <f t="shared" si="73"/>
        <v>1.1088</v>
      </c>
      <c r="AS67" s="360">
        <f t="shared" si="74"/>
        <v>0.34723500000000002</v>
      </c>
      <c r="AT67" s="360">
        <f t="shared" si="75"/>
        <v>3.4112842797980636</v>
      </c>
      <c r="AU67">
        <f t="shared" si="76"/>
        <v>14.5</v>
      </c>
      <c r="AV67" s="542">
        <f t="shared" si="47"/>
        <v>0.80954552300609661</v>
      </c>
      <c r="AW67" s="551">
        <f t="shared" si="77"/>
        <v>94.452918640420108</v>
      </c>
      <c r="AX67" s="551">
        <f t="shared" si="78"/>
        <v>24.40484776625841</v>
      </c>
      <c r="AY67" s="9"/>
      <c r="AZ67" s="4">
        <f t="shared" si="48"/>
        <v>80.954552300609663</v>
      </c>
      <c r="BA67" s="360">
        <f t="shared" si="79"/>
        <v>0.31171593381189139</v>
      </c>
      <c r="BB67" s="360">
        <f t="shared" si="80"/>
        <v>2.5466380087625708</v>
      </c>
      <c r="BC67" s="360">
        <f t="shared" si="81"/>
        <v>1.8890583728084021</v>
      </c>
      <c r="BD67" s="360">
        <f t="shared" si="82"/>
        <v>0.64223283595416869</v>
      </c>
      <c r="BE67" s="360">
        <f t="shared" si="83"/>
        <v>8.4673176636962486E-2</v>
      </c>
      <c r="BK67" s="18"/>
      <c r="BL67" s="19"/>
    </row>
    <row r="68" spans="1:64" x14ac:dyDescent="0.2">
      <c r="A68" s="32" t="s">
        <v>208</v>
      </c>
      <c r="B68" s="449">
        <f>D1_Vinmin</f>
        <v>0.25</v>
      </c>
      <c r="C68" s="21" t="s">
        <v>18</v>
      </c>
      <c r="G68">
        <v>59</v>
      </c>
      <c r="H68" s="548">
        <f t="shared" si="49"/>
        <v>21</v>
      </c>
      <c r="I68" s="4">
        <f t="shared" si="50"/>
        <v>1</v>
      </c>
      <c r="J68" s="360">
        <f t="shared" si="84"/>
        <v>2.95</v>
      </c>
      <c r="K68" s="360">
        <f t="shared" si="51"/>
        <v>2.95</v>
      </c>
      <c r="L68" s="4">
        <f t="shared" si="52"/>
        <v>0.78042328042328035</v>
      </c>
      <c r="M68" s="360">
        <f t="shared" si="53"/>
        <v>0.23982185314123891</v>
      </c>
      <c r="N68" s="4">
        <f t="shared" si="54"/>
        <v>0.82942634478984578</v>
      </c>
      <c r="O68" s="4">
        <f t="shared" si="39"/>
        <v>3.3647131723949233</v>
      </c>
      <c r="P68" s="4">
        <f t="shared" si="40"/>
        <v>2.5352868276050771</v>
      </c>
      <c r="Q68" s="4">
        <f t="shared" si="55"/>
        <v>0</v>
      </c>
      <c r="R68" s="4">
        <f t="shared" si="41"/>
        <v>2.959700830340676</v>
      </c>
      <c r="S68" s="360">
        <f t="shared" si="56"/>
        <v>1.1825769156911038E-2</v>
      </c>
      <c r="T68" s="360">
        <f t="shared" si="57"/>
        <v>0.3</v>
      </c>
      <c r="U68" s="360">
        <f t="shared" si="58"/>
        <v>0.31212105488043318</v>
      </c>
      <c r="V68" s="4">
        <f t="shared" si="42"/>
        <v>0.23943476171869243</v>
      </c>
      <c r="W68" s="360">
        <f t="shared" si="10"/>
        <v>1.1465801023857405E-4</v>
      </c>
      <c r="X68" s="360">
        <f t="shared" si="43"/>
        <v>1.1465801023857405E-4</v>
      </c>
      <c r="Y68" s="4">
        <f t="shared" si="44"/>
        <v>1.2637171573570107</v>
      </c>
      <c r="Z68" s="360">
        <f t="shared" si="11"/>
        <v>1.5969810537984838E-3</v>
      </c>
      <c r="AA68" s="541">
        <f t="shared" si="45"/>
        <v>1.5969810537984838E-3</v>
      </c>
      <c r="AB68" s="360">
        <f t="shared" si="46"/>
        <v>1.4494131313080072</v>
      </c>
      <c r="AC68" s="360">
        <f t="shared" si="59"/>
        <v>1.2604790551248496E-2</v>
      </c>
      <c r="AD68" s="360">
        <f t="shared" si="60"/>
        <v>0.23132857476025434</v>
      </c>
      <c r="AE68" s="360">
        <f t="shared" si="61"/>
        <v>0.63444464999999983</v>
      </c>
      <c r="AF68" s="360">
        <f t="shared" si="62"/>
        <v>0</v>
      </c>
      <c r="AG68" s="360">
        <f t="shared" si="63"/>
        <v>0.88059796589549633</v>
      </c>
      <c r="AH68" s="360">
        <f t="shared" si="64"/>
        <v>2.5805097519504172</v>
      </c>
      <c r="AI68" s="360">
        <f t="shared" si="65"/>
        <v>1.6647576449778011E-2</v>
      </c>
      <c r="AJ68" s="360">
        <f t="shared" si="66"/>
        <v>0.12142199999999999</v>
      </c>
      <c r="AK68" s="360">
        <f t="shared" si="67"/>
        <v>0.1384198383857152</v>
      </c>
      <c r="AL68" s="360">
        <f t="shared" si="68"/>
        <v>0.12142199999999999</v>
      </c>
      <c r="AM68" s="360">
        <f t="shared" si="69"/>
        <v>1.56114</v>
      </c>
      <c r="AN68" s="360">
        <f t="shared" si="70"/>
        <v>8.7598290051192865E-2</v>
      </c>
      <c r="AO68" s="360">
        <f t="shared" si="71"/>
        <v>7.3499999999999998E-4</v>
      </c>
      <c r="AP68" s="360">
        <f t="shared" si="72"/>
        <v>0.34650000000000003</v>
      </c>
      <c r="AQ68" s="360">
        <f t="shared" si="26"/>
        <v>1.3167</v>
      </c>
      <c r="AR68" s="360">
        <f t="shared" si="73"/>
        <v>1.1088</v>
      </c>
      <c r="AS68" s="360">
        <f t="shared" si="74"/>
        <v>0.34723500000000002</v>
      </c>
      <c r="AT68" s="360">
        <f t="shared" si="75"/>
        <v>3.4502457882768742</v>
      </c>
      <c r="AU68">
        <f t="shared" si="76"/>
        <v>14.75</v>
      </c>
      <c r="AV68" s="542">
        <f t="shared" si="47"/>
        <v>0.81042861572236335</v>
      </c>
      <c r="AW68" s="551">
        <f t="shared" si="77"/>
        <v>95.547518294774818</v>
      </c>
      <c r="AX68" s="551">
        <f t="shared" si="78"/>
        <v>24.836649458657174</v>
      </c>
      <c r="AY68" s="9"/>
      <c r="AZ68" s="4">
        <f t="shared" si="48"/>
        <v>81.042861572236333</v>
      </c>
      <c r="BA68" s="360">
        <f t="shared" si="79"/>
        <v>0.31212105488043318</v>
      </c>
      <c r="BB68" s="360">
        <f t="shared" si="80"/>
        <v>2.5801578042812112</v>
      </c>
      <c r="BC68" s="360">
        <f t="shared" si="81"/>
        <v>1.9109503658954963</v>
      </c>
      <c r="BD68" s="360">
        <f t="shared" si="82"/>
        <v>0.65359603838571512</v>
      </c>
      <c r="BE68" s="360">
        <f t="shared" si="83"/>
        <v>8.7598290051192865E-2</v>
      </c>
      <c r="BK68" s="18"/>
      <c r="BL68" s="19"/>
    </row>
    <row r="69" spans="1:64" x14ac:dyDescent="0.2">
      <c r="A69" s="23" t="s">
        <v>78</v>
      </c>
      <c r="B69" s="449">
        <f>1-B68</f>
        <v>0.75</v>
      </c>
      <c r="C69" s="21" t="s">
        <v>18</v>
      </c>
      <c r="G69">
        <v>60</v>
      </c>
      <c r="H69" s="548">
        <f t="shared" si="49"/>
        <v>21</v>
      </c>
      <c r="I69" s="4">
        <f t="shared" si="50"/>
        <v>1</v>
      </c>
      <c r="J69" s="360">
        <f t="shared" si="84"/>
        <v>3</v>
      </c>
      <c r="K69" s="360">
        <f t="shared" si="51"/>
        <v>3</v>
      </c>
      <c r="L69" s="4">
        <f t="shared" si="52"/>
        <v>0.79365079365079361</v>
      </c>
      <c r="M69" s="360">
        <f t="shared" si="53"/>
        <v>0.2398510906539166</v>
      </c>
      <c r="N69" s="4">
        <f t="shared" si="54"/>
        <v>0.82950838396401438</v>
      </c>
      <c r="O69" s="4">
        <f t="shared" si="39"/>
        <v>3.414754191982007</v>
      </c>
      <c r="P69" s="4">
        <f t="shared" si="40"/>
        <v>2.585245808017993</v>
      </c>
      <c r="Q69" s="4">
        <f t="shared" si="55"/>
        <v>0</v>
      </c>
      <c r="R69" s="4">
        <f t="shared" si="41"/>
        <v>3.00954155089922</v>
      </c>
      <c r="S69" s="360">
        <f t="shared" si="56"/>
        <v>1.2227409467894992E-2</v>
      </c>
      <c r="T69" s="360">
        <f t="shared" si="57"/>
        <v>0.3</v>
      </c>
      <c r="U69" s="360">
        <f t="shared" si="58"/>
        <v>0.31253312710929071</v>
      </c>
      <c r="V69" s="4">
        <f t="shared" si="42"/>
        <v>0.23945844438833758</v>
      </c>
      <c r="W69" s="360">
        <f t="shared" si="10"/>
        <v>1.1468069317776513E-4</v>
      </c>
      <c r="X69" s="360">
        <f t="shared" si="43"/>
        <v>1.1468069317776513E-4</v>
      </c>
      <c r="Y69" s="4">
        <f t="shared" si="44"/>
        <v>1.2850514941486624</v>
      </c>
      <c r="Z69" s="360">
        <f t="shared" si="11"/>
        <v>1.6513573426137095E-3</v>
      </c>
      <c r="AA69" s="541">
        <f t="shared" si="45"/>
        <v>1.6513573426137095E-3</v>
      </c>
      <c r="AB69" s="360">
        <f t="shared" si="46"/>
        <v>1.4739107708925485</v>
      </c>
      <c r="AC69" s="360">
        <f t="shared" si="59"/>
        <v>1.3034477763318399E-2</v>
      </c>
      <c r="AD69" s="360">
        <f t="shared" si="60"/>
        <v>0.23524939806127562</v>
      </c>
      <c r="AE69" s="360">
        <f t="shared" si="61"/>
        <v>0.63444464999999983</v>
      </c>
      <c r="AF69" s="360">
        <f t="shared" si="62"/>
        <v>0</v>
      </c>
      <c r="AG69" s="360">
        <f t="shared" si="63"/>
        <v>0.88503572151094934</v>
      </c>
      <c r="AH69" s="360">
        <f t="shared" si="64"/>
        <v>2.6239145157637696</v>
      </c>
      <c r="AI69" s="360">
        <f t="shared" si="65"/>
        <v>1.7212318465089544E-2</v>
      </c>
      <c r="AJ69" s="360">
        <f t="shared" si="66"/>
        <v>0.12347999999999998</v>
      </c>
      <c r="AK69" s="360">
        <f t="shared" si="67"/>
        <v>0.14106137344408159</v>
      </c>
      <c r="AL69" s="360">
        <f t="shared" si="68"/>
        <v>0.12347999999999998</v>
      </c>
      <c r="AM69" s="360">
        <f t="shared" si="69"/>
        <v>1.5875999999999997</v>
      </c>
      <c r="AN69" s="360">
        <f t="shared" si="70"/>
        <v>9.0573403465888824E-2</v>
      </c>
      <c r="AO69" s="360">
        <f t="shared" si="71"/>
        <v>7.3499999999999998E-4</v>
      </c>
      <c r="AP69" s="360">
        <f t="shared" si="72"/>
        <v>0.34650000000000003</v>
      </c>
      <c r="AQ69" s="360">
        <f t="shared" si="26"/>
        <v>1.3167</v>
      </c>
      <c r="AR69" s="360">
        <f t="shared" si="73"/>
        <v>1.1088</v>
      </c>
      <c r="AS69" s="360">
        <f t="shared" si="74"/>
        <v>0.34723500000000002</v>
      </c>
      <c r="AT69" s="360">
        <f t="shared" si="75"/>
        <v>3.4892846635660018</v>
      </c>
      <c r="AU69">
        <f t="shared" si="76"/>
        <v>15</v>
      </c>
      <c r="AV69" s="542">
        <f t="shared" si="47"/>
        <v>0.81128071058142115</v>
      </c>
      <c r="AW69" s="551">
        <f t="shared" si="77"/>
        <v>96.642586075547456</v>
      </c>
      <c r="AX69" s="551">
        <f t="shared" si="78"/>
        <v>25.268836190875099</v>
      </c>
      <c r="AY69" s="9"/>
      <c r="AZ69" s="4">
        <f t="shared" si="48"/>
        <v>81.128071058142112</v>
      </c>
      <c r="BA69" s="360">
        <f t="shared" si="79"/>
        <v>0.31253312710929071</v>
      </c>
      <c r="BB69" s="360">
        <f t="shared" si="80"/>
        <v>2.6136970949550307</v>
      </c>
      <c r="BC69" s="360">
        <f t="shared" si="81"/>
        <v>1.9328517215109491</v>
      </c>
      <c r="BD69" s="360">
        <f t="shared" si="82"/>
        <v>0.66496937344408158</v>
      </c>
      <c r="BE69" s="360">
        <f t="shared" si="83"/>
        <v>9.0573403465888824E-2</v>
      </c>
      <c r="BK69" s="18"/>
      <c r="BL69" s="19"/>
    </row>
    <row r="70" spans="1:64" x14ac:dyDescent="0.2">
      <c r="A70" s="33" t="s">
        <v>209</v>
      </c>
      <c r="B70" s="449">
        <f>Iripple_Vinnom</f>
        <v>0.83195031413558718</v>
      </c>
      <c r="C70" s="21" t="s">
        <v>1</v>
      </c>
      <c r="G70">
        <v>61</v>
      </c>
      <c r="H70" s="548">
        <f t="shared" si="49"/>
        <v>21</v>
      </c>
      <c r="I70" s="4">
        <f t="shared" si="50"/>
        <v>1</v>
      </c>
      <c r="J70" s="360">
        <f t="shared" si="84"/>
        <v>3.05</v>
      </c>
      <c r="K70" s="360">
        <f t="shared" si="51"/>
        <v>3.05</v>
      </c>
      <c r="L70" s="4">
        <f t="shared" si="52"/>
        <v>0.80687830687830675</v>
      </c>
      <c r="M70" s="360">
        <f t="shared" si="53"/>
        <v>0.23988032726247721</v>
      </c>
      <c r="N70" s="4">
        <f t="shared" si="54"/>
        <v>0.82959041536000622</v>
      </c>
      <c r="O70" s="4">
        <f t="shared" si="39"/>
        <v>3.464795207680003</v>
      </c>
      <c r="P70" s="4">
        <f t="shared" si="40"/>
        <v>2.6352047923199966</v>
      </c>
      <c r="Q70" s="4">
        <f t="shared" si="55"/>
        <v>0</v>
      </c>
      <c r="R70" s="4">
        <f t="shared" si="41"/>
        <v>3.0593874694299124</v>
      </c>
      <c r="S70" s="360">
        <f t="shared" si="56"/>
        <v>1.2635799778941432E-2</v>
      </c>
      <c r="T70" s="360">
        <f t="shared" si="57"/>
        <v>0.3</v>
      </c>
      <c r="U70" s="360">
        <f t="shared" si="58"/>
        <v>0.31295215183742192</v>
      </c>
      <c r="V70" s="4">
        <f t="shared" si="42"/>
        <v>0.23948212481261652</v>
      </c>
      <c r="W70" s="360">
        <f t="shared" si="10"/>
        <v>1.1470337620953128E-4</v>
      </c>
      <c r="X70" s="360">
        <f t="shared" si="43"/>
        <v>1.1470337620953128E-4</v>
      </c>
      <c r="Y70" s="4">
        <f t="shared" si="44"/>
        <v>1.3063898162278917</v>
      </c>
      <c r="Z70" s="360">
        <f t="shared" si="11"/>
        <v>1.7066543519439448E-3</v>
      </c>
      <c r="AA70" s="541">
        <f t="shared" si="45"/>
        <v>1.7066543519439448E-3</v>
      </c>
      <c r="AB70" s="360">
        <f t="shared" si="46"/>
        <v>1.4984139234773615</v>
      </c>
      <c r="AC70" s="360">
        <f t="shared" si="59"/>
        <v>1.347146571642492E-2</v>
      </c>
      <c r="AD70" s="360">
        <f t="shared" si="60"/>
        <v>0.23917022136229688</v>
      </c>
      <c r="AE70" s="360">
        <f t="shared" si="61"/>
        <v>0.63444464999999983</v>
      </c>
      <c r="AF70" s="360">
        <f t="shared" si="62"/>
        <v>0</v>
      </c>
      <c r="AG70" s="360">
        <f t="shared" si="63"/>
        <v>0.88948286466204995</v>
      </c>
      <c r="AH70" s="360">
        <f t="shared" si="64"/>
        <v>2.6673221406560446</v>
      </c>
      <c r="AI70" s="360">
        <f t="shared" si="65"/>
        <v>1.7786518505084861E-2</v>
      </c>
      <c r="AJ70" s="360">
        <f t="shared" si="66"/>
        <v>0.12553799999999998</v>
      </c>
      <c r="AK70" s="360">
        <f t="shared" si="67"/>
        <v>0.14371305404916554</v>
      </c>
      <c r="AL70" s="360">
        <f t="shared" si="68"/>
        <v>0.12553799999999998</v>
      </c>
      <c r="AM70" s="360">
        <f t="shared" si="69"/>
        <v>1.6140600000000001</v>
      </c>
      <c r="AN70" s="360">
        <f t="shared" si="70"/>
        <v>9.359851688104763E-2</v>
      </c>
      <c r="AO70" s="360">
        <f t="shared" si="71"/>
        <v>7.3499999999999998E-4</v>
      </c>
      <c r="AP70" s="360">
        <f t="shared" si="72"/>
        <v>0.34650000000000003</v>
      </c>
      <c r="AQ70" s="360">
        <f t="shared" si="26"/>
        <v>1.3167</v>
      </c>
      <c r="AR70" s="360">
        <f t="shared" si="73"/>
        <v>1.1088</v>
      </c>
      <c r="AS70" s="360">
        <f t="shared" si="74"/>
        <v>0.34723500000000002</v>
      </c>
      <c r="AT70" s="360">
        <f t="shared" si="75"/>
        <v>3.5284009451578386</v>
      </c>
      <c r="AU70">
        <f t="shared" si="76"/>
        <v>15.25</v>
      </c>
      <c r="AV70" s="542">
        <f t="shared" si="47"/>
        <v>0.81210322670910573</v>
      </c>
      <c r="AW70" s="551">
        <f t="shared" si="77"/>
        <v>97.738123233102499</v>
      </c>
      <c r="AX70" s="551">
        <f t="shared" si="78"/>
        <v>25.701408453868293</v>
      </c>
      <c r="AY70" s="9"/>
      <c r="AZ70" s="4">
        <f t="shared" si="48"/>
        <v>81.210322670910571</v>
      </c>
      <c r="BA70" s="360">
        <f t="shared" si="79"/>
        <v>0.31295215183742192</v>
      </c>
      <c r="BB70" s="360">
        <f t="shared" si="80"/>
        <v>2.6472559187112155</v>
      </c>
      <c r="BC70" s="360">
        <f t="shared" si="81"/>
        <v>1.9547624646620498</v>
      </c>
      <c r="BD70" s="360">
        <f t="shared" si="82"/>
        <v>0.67635285404916556</v>
      </c>
      <c r="BE70" s="360">
        <f t="shared" si="83"/>
        <v>9.359851688104763E-2</v>
      </c>
      <c r="BK70" s="18"/>
      <c r="BL70" s="19"/>
    </row>
    <row r="71" spans="1:64" x14ac:dyDescent="0.2">
      <c r="A71" s="14" t="s">
        <v>59</v>
      </c>
      <c r="B71" s="15" t="s">
        <v>7</v>
      </c>
      <c r="C71" s="17" t="s">
        <v>76</v>
      </c>
      <c r="G71">
        <v>62</v>
      </c>
      <c r="H71" s="548">
        <f t="shared" si="49"/>
        <v>21</v>
      </c>
      <c r="I71" s="4">
        <f t="shared" si="50"/>
        <v>1</v>
      </c>
      <c r="J71" s="360">
        <f t="shared" si="84"/>
        <v>3.1</v>
      </c>
      <c r="K71" s="360">
        <f t="shared" si="51"/>
        <v>3.1</v>
      </c>
      <c r="L71" s="4">
        <f t="shared" si="52"/>
        <v>0.82010582010582</v>
      </c>
      <c r="M71" s="360">
        <f t="shared" si="53"/>
        <v>0.23990956296696264</v>
      </c>
      <c r="N71" s="4">
        <f t="shared" si="54"/>
        <v>0.82967243897818188</v>
      </c>
      <c r="O71" s="4">
        <f t="shared" si="39"/>
        <v>3.5148362194890912</v>
      </c>
      <c r="P71" s="4">
        <f t="shared" si="40"/>
        <v>2.685163780510909</v>
      </c>
      <c r="Q71" s="4">
        <f t="shared" si="55"/>
        <v>0</v>
      </c>
      <c r="R71" s="4">
        <f t="shared" si="41"/>
        <v>3.1092383359380267</v>
      </c>
      <c r="S71" s="360">
        <f t="shared" si="56"/>
        <v>1.3050940090050004E-2</v>
      </c>
      <c r="T71" s="360">
        <f t="shared" si="57"/>
        <v>0.3</v>
      </c>
      <c r="U71" s="360">
        <f t="shared" si="58"/>
        <v>0.31337813042650819</v>
      </c>
      <c r="V71" s="4">
        <f t="shared" si="42"/>
        <v>0.23950580299163335</v>
      </c>
      <c r="W71" s="360">
        <f t="shared" si="10"/>
        <v>1.1472605933333417E-4</v>
      </c>
      <c r="X71" s="360">
        <f t="shared" si="43"/>
        <v>1.1472605933333417E-4</v>
      </c>
      <c r="Y71" s="4">
        <f t="shared" si="44"/>
        <v>1.3277320166267657</v>
      </c>
      <c r="Z71" s="360">
        <f t="shared" si="11"/>
        <v>1.7628723079757781E-3</v>
      </c>
      <c r="AA71" s="541">
        <f t="shared" si="45"/>
        <v>1.7628723079757781E-3</v>
      </c>
      <c r="AB71" s="360">
        <f t="shared" si="46"/>
        <v>1.5229224666706782</v>
      </c>
      <c r="AC71" s="360">
        <f t="shared" si="59"/>
        <v>1.3915757036941818E-2</v>
      </c>
      <c r="AD71" s="360">
        <f t="shared" si="60"/>
        <v>0.24309104466331818</v>
      </c>
      <c r="AE71" s="360">
        <f t="shared" si="61"/>
        <v>0.63444464999999983</v>
      </c>
      <c r="AF71" s="360">
        <f t="shared" si="62"/>
        <v>0</v>
      </c>
      <c r="AG71" s="360">
        <f t="shared" si="63"/>
        <v>0.89393942045642316</v>
      </c>
      <c r="AH71" s="360">
        <f t="shared" si="64"/>
        <v>2.7107324084417419</v>
      </c>
      <c r="AI71" s="360">
        <f t="shared" si="65"/>
        <v>1.8370175475440918E-2</v>
      </c>
      <c r="AJ71" s="360">
        <f t="shared" si="66"/>
        <v>0.12759599999999999</v>
      </c>
      <c r="AK71" s="360">
        <f t="shared" si="67"/>
        <v>0.14637489321141178</v>
      </c>
      <c r="AL71" s="360">
        <f t="shared" si="68"/>
        <v>0.12759599999999999</v>
      </c>
      <c r="AM71" s="360">
        <f t="shared" si="69"/>
        <v>1.6405200000000002</v>
      </c>
      <c r="AN71" s="360">
        <f t="shared" si="70"/>
        <v>9.6673630296666688E-2</v>
      </c>
      <c r="AO71" s="360">
        <f t="shared" si="71"/>
        <v>7.3499999999999998E-4</v>
      </c>
      <c r="AP71" s="360">
        <f t="shared" si="72"/>
        <v>0.34650000000000003</v>
      </c>
      <c r="AQ71" s="360">
        <f t="shared" si="26"/>
        <v>1.3167</v>
      </c>
      <c r="AR71" s="360">
        <f t="shared" si="73"/>
        <v>1.1088</v>
      </c>
      <c r="AS71" s="360">
        <f t="shared" si="74"/>
        <v>0.34723500000000002</v>
      </c>
      <c r="AT71" s="360">
        <f t="shared" si="75"/>
        <v>3.567594672758319</v>
      </c>
      <c r="AU71">
        <f t="shared" si="76"/>
        <v>15.5</v>
      </c>
      <c r="AV71" s="542">
        <f t="shared" si="47"/>
        <v>0.81289749787605325</v>
      </c>
      <c r="AW71" s="551">
        <f t="shared" si="77"/>
        <v>98.834131022821168</v>
      </c>
      <c r="AX71" s="551">
        <f t="shared" si="78"/>
        <v>26.134366742033652</v>
      </c>
      <c r="AY71" s="9"/>
      <c r="AZ71" s="4">
        <f t="shared" si="48"/>
        <v>81.289749787605331</v>
      </c>
      <c r="BA71" s="360">
        <f t="shared" si="79"/>
        <v>0.31337813042650819</v>
      </c>
      <c r="BB71" s="360">
        <f t="shared" si="80"/>
        <v>2.6808343136678352</v>
      </c>
      <c r="BC71" s="360">
        <f t="shared" si="81"/>
        <v>1.9766826204564234</v>
      </c>
      <c r="BD71" s="360">
        <f t="shared" si="82"/>
        <v>0.6877464932114119</v>
      </c>
      <c r="BE71" s="360">
        <f t="shared" si="83"/>
        <v>9.6673630296666688E-2</v>
      </c>
      <c r="BK71" s="18"/>
      <c r="BL71" s="19"/>
    </row>
    <row r="72" spans="1:64" x14ac:dyDescent="0.2">
      <c r="A72" s="32" t="s">
        <v>88</v>
      </c>
      <c r="B72" s="450">
        <f>(Qgd_Q1+Qgs_Q1/2)*(RdsonDRT+Rgate1)/(VCC-Vsp_Q1)*1000000000</f>
        <v>2.4482225656877898</v>
      </c>
      <c r="C72" s="21" t="s">
        <v>75</v>
      </c>
      <c r="D72" s="114" t="s">
        <v>508</v>
      </c>
      <c r="G72">
        <v>63</v>
      </c>
      <c r="H72" s="548">
        <f t="shared" si="49"/>
        <v>21</v>
      </c>
      <c r="I72" s="4">
        <f t="shared" si="50"/>
        <v>1</v>
      </c>
      <c r="J72" s="360">
        <f t="shared" si="84"/>
        <v>3.15</v>
      </c>
      <c r="K72" s="360">
        <f t="shared" si="51"/>
        <v>3.15</v>
      </c>
      <c r="L72" s="4">
        <f t="shared" si="52"/>
        <v>0.83333333333333326</v>
      </c>
      <c r="M72" s="360">
        <f t="shared" si="53"/>
        <v>0.23993879776741486</v>
      </c>
      <c r="N72" s="4">
        <f t="shared" si="54"/>
        <v>0.8297544548189022</v>
      </c>
      <c r="O72" s="4">
        <f t="shared" si="39"/>
        <v>3.5648772274094509</v>
      </c>
      <c r="P72" s="4">
        <f t="shared" si="40"/>
        <v>2.7351227725905489</v>
      </c>
      <c r="Q72" s="4">
        <f t="shared" si="55"/>
        <v>0</v>
      </c>
      <c r="R72" s="4">
        <f t="shared" si="41"/>
        <v>3.1590939161845628</v>
      </c>
      <c r="S72" s="360">
        <f t="shared" si="56"/>
        <v>1.3472830401220328E-2</v>
      </c>
      <c r="T72" s="360">
        <f t="shared" si="57"/>
        <v>0.3</v>
      </c>
      <c r="U72" s="360">
        <f t="shared" si="58"/>
        <v>0.3138110642609655</v>
      </c>
      <c r="V72" s="4">
        <f t="shared" si="42"/>
        <v>0.2395294789254922</v>
      </c>
      <c r="W72" s="360">
        <f t="shared" si="10"/>
        <v>1.1474874254863562E-4</v>
      </c>
      <c r="X72" s="360">
        <f t="shared" si="43"/>
        <v>1.1474874254863562E-4</v>
      </c>
      <c r="Y72" s="4">
        <f t="shared" si="44"/>
        <v>1.3490779950879852</v>
      </c>
      <c r="Z72" s="360">
        <f t="shared" si="11"/>
        <v>1.8200114368306178E-3</v>
      </c>
      <c r="AA72" s="541">
        <f t="shared" si="45"/>
        <v>1.8200114368306178E-3</v>
      </c>
      <c r="AB72" s="360">
        <f t="shared" si="46"/>
        <v>1.5474362857686241</v>
      </c>
      <c r="AC72" s="360">
        <f t="shared" si="59"/>
        <v>1.436735435108037E-2</v>
      </c>
      <c r="AD72" s="360">
        <f t="shared" si="60"/>
        <v>0.24701186796433933</v>
      </c>
      <c r="AE72" s="360">
        <f t="shared" si="61"/>
        <v>0.63444464999999983</v>
      </c>
      <c r="AF72" s="360">
        <f t="shared" si="62"/>
        <v>0</v>
      </c>
      <c r="AG72" s="360">
        <f t="shared" si="63"/>
        <v>0.89840541410248753</v>
      </c>
      <c r="AH72" s="360">
        <f t="shared" si="64"/>
        <v>2.7541451146882077</v>
      </c>
      <c r="AI72" s="360">
        <f t="shared" si="65"/>
        <v>1.8963288281902302E-2</v>
      </c>
      <c r="AJ72" s="360">
        <f t="shared" si="66"/>
        <v>0.12965399999999999</v>
      </c>
      <c r="AK72" s="360">
        <f t="shared" si="67"/>
        <v>0.14904690403202231</v>
      </c>
      <c r="AL72" s="360">
        <f t="shared" si="68"/>
        <v>0.12965399999999999</v>
      </c>
      <c r="AM72" s="360">
        <f t="shared" si="69"/>
        <v>1.6669799999999999</v>
      </c>
      <c r="AN72" s="360">
        <f t="shared" si="70"/>
        <v>9.9798743712743165E-2</v>
      </c>
      <c r="AO72" s="360">
        <f t="shared" si="71"/>
        <v>7.3499999999999998E-4</v>
      </c>
      <c r="AP72" s="360">
        <f t="shared" si="72"/>
        <v>0.34650000000000003</v>
      </c>
      <c r="AQ72" s="360">
        <f t="shared" si="26"/>
        <v>1.3167</v>
      </c>
      <c r="AR72" s="360">
        <f t="shared" si="73"/>
        <v>1.1088</v>
      </c>
      <c r="AS72" s="360">
        <f t="shared" si="74"/>
        <v>0.34723500000000002</v>
      </c>
      <c r="AT72" s="360">
        <f t="shared" si="75"/>
        <v>3.606865886287598</v>
      </c>
      <c r="AU72">
        <f t="shared" si="76"/>
        <v>15.75</v>
      </c>
      <c r="AV72" s="542">
        <f t="shared" si="47"/>
        <v>0.8136647788192457</v>
      </c>
      <c r="AW72" s="551">
        <f t="shared" si="77"/>
        <v>99.93061070512438</v>
      </c>
      <c r="AX72" s="551">
        <f t="shared" si="78"/>
        <v>26.567711553216849</v>
      </c>
      <c r="AY72" s="9"/>
      <c r="AZ72" s="4">
        <f t="shared" si="48"/>
        <v>81.366477881924567</v>
      </c>
      <c r="BA72" s="360">
        <f t="shared" si="79"/>
        <v>0.3138110642609655</v>
      </c>
      <c r="BB72" s="360">
        <f t="shared" si="80"/>
        <v>2.7144323181345098</v>
      </c>
      <c r="BC72" s="360">
        <f t="shared" si="81"/>
        <v>1.9986122141024876</v>
      </c>
      <c r="BD72" s="360">
        <f t="shared" si="82"/>
        <v>0.69915030403202238</v>
      </c>
      <c r="BE72" s="360">
        <f t="shared" si="83"/>
        <v>9.9798743712743165E-2</v>
      </c>
      <c r="BK72" s="18"/>
      <c r="BL72" s="19"/>
    </row>
    <row r="73" spans="1:64" x14ac:dyDescent="0.2">
      <c r="A73" s="33" t="s">
        <v>89</v>
      </c>
      <c r="B73" s="450">
        <f>(Qgd_Q1+Qgs_Q1/2)*(RdsonDRT2+Rgate1)/(Vsp_Q1)*1000000000</f>
        <v>1.1080797481636935</v>
      </c>
      <c r="C73" s="21" t="s">
        <v>75</v>
      </c>
      <c r="D73" s="114" t="s">
        <v>509</v>
      </c>
      <c r="G73">
        <v>64</v>
      </c>
      <c r="H73" s="548">
        <f t="shared" ref="H73:H109" si="85">Vin</f>
        <v>21</v>
      </c>
      <c r="I73" s="4">
        <f t="shared" ref="I73:I109" si="86">MODE</f>
        <v>1</v>
      </c>
      <c r="J73" s="360">
        <f t="shared" si="84"/>
        <v>3.2</v>
      </c>
      <c r="K73" s="360">
        <f t="shared" ref="K73:K109" si="87">Iout*G73/100/Number_of_Phases</f>
        <v>3.2</v>
      </c>
      <c r="L73" s="4">
        <f t="shared" ref="L73:L104" si="88">Vout*K73/(Vin*Efficiency)</f>
        <v>0.84656084656084651</v>
      </c>
      <c r="M73" s="360">
        <f t="shared" ref="M73:M109" si="89">(Vout+(Rdson2+Rs+Rdcr)*K73)/(Vin+(Rs+Rdson2-Rdson1)*K73)</f>
        <v>0.23996803166387576</v>
      </c>
      <c r="N73" s="4">
        <f t="shared" ref="N73:N104" si="90">(Vin-(Rdson1+Rdcr)*K73-Vout)*M73/(Fsw*Lf)</f>
        <v>0.82983646288252755</v>
      </c>
      <c r="O73" s="4">
        <f t="shared" si="39"/>
        <v>3.6149182314412638</v>
      </c>
      <c r="P73" s="4">
        <f t="shared" si="40"/>
        <v>2.7850817685587366</v>
      </c>
      <c r="Q73" s="4">
        <f t="shared" ref="Q73:Q104" si="91">IF(MIN(Vin, -P73/(Coss_Q1+Coss_Q2)*0.00000002)&lt;0, 0, MIN(Vin, -P73/(Coss_Q1+Coss_Q2)*0.00000002))</f>
        <v>0</v>
      </c>
      <c r="R73" s="4">
        <f t="shared" si="41"/>
        <v>3.2089539904659667</v>
      </c>
      <c r="S73" s="360">
        <f t="shared" ref="S73:S104" si="92">R73^2*Rdcr</f>
        <v>1.3901470712452062E-2</v>
      </c>
      <c r="T73" s="360">
        <f t="shared" ref="T73:T109" si="93">Core_Loss_Ch1</f>
        <v>0.3</v>
      </c>
      <c r="U73" s="360">
        <f t="shared" ref="U73:U104" si="94">(T73+S73*(1+Ltc*(Ta-25)))/(1-S73*Ltc*ThetaCa)</f>
        <v>0.31425095474795517</v>
      </c>
      <c r="V73" s="4">
        <f t="shared" si="42"/>
        <v>0.2395531526142971</v>
      </c>
      <c r="W73" s="360">
        <f t="shared" si="10"/>
        <v>1.1477142585489744E-4</v>
      </c>
      <c r="X73" s="360">
        <f t="shared" si="43"/>
        <v>1.1477142585489744E-4</v>
      </c>
      <c r="Y73" s="4">
        <f t="shared" si="44"/>
        <v>1.3704276575451593</v>
      </c>
      <c r="Z73" s="360">
        <f t="shared" si="11"/>
        <v>1.8780719645647124E-3</v>
      </c>
      <c r="AA73" s="541">
        <f t="shared" si="45"/>
        <v>1.8780719645647124E-3</v>
      </c>
      <c r="AB73" s="360">
        <f t="shared" si="46"/>
        <v>1.5719552731598048</v>
      </c>
      <c r="AC73" s="360">
        <f t="shared" ref="AC73:AC104" si="95">Rdson1*AB73^2</f>
        <v>1.4826260284889498E-2</v>
      </c>
      <c r="AD73" s="360">
        <f t="shared" ref="AD73:AD109" si="96">(Vin*K73/2)*Fsw*(Tr_buck+Tf_buck)</f>
        <v>0.25093269126536066</v>
      </c>
      <c r="AE73" s="360">
        <f t="shared" ref="AE73:AE109" si="97">(0.5*Coss_Q1*(Vin-Q73)^2-0.5*Coss_Q2*(Vin-Q73)^2+(Qoss_Q2*(Vin-Q73)/Vin)*Vin)*Fsw</f>
        <v>0.63444464999999983</v>
      </c>
      <c r="AF73" s="360">
        <f t="shared" ref="AF73:AF109" si="98">IF(K73&gt;N73/2,0,ABS(K73-N73/2)*Vsd_Q1*Deadtime*Fsw)</f>
        <v>0</v>
      </c>
      <c r="AG73" s="360">
        <f t="shared" ref="AG73:AG104" si="99">(AF73+AE73+AD73+AC73*(1+RdsonTopTc*Ta-RdsonTopTc*25))/(1-AC73*RdsonTopTc*ThetaJA_Q1)</f>
        <v>0.90288087090992175</v>
      </c>
      <c r="AH73" s="360">
        <f t="shared" ref="AH73:AH109" si="100">SQRT((1-M73))*SQRT(K73^2+(N73^2)/12)</f>
        <v>2.7975600676504757</v>
      </c>
      <c r="AI73" s="360">
        <f t="shared" ref="AI73:AI104" si="101">Rdson2*AH73^2</f>
        <v>1.9565855830281337E-2</v>
      </c>
      <c r="AJ73" s="360">
        <f t="shared" ref="AJ73:AJ109" si="102">IF(K73&lt;N73/2,Deadtime*Fsw*IF(VfdSky_Q2&gt;0,0,Vsd_Q2)*(K73+N73/2),2*Deadtime*Fsw*IF(VfdSky_Q2&gt;0,0,Vsd_Q2)*K73)</f>
        <v>0.131712</v>
      </c>
      <c r="AK73" s="360">
        <f t="shared" ref="AK73:AK104" si="103">(AJ73+AI73*(1+RdsonBotTc*Ta-RdsonBotTc*25))/(1-AI73*RdsonBotTc*ThetaJA_Q2)</f>
        <v>0.15172909970316903</v>
      </c>
      <c r="AL73" s="360">
        <f t="shared" ref="AL73:AL109" si="104">2*Deadtime*Fsw*IF(VfdSky_Q2&gt;0,VfdSky_Q2,Vsd_Q2)*K73</f>
        <v>0.131712</v>
      </c>
      <c r="AM73" s="360">
        <f t="shared" ref="AM73:AM109" si="105">IF(QrrSky_Q2&gt;0,QrrSky_Q2,Qrr_Q2*K73/(Iout/Number_of_Phases))*Fsw*Vin</f>
        <v>1.6934400000000001</v>
      </c>
      <c r="AN73" s="360">
        <f t="shared" ref="AN73:AN109" si="106">CHOOSE(SENSING_TYPE, Rs*R73^2, 0)</f>
        <v>0.10297385712927452</v>
      </c>
      <c r="AO73" s="360">
        <f t="shared" ref="AO73:AO109" si="107">Iq*Vin</f>
        <v>7.3499999999999998E-4</v>
      </c>
      <c r="AP73" s="360">
        <f t="shared" ref="AP73:AP109" si="108">IF(Ext_VCC=1,  (Qg_Q1+Qg_Q2)*Fsw*VCC, (Qg_Q1+Qg_Q2)*Fsw*Vin)</f>
        <v>0.34650000000000003</v>
      </c>
      <c r="AQ73" s="360">
        <f t="shared" ref="AQ73:AQ109" si="109">(Vin-VCC)*Fsw*(Qg_Q1+Qg_Q2)+(RdsonDRT+RdsonDRT2)*Fsw*Qg_Q1*VCC/(RdsonDRT+2*Rgate1+RdsonDRT2)+(RdsonDRB+RdsonDRB2)*Fsw*Qg_Q2*VCC/(RdsonDRB+2*Rgate2+RdsonDRB2)</f>
        <v>1.3167</v>
      </c>
      <c r="AR73" s="360">
        <f t="shared" ref="AR73:AR109" si="110">(Qg_Q1+Qg_Q2)*Fsw*(Vin-VCC)</f>
        <v>1.1088</v>
      </c>
      <c r="AS73" s="360">
        <f t="shared" si="74"/>
        <v>0.34723500000000002</v>
      </c>
      <c r="AT73" s="360">
        <f t="shared" ref="AT73:AT104" si="111" xml:space="preserve"> SUM(U73,X73,AA73,AG73,AK73,AL73,AM73,AS73,AN73)</f>
        <v>3.6462146258807402</v>
      </c>
      <c r="AU73">
        <f t="shared" ref="AU73:AU109" si="112">Vout*K73</f>
        <v>16</v>
      </c>
      <c r="AV73" s="542">
        <f t="shared" si="47"/>
        <v>0.81440625100993058</v>
      </c>
      <c r="AW73" s="551">
        <f t="shared" ref="AW73:AW109" si="113">ThetaJA_Q1*BC73</f>
        <v>101.02756354549609</v>
      </c>
      <c r="AX73" s="551">
        <f t="shared" ref="AX73:AX109" si="114">ThetaJA_Q2*BD73</f>
        <v>27.001443388720428</v>
      </c>
      <c r="AY73" s="9"/>
      <c r="AZ73" s="4">
        <f t="shared" si="48"/>
        <v>81.44062510099306</v>
      </c>
      <c r="BA73" s="360">
        <f t="shared" ref="BA73:BA109" si="115">U73</f>
        <v>0.31425095474795517</v>
      </c>
      <c r="BB73" s="360">
        <f t="shared" si="80"/>
        <v>2.7480499706130908</v>
      </c>
      <c r="BC73" s="360">
        <f t="shared" si="81"/>
        <v>2.0205512709099218</v>
      </c>
      <c r="BD73" s="360">
        <f t="shared" si="82"/>
        <v>0.71056429970316914</v>
      </c>
      <c r="BE73" s="360">
        <f t="shared" si="83"/>
        <v>0.10297385712927452</v>
      </c>
      <c r="BK73" s="18"/>
      <c r="BL73" s="19"/>
    </row>
    <row r="74" spans="1:64" x14ac:dyDescent="0.2">
      <c r="A74" s="14" t="s">
        <v>114</v>
      </c>
      <c r="B74" s="15" t="s">
        <v>7</v>
      </c>
      <c r="C74" s="17" t="s">
        <v>76</v>
      </c>
      <c r="G74">
        <v>65</v>
      </c>
      <c r="H74" s="548">
        <f t="shared" si="85"/>
        <v>21</v>
      </c>
      <c r="I74" s="4">
        <f t="shared" si="86"/>
        <v>1</v>
      </c>
      <c r="J74" s="360">
        <f t="shared" ref="J74:J109" si="116">Iout*G74/100</f>
        <v>3.25</v>
      </c>
      <c r="K74" s="360">
        <f t="shared" si="87"/>
        <v>3.25</v>
      </c>
      <c r="L74" s="4">
        <f t="shared" si="88"/>
        <v>0.85978835978835966</v>
      </c>
      <c r="M74" s="360">
        <f t="shared" si="89"/>
        <v>0.23999726465638732</v>
      </c>
      <c r="N74" s="4">
        <f t="shared" si="90"/>
        <v>0.82991846316941931</v>
      </c>
      <c r="O74" s="4">
        <f t="shared" ref="O74:O109" si="117">K74+N74/2</f>
        <v>3.6649592315847097</v>
      </c>
      <c r="P74" s="4">
        <f t="shared" ref="P74:P109" si="118">K74-N74/2</f>
        <v>2.8350407684152903</v>
      </c>
      <c r="Q74" s="4">
        <f t="shared" si="91"/>
        <v>0</v>
      </c>
      <c r="R74" s="4">
        <f t="shared" ref="R74:R109" si="119">SQRT(K74^2+(N74^2)/12)</f>
        <v>3.2588183525053664</v>
      </c>
      <c r="S74" s="360">
        <f t="shared" si="92"/>
        <v>1.4336861023744818E-2</v>
      </c>
      <c r="T74" s="360">
        <f t="shared" si="93"/>
        <v>0.3</v>
      </c>
      <c r="U74" s="360">
        <f t="shared" si="94"/>
        <v>0.31469780331739594</v>
      </c>
      <c r="V74" s="4">
        <f t="shared" ref="V74:V109" si="120">N74/SQRT(12)</f>
        <v>0.23957682405815239</v>
      </c>
      <c r="W74" s="360">
        <f t="shared" ref="W74:W109" si="121">RCoutEsr*V74^2</f>
        <v>1.1479410925158182E-4</v>
      </c>
      <c r="X74" s="360">
        <f t="shared" ref="X74:X109" si="122">W74</f>
        <v>1.1479410925158182E-4</v>
      </c>
      <c r="Y74" s="4">
        <f t="shared" ref="Y74:Y109" si="123">SQRT(M74*(1-M74))*SQRT(K74^2+(N74^2)/12)</f>
        <v>1.3917809156505725</v>
      </c>
      <c r="Z74" s="360">
        <f t="shared" ref="Z74:Z109" si="124">RCinEsr*Y74^2</f>
        <v>1.937054117169146E-3</v>
      </c>
      <c r="AA74" s="541">
        <f t="shared" ref="AA74:AA109" si="125">Z74</f>
        <v>1.937054117169146E-3</v>
      </c>
      <c r="AB74" s="360">
        <f t="shared" ref="AB74:AB109" si="126">SQRT(M74)*SQRT(K74^2+(N74^2)/12)</f>
        <v>1.596479327784301</v>
      </c>
      <c r="AC74" s="360">
        <f t="shared" si="95"/>
        <v>1.5292477464255681E-2</v>
      </c>
      <c r="AD74" s="360">
        <f t="shared" si="96"/>
        <v>0.25485351456638189</v>
      </c>
      <c r="AE74" s="360">
        <f t="shared" si="97"/>
        <v>0.63444464999999983</v>
      </c>
      <c r="AF74" s="360">
        <f t="shared" si="98"/>
        <v>0</v>
      </c>
      <c r="AG74" s="360">
        <f t="shared" si="99"/>
        <v>0.90736581629012791</v>
      </c>
      <c r="AH74" s="360">
        <f t="shared" si="100"/>
        <v>2.8409770873034468</v>
      </c>
      <c r="AI74" s="360">
        <f t="shared" si="101"/>
        <v>2.0177877026457944E-2</v>
      </c>
      <c r="AJ74" s="360">
        <f t="shared" si="102"/>
        <v>0.13376999999999997</v>
      </c>
      <c r="AK74" s="360">
        <f t="shared" si="103"/>
        <v>0.154421493508208</v>
      </c>
      <c r="AL74" s="360">
        <f t="shared" si="104"/>
        <v>0.13376999999999997</v>
      </c>
      <c r="AM74" s="360">
        <f t="shared" si="105"/>
        <v>1.7199</v>
      </c>
      <c r="AN74" s="360">
        <f t="shared" si="106"/>
        <v>0.1061989705462579</v>
      </c>
      <c r="AO74" s="360">
        <f t="shared" si="107"/>
        <v>7.3499999999999998E-4</v>
      </c>
      <c r="AP74" s="360">
        <f t="shared" si="108"/>
        <v>0.34650000000000003</v>
      </c>
      <c r="AQ74" s="360">
        <f t="shared" si="109"/>
        <v>1.3167</v>
      </c>
      <c r="AR74" s="360">
        <f t="shared" si="110"/>
        <v>1.1088</v>
      </c>
      <c r="AS74" s="360">
        <f t="shared" si="74"/>
        <v>0.34723500000000002</v>
      </c>
      <c r="AT74" s="360">
        <f t="shared" si="111"/>
        <v>3.6856409318884102</v>
      </c>
      <c r="AU74">
        <f t="shared" si="112"/>
        <v>16.25</v>
      </c>
      <c r="AV74" s="542">
        <f t="shared" ref="AV74:AV109" si="127">AU74/(AU74+AT74)</f>
        <v>0.81512302792367319</v>
      </c>
      <c r="AW74" s="551">
        <f t="shared" si="113"/>
        <v>102.12499081450642</v>
      </c>
      <c r="AX74" s="551">
        <f t="shared" si="114"/>
        <v>27.435562753311906</v>
      </c>
      <c r="AY74" s="9"/>
      <c r="AZ74" s="4">
        <f t="shared" ref="AZ74:AZ109" si="128">AV74*100</f>
        <v>81.512302792367322</v>
      </c>
      <c r="BA74" s="360">
        <f t="shared" si="115"/>
        <v>0.31469780331739594</v>
      </c>
      <c r="BB74" s="360">
        <f t="shared" ref="BB74:BB109" si="129">AG74+AK74+AM74</f>
        <v>2.7816873097983361</v>
      </c>
      <c r="BC74" s="360">
        <f t="shared" ref="BC74:BC109" si="130">AG74+AM74*0.66</f>
        <v>2.0424998162901282</v>
      </c>
      <c r="BD74" s="360">
        <f t="shared" ref="BD74:BD109" si="131">AK74+AM74*0.33</f>
        <v>0.72198849350820804</v>
      </c>
      <c r="BE74" s="360">
        <f t="shared" ref="BE74:BE109" si="132">AN74</f>
        <v>0.1061989705462579</v>
      </c>
      <c r="BK74" s="18"/>
      <c r="BL74" s="19"/>
    </row>
    <row r="75" spans="1:64" x14ac:dyDescent="0.2">
      <c r="A75" s="34" t="s">
        <v>115</v>
      </c>
      <c r="B75" s="603">
        <f>AS9</f>
        <v>0.34723500000000002</v>
      </c>
      <c r="C75" s="78" t="s">
        <v>116</v>
      </c>
      <c r="G75">
        <v>66</v>
      </c>
      <c r="H75" s="548">
        <f t="shared" si="85"/>
        <v>21</v>
      </c>
      <c r="I75" s="4">
        <f t="shared" si="86"/>
        <v>1</v>
      </c>
      <c r="J75" s="360">
        <f t="shared" si="116"/>
        <v>3.3</v>
      </c>
      <c r="K75" s="360">
        <f t="shared" si="87"/>
        <v>3.3</v>
      </c>
      <c r="L75" s="4">
        <f t="shared" si="88"/>
        <v>0.87301587301587291</v>
      </c>
      <c r="M75" s="360">
        <f t="shared" si="89"/>
        <v>0.24002649674499141</v>
      </c>
      <c r="N75" s="4">
        <f t="shared" si="90"/>
        <v>0.83000045567993785</v>
      </c>
      <c r="O75" s="4">
        <f t="shared" si="117"/>
        <v>3.715000227839969</v>
      </c>
      <c r="P75" s="4">
        <f t="shared" si="118"/>
        <v>2.8849997721600307</v>
      </c>
      <c r="Q75" s="4">
        <f t="shared" si="91"/>
        <v>0</v>
      </c>
      <c r="R75" s="4">
        <f t="shared" si="119"/>
        <v>3.3086868084436571</v>
      </c>
      <c r="S75" s="360">
        <f t="shared" si="92"/>
        <v>1.4779001335098251E-2</v>
      </c>
      <c r="T75" s="360">
        <f t="shared" si="93"/>
        <v>0.3</v>
      </c>
      <c r="U75" s="360">
        <f t="shared" si="94"/>
        <v>0.31515161142197534</v>
      </c>
      <c r="V75" s="4">
        <f t="shared" si="120"/>
        <v>0.23960049325716209</v>
      </c>
      <c r="W75" s="360">
        <f t="shared" si="121"/>
        <v>1.1481679273815076E-4</v>
      </c>
      <c r="X75" s="360">
        <f t="shared" si="122"/>
        <v>1.1481679273815076E-4</v>
      </c>
      <c r="Y75" s="4">
        <f t="shared" si="123"/>
        <v>1.413137686345481</v>
      </c>
      <c r="Z75" s="360">
        <f t="shared" si="124"/>
        <v>1.9969581205698589E-3</v>
      </c>
      <c r="AA75" s="541">
        <f t="shared" si="125"/>
        <v>1.9969581205698589E-3</v>
      </c>
      <c r="AB75" s="360">
        <f t="shared" si="126"/>
        <v>1.6210083546413858</v>
      </c>
      <c r="AC75" s="360">
        <f t="shared" si="95"/>
        <v>1.5766008514903038E-2</v>
      </c>
      <c r="AD75" s="360">
        <f t="shared" si="96"/>
        <v>0.25877433786740317</v>
      </c>
      <c r="AE75" s="360">
        <f t="shared" si="97"/>
        <v>0.63444464999999983</v>
      </c>
      <c r="AF75" s="360">
        <f t="shared" si="98"/>
        <v>0</v>
      </c>
      <c r="AG75" s="360">
        <f t="shared" si="99"/>
        <v>0.91186027575670248</v>
      </c>
      <c r="AH75" s="360">
        <f t="shared" si="100"/>
        <v>2.8843960044612285</v>
      </c>
      <c r="AI75" s="360">
        <f t="shared" si="101"/>
        <v>2.0799350776379746E-2</v>
      </c>
      <c r="AJ75" s="360">
        <f t="shared" si="102"/>
        <v>0.13582799999999998</v>
      </c>
      <c r="AK75" s="360">
        <f t="shared" si="103"/>
        <v>0.15712409882189626</v>
      </c>
      <c r="AL75" s="360">
        <f t="shared" si="104"/>
        <v>0.13582799999999998</v>
      </c>
      <c r="AM75" s="360">
        <f t="shared" si="105"/>
        <v>1.7463599999999999</v>
      </c>
      <c r="AN75" s="360">
        <f t="shared" si="106"/>
        <v>0.10947408396369074</v>
      </c>
      <c r="AO75" s="360">
        <f t="shared" si="107"/>
        <v>7.3499999999999998E-4</v>
      </c>
      <c r="AP75" s="360">
        <f t="shared" si="108"/>
        <v>0.34650000000000003</v>
      </c>
      <c r="AQ75" s="360">
        <f t="shared" si="109"/>
        <v>1.3167</v>
      </c>
      <c r="AR75" s="360">
        <f t="shared" si="110"/>
        <v>1.1088</v>
      </c>
      <c r="AS75" s="360">
        <f t="shared" ref="AS75:AS109" si="133">SUM(AO75:AP75)</f>
        <v>0.34723500000000002</v>
      </c>
      <c r="AT75" s="360">
        <f t="shared" si="111"/>
        <v>3.725144844877573</v>
      </c>
      <c r="AU75">
        <f t="shared" si="112"/>
        <v>16.5</v>
      </c>
      <c r="AV75" s="542">
        <f t="shared" si="127"/>
        <v>0.8158161598619631</v>
      </c>
      <c r="AW75" s="551">
        <f t="shared" si="113"/>
        <v>103.22289378783513</v>
      </c>
      <c r="AX75" s="551">
        <f t="shared" si="114"/>
        <v>27.870070155232057</v>
      </c>
      <c r="AY75" s="9"/>
      <c r="AZ75" s="4">
        <f t="shared" si="128"/>
        <v>81.581615986196311</v>
      </c>
      <c r="BA75" s="360">
        <f t="shared" si="115"/>
        <v>0.31515161142197534</v>
      </c>
      <c r="BB75" s="360">
        <f t="shared" si="129"/>
        <v>2.8153443745785989</v>
      </c>
      <c r="BC75" s="360">
        <f t="shared" si="130"/>
        <v>2.0644578757567027</v>
      </c>
      <c r="BD75" s="360">
        <f t="shared" si="131"/>
        <v>0.73342289882189626</v>
      </c>
      <c r="BE75" s="360">
        <f t="shared" si="132"/>
        <v>0.10947408396369074</v>
      </c>
      <c r="BK75" s="18"/>
      <c r="BL75" s="19"/>
    </row>
    <row r="76" spans="1:64" x14ac:dyDescent="0.2">
      <c r="A76" s="34" t="s">
        <v>119</v>
      </c>
      <c r="B76" s="604">
        <f>B75*B62</f>
        <v>10.41705</v>
      </c>
      <c r="C76" s="440" t="s">
        <v>465</v>
      </c>
      <c r="G76">
        <v>67</v>
      </c>
      <c r="H76" s="548">
        <f t="shared" si="85"/>
        <v>21</v>
      </c>
      <c r="I76" s="4">
        <f t="shared" si="86"/>
        <v>1</v>
      </c>
      <c r="J76" s="360">
        <f t="shared" si="116"/>
        <v>3.35</v>
      </c>
      <c r="K76" s="360">
        <f t="shared" si="87"/>
        <v>3.35</v>
      </c>
      <c r="L76" s="4">
        <f t="shared" si="88"/>
        <v>0.88624338624338617</v>
      </c>
      <c r="M76" s="360">
        <f t="shared" si="89"/>
        <v>0.24005572792973001</v>
      </c>
      <c r="N76" s="4">
        <f t="shared" si="90"/>
        <v>0.8300824404144439</v>
      </c>
      <c r="O76" s="4">
        <f t="shared" si="117"/>
        <v>3.7650412202072219</v>
      </c>
      <c r="P76" s="4">
        <f t="shared" si="118"/>
        <v>2.9349587797927783</v>
      </c>
      <c r="Q76" s="4">
        <f t="shared" si="91"/>
        <v>0</v>
      </c>
      <c r="R76" s="4">
        <f t="shared" si="119"/>
        <v>3.3585591759200901</v>
      </c>
      <c r="S76" s="360">
        <f t="shared" si="92"/>
        <v>1.5227891646511999E-2</v>
      </c>
      <c r="T76" s="360">
        <f t="shared" si="93"/>
        <v>0.3</v>
      </c>
      <c r="U76" s="360">
        <f t="shared" si="94"/>
        <v>0.3156123805371614</v>
      </c>
      <c r="V76" s="4">
        <f t="shared" si="120"/>
        <v>0.23962416021143035</v>
      </c>
      <c r="W76" s="360">
        <f t="shared" si="121"/>
        <v>1.1483947631406648E-4</v>
      </c>
      <c r="X76" s="360">
        <f t="shared" si="122"/>
        <v>1.1483947631406648E-4</v>
      </c>
      <c r="Y76" s="4">
        <f t="shared" si="123"/>
        <v>1.4344978914685289</v>
      </c>
      <c r="Z76" s="360">
        <f t="shared" si="124"/>
        <v>2.0577842006276551E-3</v>
      </c>
      <c r="AA76" s="541">
        <f t="shared" si="125"/>
        <v>2.0577842006276551E-3</v>
      </c>
      <c r="AB76" s="360">
        <f t="shared" si="126"/>
        <v>1.6455422643409123</v>
      </c>
      <c r="AC76" s="360">
        <f t="shared" si="95"/>
        <v>1.6246856062393303E-2</v>
      </c>
      <c r="AD76" s="360">
        <f t="shared" si="96"/>
        <v>0.26269516116842451</v>
      </c>
      <c r="AE76" s="360">
        <f t="shared" si="97"/>
        <v>0.63444464999999983</v>
      </c>
      <c r="AF76" s="360">
        <f t="shared" si="98"/>
        <v>0</v>
      </c>
      <c r="AG76" s="360">
        <f t="shared" si="99"/>
        <v>0.91636427492590578</v>
      </c>
      <c r="AH76" s="360">
        <f t="shared" si="100"/>
        <v>2.9278166599745994</v>
      </c>
      <c r="AI76" s="360">
        <f t="shared" si="101"/>
        <v>2.1430275986062047E-2</v>
      </c>
      <c r="AJ76" s="360">
        <f t="shared" si="102"/>
        <v>0.13788599999999998</v>
      </c>
      <c r="AK76" s="360">
        <f t="shared" si="103"/>
        <v>0.15983692911060998</v>
      </c>
      <c r="AL76" s="360">
        <f t="shared" si="104"/>
        <v>0.13788599999999998</v>
      </c>
      <c r="AM76" s="360">
        <f t="shared" si="105"/>
        <v>1.7728199999999998</v>
      </c>
      <c r="AN76" s="360">
        <f t="shared" si="106"/>
        <v>0.11279919738157036</v>
      </c>
      <c r="AO76" s="360">
        <f t="shared" si="107"/>
        <v>7.3499999999999998E-4</v>
      </c>
      <c r="AP76" s="360">
        <f t="shared" si="108"/>
        <v>0.34650000000000003</v>
      </c>
      <c r="AQ76" s="360">
        <f t="shared" si="109"/>
        <v>1.3167</v>
      </c>
      <c r="AR76" s="360">
        <f t="shared" si="110"/>
        <v>1.1088</v>
      </c>
      <c r="AS76" s="360">
        <f t="shared" si="133"/>
        <v>0.34723500000000002</v>
      </c>
      <c r="AT76" s="360">
        <f t="shared" si="111"/>
        <v>3.7647264056321892</v>
      </c>
      <c r="AU76">
        <f t="shared" si="112"/>
        <v>16.75</v>
      </c>
      <c r="AV76" s="542">
        <f t="shared" si="127"/>
        <v>0.81648663836927371</v>
      </c>
      <c r="AW76" s="551">
        <f t="shared" si="113"/>
        <v>104.32127374629529</v>
      </c>
      <c r="AX76" s="551">
        <f t="shared" si="114"/>
        <v>28.304966106203178</v>
      </c>
      <c r="AY76" s="9"/>
      <c r="AZ76" s="4">
        <f t="shared" si="128"/>
        <v>81.648663836927369</v>
      </c>
      <c r="BA76" s="360">
        <f t="shared" si="115"/>
        <v>0.3156123805371614</v>
      </c>
      <c r="BB76" s="360">
        <f t="shared" si="129"/>
        <v>2.8490212040365157</v>
      </c>
      <c r="BC76" s="360">
        <f t="shared" si="130"/>
        <v>2.0864254749259059</v>
      </c>
      <c r="BD76" s="360">
        <f t="shared" si="131"/>
        <v>0.74486752911060994</v>
      </c>
      <c r="BE76" s="360">
        <f t="shared" si="132"/>
        <v>0.11279919738157036</v>
      </c>
      <c r="BK76" s="18"/>
      <c r="BL76" s="19"/>
    </row>
    <row r="77" spans="1:64" x14ac:dyDescent="0.2">
      <c r="A77" s="34" t="s">
        <v>210</v>
      </c>
      <c r="B77" s="604">
        <f>(Qg_Q1+Qg_Q2)*Fsw+Iq</f>
        <v>6.9334999999999994E-2</v>
      </c>
      <c r="C77" s="21" t="s">
        <v>1</v>
      </c>
      <c r="G77">
        <v>68</v>
      </c>
      <c r="H77" s="548">
        <f t="shared" si="85"/>
        <v>21</v>
      </c>
      <c r="I77" s="4">
        <f t="shared" si="86"/>
        <v>1</v>
      </c>
      <c r="J77" s="360">
        <f t="shared" si="116"/>
        <v>3.4</v>
      </c>
      <c r="K77" s="360">
        <f t="shared" si="87"/>
        <v>3.4</v>
      </c>
      <c r="L77" s="4">
        <f t="shared" si="88"/>
        <v>0.89947089947089942</v>
      </c>
      <c r="M77" s="360">
        <f t="shared" si="89"/>
        <v>0.24008495821064499</v>
      </c>
      <c r="N77" s="4">
        <f t="shared" si="90"/>
        <v>0.83016441737329782</v>
      </c>
      <c r="O77" s="4">
        <f t="shared" si="117"/>
        <v>3.8150822086866487</v>
      </c>
      <c r="P77" s="4">
        <f t="shared" si="118"/>
        <v>2.9849177913133511</v>
      </c>
      <c r="Q77" s="4">
        <f t="shared" si="91"/>
        <v>0</v>
      </c>
      <c r="R77" s="4">
        <f t="shared" si="119"/>
        <v>3.4084352832332603</v>
      </c>
      <c r="S77" s="360">
        <f t="shared" si="92"/>
        <v>1.5683531957985684E-2</v>
      </c>
      <c r="T77" s="360">
        <f t="shared" si="93"/>
        <v>0.3</v>
      </c>
      <c r="U77" s="360">
        <f t="shared" si="94"/>
        <v>0.31608011216121479</v>
      </c>
      <c r="V77" s="4">
        <f t="shared" si="120"/>
        <v>0.23964782492106118</v>
      </c>
      <c r="W77" s="360">
        <f t="shared" si="121"/>
        <v>1.1486215997879119E-4</v>
      </c>
      <c r="X77" s="360">
        <f t="shared" si="122"/>
        <v>1.1486215997879119E-4</v>
      </c>
      <c r="Y77" s="4">
        <f t="shared" si="123"/>
        <v>1.4558614573984019</v>
      </c>
      <c r="Z77" s="360">
        <f t="shared" si="124"/>
        <v>2.1195325831381987E-3</v>
      </c>
      <c r="AA77" s="541">
        <f t="shared" si="125"/>
        <v>2.1195325831381987E-3</v>
      </c>
      <c r="AB77" s="360">
        <f t="shared" si="126"/>
        <v>1.6700809726939296</v>
      </c>
      <c r="AC77" s="360">
        <f t="shared" si="95"/>
        <v>1.6735022732125814E-2</v>
      </c>
      <c r="AD77" s="360">
        <f t="shared" si="96"/>
        <v>0.26661598446944562</v>
      </c>
      <c r="AE77" s="360">
        <f t="shared" si="97"/>
        <v>0.63444464999999983</v>
      </c>
      <c r="AF77" s="360">
        <f t="shared" si="98"/>
        <v>0</v>
      </c>
      <c r="AG77" s="360">
        <f t="shared" si="99"/>
        <v>0.9208778395171372</v>
      </c>
      <c r="AH77" s="360">
        <f t="shared" si="100"/>
        <v>2.9712389039986489</v>
      </c>
      <c r="AI77" s="360">
        <f t="shared" si="101"/>
        <v>2.2070651561587731E-2</v>
      </c>
      <c r="AJ77" s="360">
        <f t="shared" si="102"/>
        <v>0.13994399999999999</v>
      </c>
      <c r="AK77" s="360">
        <f t="shared" si="103"/>
        <v>0.16255999793256548</v>
      </c>
      <c r="AL77" s="360">
        <f t="shared" si="104"/>
        <v>0.13994399999999999</v>
      </c>
      <c r="AM77" s="360">
        <f t="shared" si="105"/>
        <v>1.7992799999999998</v>
      </c>
      <c r="AN77" s="360">
        <f t="shared" si="106"/>
        <v>0.11617431079989395</v>
      </c>
      <c r="AO77" s="360">
        <f t="shared" si="107"/>
        <v>7.3499999999999998E-4</v>
      </c>
      <c r="AP77" s="360">
        <f t="shared" si="108"/>
        <v>0.34650000000000003</v>
      </c>
      <c r="AQ77" s="360">
        <f t="shared" si="109"/>
        <v>1.3167</v>
      </c>
      <c r="AR77" s="360">
        <f t="shared" si="110"/>
        <v>1.1088</v>
      </c>
      <c r="AS77" s="360">
        <f t="shared" si="133"/>
        <v>0.34723500000000002</v>
      </c>
      <c r="AT77" s="360">
        <f t="shared" si="111"/>
        <v>3.8043856551539279</v>
      </c>
      <c r="AU77">
        <f t="shared" si="112"/>
        <v>17</v>
      </c>
      <c r="AV77" s="542">
        <f t="shared" si="127"/>
        <v>0.81713540028462905</v>
      </c>
      <c r="AW77" s="551">
        <f t="shared" si="113"/>
        <v>105.42013197585685</v>
      </c>
      <c r="AX77" s="551">
        <f t="shared" si="114"/>
        <v>28.740251121437485</v>
      </c>
      <c r="AY77" s="9"/>
      <c r="AZ77" s="4">
        <f t="shared" si="128"/>
        <v>81.713540028462901</v>
      </c>
      <c r="BA77" s="360">
        <f t="shared" si="115"/>
        <v>0.31608011216121479</v>
      </c>
      <c r="BB77" s="360">
        <f t="shared" si="129"/>
        <v>2.8827178374497024</v>
      </c>
      <c r="BC77" s="360">
        <f t="shared" si="130"/>
        <v>2.1084026395171369</v>
      </c>
      <c r="BD77" s="360">
        <f t="shared" si="131"/>
        <v>0.75632239793256539</v>
      </c>
      <c r="BE77" s="360">
        <f t="shared" si="132"/>
        <v>0.11617431079989395</v>
      </c>
      <c r="BK77" s="18"/>
      <c r="BL77" s="19"/>
    </row>
    <row r="78" spans="1:64" x14ac:dyDescent="0.2">
      <c r="A78" s="34" t="s">
        <v>211</v>
      </c>
      <c r="B78" s="605">
        <f>Qrr_Q2*Fsw</f>
        <v>0.126</v>
      </c>
      <c r="C78" s="21" t="s">
        <v>1</v>
      </c>
      <c r="G78">
        <v>69</v>
      </c>
      <c r="H78" s="548">
        <f t="shared" si="85"/>
        <v>21</v>
      </c>
      <c r="I78" s="4">
        <f t="shared" si="86"/>
        <v>1</v>
      </c>
      <c r="J78" s="360">
        <f t="shared" si="116"/>
        <v>3.45</v>
      </c>
      <c r="K78" s="360">
        <f t="shared" si="87"/>
        <v>3.45</v>
      </c>
      <c r="L78" s="4">
        <f t="shared" si="88"/>
        <v>0.91269841269841256</v>
      </c>
      <c r="M78" s="360">
        <f t="shared" si="89"/>
        <v>0.24011418758777833</v>
      </c>
      <c r="N78" s="4">
        <f t="shared" si="90"/>
        <v>0.83024638655686067</v>
      </c>
      <c r="O78" s="4">
        <f t="shared" si="117"/>
        <v>3.8651231932784307</v>
      </c>
      <c r="P78" s="4">
        <f t="shared" si="118"/>
        <v>3.0348768067215697</v>
      </c>
      <c r="Q78" s="4">
        <f t="shared" si="91"/>
        <v>0</v>
      </c>
      <c r="R78" s="4">
        <f t="shared" si="119"/>
        <v>3.4583149685744203</v>
      </c>
      <c r="S78" s="360">
        <f t="shared" si="92"/>
        <v>1.6145922269518956E-2</v>
      </c>
      <c r="T78" s="360">
        <f t="shared" si="93"/>
        <v>0.3</v>
      </c>
      <c r="U78" s="360">
        <f t="shared" si="94"/>
        <v>0.31655480781520107</v>
      </c>
      <c r="V78" s="4">
        <f t="shared" si="120"/>
        <v>0.23967148738615882</v>
      </c>
      <c r="W78" s="360">
        <f t="shared" si="121"/>
        <v>1.1488484373178736E-4</v>
      </c>
      <c r="X78" s="360">
        <f t="shared" si="122"/>
        <v>1.1488484373178736E-4</v>
      </c>
      <c r="Y78" s="4">
        <f t="shared" si="123"/>
        <v>1.4772283147272942</v>
      </c>
      <c r="Z78" s="360">
        <f t="shared" si="124"/>
        <v>2.1822034938320418E-3</v>
      </c>
      <c r="AA78" s="541">
        <f t="shared" si="125"/>
        <v>2.1822034938320418E-3</v>
      </c>
      <c r="AB78" s="360">
        <f t="shared" si="126"/>
        <v>1.6946244003385929</v>
      </c>
      <c r="AC78" s="360">
        <f t="shared" si="95"/>
        <v>1.7230511149337612E-2</v>
      </c>
      <c r="AD78" s="360">
        <f t="shared" si="96"/>
        <v>0.27053680777046696</v>
      </c>
      <c r="AE78" s="360">
        <f t="shared" si="97"/>
        <v>0.63444464999999983</v>
      </c>
      <c r="AF78" s="360">
        <f t="shared" si="98"/>
        <v>0</v>
      </c>
      <c r="AG78" s="360">
        <f t="shared" si="99"/>
        <v>0.92540099535341336</v>
      </c>
      <c r="AH78" s="360">
        <f t="shared" si="100"/>
        <v>3.0146625953235562</v>
      </c>
      <c r="AI78" s="360">
        <f t="shared" si="101"/>
        <v>2.2720476409107397E-2</v>
      </c>
      <c r="AJ78" s="360">
        <f t="shared" si="102"/>
        <v>0.14200199999999999</v>
      </c>
      <c r="AK78" s="360">
        <f t="shared" si="103"/>
        <v>0.16529331893804164</v>
      </c>
      <c r="AL78" s="360">
        <f t="shared" si="104"/>
        <v>0.14200199999999999</v>
      </c>
      <c r="AM78" s="360">
        <f t="shared" si="105"/>
        <v>1.8257400000000001</v>
      </c>
      <c r="AN78" s="360">
        <f t="shared" si="106"/>
        <v>0.11959942421865893</v>
      </c>
      <c r="AO78" s="360">
        <f t="shared" si="107"/>
        <v>7.3499999999999998E-4</v>
      </c>
      <c r="AP78" s="360">
        <f t="shared" si="108"/>
        <v>0.34650000000000003</v>
      </c>
      <c r="AQ78" s="360">
        <f t="shared" si="109"/>
        <v>1.3167</v>
      </c>
      <c r="AR78" s="360">
        <f t="shared" si="110"/>
        <v>1.1088</v>
      </c>
      <c r="AS78" s="360">
        <f t="shared" si="133"/>
        <v>0.34723500000000002</v>
      </c>
      <c r="AT78" s="360">
        <f t="shared" si="111"/>
        <v>3.8441226346628787</v>
      </c>
      <c r="AU78">
        <f t="shared" si="112"/>
        <v>17.25</v>
      </c>
      <c r="AV78" s="542">
        <f t="shared" si="127"/>
        <v>0.81776333146247904</v>
      </c>
      <c r="AW78" s="551">
        <f t="shared" si="113"/>
        <v>106.51946976767069</v>
      </c>
      <c r="AX78" s="551">
        <f t="shared" si="114"/>
        <v>29.175925719645587</v>
      </c>
      <c r="AY78" s="9"/>
      <c r="AZ78" s="4">
        <f t="shared" si="128"/>
        <v>81.776333146247907</v>
      </c>
      <c r="BA78" s="360">
        <f t="shared" si="115"/>
        <v>0.31655480781520107</v>
      </c>
      <c r="BB78" s="360">
        <f t="shared" si="129"/>
        <v>2.9164343142914548</v>
      </c>
      <c r="BC78" s="360">
        <f t="shared" si="130"/>
        <v>2.1303893953534137</v>
      </c>
      <c r="BD78" s="360">
        <f t="shared" si="131"/>
        <v>0.76778751893804176</v>
      </c>
      <c r="BE78" s="360">
        <f t="shared" si="132"/>
        <v>0.11959942421865893</v>
      </c>
      <c r="BK78" s="18"/>
      <c r="BL78" s="19"/>
    </row>
    <row r="79" spans="1:64" x14ac:dyDescent="0.2">
      <c r="A79" s="34" t="s">
        <v>212</v>
      </c>
      <c r="B79" s="605">
        <f>Deadtime*Fsw*(Iripple_Vinnom/2)*(Vsd_Q2)/Vin</f>
        <v>4.0765565392643772E-4</v>
      </c>
      <c r="C79" s="21"/>
      <c r="G79">
        <v>70</v>
      </c>
      <c r="H79" s="548">
        <f t="shared" si="85"/>
        <v>21</v>
      </c>
      <c r="I79" s="4">
        <f t="shared" si="86"/>
        <v>1</v>
      </c>
      <c r="J79" s="360">
        <f t="shared" si="116"/>
        <v>3.5</v>
      </c>
      <c r="K79" s="360">
        <f t="shared" si="87"/>
        <v>3.5</v>
      </c>
      <c r="L79" s="4">
        <f t="shared" si="88"/>
        <v>0.92592592592592582</v>
      </c>
      <c r="M79" s="360">
        <f t="shared" si="89"/>
        <v>0.24014341606117184</v>
      </c>
      <c r="N79" s="4">
        <f t="shared" si="90"/>
        <v>0.8303283479654926</v>
      </c>
      <c r="O79" s="4">
        <f t="shared" si="117"/>
        <v>3.9151641739827463</v>
      </c>
      <c r="P79" s="4">
        <f t="shared" si="118"/>
        <v>3.0848358260172537</v>
      </c>
      <c r="Q79" s="4">
        <f t="shared" si="91"/>
        <v>0</v>
      </c>
      <c r="R79" s="4">
        <f t="shared" si="119"/>
        <v>3.5081980793259464</v>
      </c>
      <c r="S79" s="360">
        <f t="shared" si="92"/>
        <v>1.6615062581111451E-2</v>
      </c>
      <c r="T79" s="360">
        <f t="shared" si="93"/>
        <v>0.3</v>
      </c>
      <c r="U79" s="360">
        <f t="shared" si="94"/>
        <v>0.31703646904300298</v>
      </c>
      <c r="V79" s="4">
        <f t="shared" si="120"/>
        <v>0.23969514760682722</v>
      </c>
      <c r="W79" s="360">
        <f t="shared" si="121"/>
        <v>1.1490752757251737E-4</v>
      </c>
      <c r="X79" s="360">
        <f t="shared" si="122"/>
        <v>1.1490752757251737E-4</v>
      </c>
      <c r="Y79" s="4">
        <f t="shared" si="123"/>
        <v>1.4985983979621158</v>
      </c>
      <c r="Z79" s="360">
        <f t="shared" si="124"/>
        <v>2.2457971583746202E-3</v>
      </c>
      <c r="AA79" s="541">
        <f t="shared" si="125"/>
        <v>2.2457971583746202E-3</v>
      </c>
      <c r="AB79" s="360">
        <f t="shared" si="126"/>
        <v>1.7191724723978568</v>
      </c>
      <c r="AC79" s="360">
        <f t="shared" si="95"/>
        <v>1.7733323939103356E-2</v>
      </c>
      <c r="AD79" s="360">
        <f t="shared" si="96"/>
        <v>0.27445763107148824</v>
      </c>
      <c r="AE79" s="360">
        <f t="shared" si="97"/>
        <v>0.63444464999999983</v>
      </c>
      <c r="AF79" s="360">
        <f t="shared" si="98"/>
        <v>0</v>
      </c>
      <c r="AG79" s="360">
        <f t="shared" si="99"/>
        <v>0.92993376836184571</v>
      </c>
      <c r="AH79" s="360">
        <f t="shared" si="100"/>
        <v>3.0580876007622315</v>
      </c>
      <c r="AI79" s="360">
        <f t="shared" si="101"/>
        <v>2.3379749434839253E-2</v>
      </c>
      <c r="AJ79" s="360">
        <f t="shared" si="102"/>
        <v>0.14405999999999999</v>
      </c>
      <c r="AK79" s="360">
        <f t="shared" si="103"/>
        <v>0.16803690586960487</v>
      </c>
      <c r="AL79" s="360">
        <f t="shared" si="104"/>
        <v>0.14405999999999999</v>
      </c>
      <c r="AM79" s="360">
        <f t="shared" si="105"/>
        <v>1.8521999999999996</v>
      </c>
      <c r="AN79" s="360">
        <f t="shared" si="106"/>
        <v>0.12307453763786259</v>
      </c>
      <c r="AO79" s="360">
        <f t="shared" si="107"/>
        <v>7.3499999999999998E-4</v>
      </c>
      <c r="AP79" s="360">
        <f t="shared" si="108"/>
        <v>0.34650000000000003</v>
      </c>
      <c r="AQ79" s="360">
        <f t="shared" si="109"/>
        <v>1.3167</v>
      </c>
      <c r="AR79" s="360">
        <f t="shared" si="110"/>
        <v>1.1088</v>
      </c>
      <c r="AS79" s="360">
        <f t="shared" si="133"/>
        <v>0.34723500000000002</v>
      </c>
      <c r="AT79" s="360">
        <f t="shared" si="111"/>
        <v>3.8839373855982631</v>
      </c>
      <c r="AU79">
        <f t="shared" si="112"/>
        <v>17.5</v>
      </c>
      <c r="AV79" s="542">
        <f t="shared" si="127"/>
        <v>0.81837127019395262</v>
      </c>
      <c r="AW79" s="551">
        <f t="shared" si="113"/>
        <v>107.61928841809227</v>
      </c>
      <c r="AX79" s="551">
        <f t="shared" si="114"/>
        <v>29.611990423044983</v>
      </c>
      <c r="AY79" s="9"/>
      <c r="AZ79" s="4">
        <f t="shared" si="128"/>
        <v>81.837127019395268</v>
      </c>
      <c r="BA79" s="360">
        <f t="shared" si="115"/>
        <v>0.31703646904300298</v>
      </c>
      <c r="BB79" s="360">
        <f t="shared" si="129"/>
        <v>2.9501706742314502</v>
      </c>
      <c r="BC79" s="360">
        <f t="shared" si="130"/>
        <v>2.1523857683618455</v>
      </c>
      <c r="BD79" s="360">
        <f t="shared" si="131"/>
        <v>0.77926290586960478</v>
      </c>
      <c r="BE79" s="360">
        <f t="shared" si="132"/>
        <v>0.12307453763786259</v>
      </c>
      <c r="BK79" s="18"/>
      <c r="BL79" s="19"/>
    </row>
    <row r="80" spans="1:64" x14ac:dyDescent="0.2">
      <c r="A80" s="34" t="s">
        <v>45</v>
      </c>
      <c r="B80" s="605">
        <f>SUM(B77:B79)</f>
        <v>0.19574265565392643</v>
      </c>
      <c r="C80" s="21" t="s">
        <v>1</v>
      </c>
      <c r="G80">
        <v>71</v>
      </c>
      <c r="H80" s="548">
        <f t="shared" si="85"/>
        <v>21</v>
      </c>
      <c r="I80" s="4">
        <f t="shared" si="86"/>
        <v>1</v>
      </c>
      <c r="J80" s="360">
        <f t="shared" si="116"/>
        <v>3.55</v>
      </c>
      <c r="K80" s="360">
        <f t="shared" si="87"/>
        <v>3.55</v>
      </c>
      <c r="L80" s="4">
        <f t="shared" si="88"/>
        <v>0.93915343915343907</v>
      </c>
      <c r="M80" s="360">
        <f t="shared" si="89"/>
        <v>0.24017264363086754</v>
      </c>
      <c r="N80" s="4">
        <f t="shared" si="90"/>
        <v>0.83041030159955453</v>
      </c>
      <c r="O80" s="4">
        <f t="shared" si="117"/>
        <v>3.9652051507997772</v>
      </c>
      <c r="P80" s="4">
        <f t="shared" si="118"/>
        <v>3.1347948492002224</v>
      </c>
      <c r="Q80" s="4">
        <f t="shared" si="91"/>
        <v>0</v>
      </c>
      <c r="R80" s="4">
        <f t="shared" si="119"/>
        <v>3.558084471418606</v>
      </c>
      <c r="S80" s="360">
        <f t="shared" si="92"/>
        <v>1.7090952892762797E-2</v>
      </c>
      <c r="T80" s="360">
        <f t="shared" si="93"/>
        <v>0.3</v>
      </c>
      <c r="U80" s="360">
        <f t="shared" si="94"/>
        <v>0.31752509741133295</v>
      </c>
      <c r="V80" s="4">
        <f t="shared" si="120"/>
        <v>0.23971880558317057</v>
      </c>
      <c r="W80" s="360">
        <f t="shared" si="121"/>
        <v>1.1493021150044385E-4</v>
      </c>
      <c r="X80" s="360">
        <f t="shared" si="122"/>
        <v>1.1493021150044385E-4</v>
      </c>
      <c r="Y80" s="4">
        <f t="shared" si="123"/>
        <v>1.5199716452507477</v>
      </c>
      <c r="Z80" s="360">
        <f t="shared" si="124"/>
        <v>2.310313802366265E-3</v>
      </c>
      <c r="AA80" s="541">
        <f t="shared" si="125"/>
        <v>2.310313802366265E-3</v>
      </c>
      <c r="AB80" s="360">
        <f t="shared" si="126"/>
        <v>1.7437251181658668</v>
      </c>
      <c r="AC80" s="360">
        <f t="shared" si="95"/>
        <v>1.8243463726335396E-2</v>
      </c>
      <c r="AD80" s="360">
        <f t="shared" si="96"/>
        <v>0.27837845437250947</v>
      </c>
      <c r="AE80" s="360">
        <f t="shared" si="97"/>
        <v>0.63444464999999983</v>
      </c>
      <c r="AF80" s="360">
        <f t="shared" si="98"/>
        <v>0</v>
      </c>
      <c r="AG80" s="360">
        <f t="shared" si="99"/>
        <v>0.93447618457412496</v>
      </c>
      <c r="AH80" s="360">
        <f t="shared" si="100"/>
        <v>3.1015137945892897</v>
      </c>
      <c r="AI80" s="360">
        <f t="shared" si="101"/>
        <v>2.4048469545069135E-2</v>
      </c>
      <c r="AJ80" s="360">
        <f t="shared" si="102"/>
        <v>0.14611799999999997</v>
      </c>
      <c r="AK80" s="360">
        <f t="shared" si="103"/>
        <v>0.17079077256233582</v>
      </c>
      <c r="AL80" s="360">
        <f t="shared" si="104"/>
        <v>0.14611799999999997</v>
      </c>
      <c r="AM80" s="360">
        <f t="shared" si="105"/>
        <v>1.8786599999999996</v>
      </c>
      <c r="AN80" s="360">
        <f t="shared" si="106"/>
        <v>0.1265996510575022</v>
      </c>
      <c r="AO80" s="360">
        <f t="shared" si="107"/>
        <v>7.3499999999999998E-4</v>
      </c>
      <c r="AP80" s="360">
        <f t="shared" si="108"/>
        <v>0.34650000000000003</v>
      </c>
      <c r="AQ80" s="360">
        <f t="shared" si="109"/>
        <v>1.3167</v>
      </c>
      <c r="AR80" s="360">
        <f t="shared" si="110"/>
        <v>1.1088</v>
      </c>
      <c r="AS80" s="360">
        <f t="shared" si="133"/>
        <v>0.34723500000000002</v>
      </c>
      <c r="AT80" s="360">
        <f t="shared" si="111"/>
        <v>3.9238299496191624</v>
      </c>
      <c r="AU80">
        <f t="shared" si="112"/>
        <v>17.75</v>
      </c>
      <c r="AV80" s="542">
        <f t="shared" si="127"/>
        <v>0.81896001035626342</v>
      </c>
      <c r="AW80" s="551">
        <f t="shared" si="113"/>
        <v>108.71958922870624</v>
      </c>
      <c r="AX80" s="551">
        <f t="shared" si="114"/>
        <v>30.048445757368761</v>
      </c>
      <c r="AY80" s="9"/>
      <c r="AZ80" s="4">
        <f t="shared" si="128"/>
        <v>81.896001035626341</v>
      </c>
      <c r="BA80" s="360">
        <f t="shared" si="115"/>
        <v>0.31752509741133295</v>
      </c>
      <c r="BB80" s="360">
        <f t="shared" si="129"/>
        <v>2.9839269571364602</v>
      </c>
      <c r="BC80" s="360">
        <f t="shared" si="130"/>
        <v>2.1743917845741247</v>
      </c>
      <c r="BD80" s="360">
        <f t="shared" si="131"/>
        <v>0.79074857256233577</v>
      </c>
      <c r="BE80" s="360">
        <f t="shared" si="132"/>
        <v>0.1265996510575022</v>
      </c>
      <c r="BK80" s="18"/>
      <c r="BL80" s="19"/>
    </row>
    <row r="81" spans="1:64" x14ac:dyDescent="0.2">
      <c r="A81" s="2"/>
      <c r="G81">
        <v>72</v>
      </c>
      <c r="H81" s="548">
        <f t="shared" si="85"/>
        <v>21</v>
      </c>
      <c r="I81" s="4">
        <f t="shared" si="86"/>
        <v>1</v>
      </c>
      <c r="J81" s="360">
        <f t="shared" si="116"/>
        <v>3.6</v>
      </c>
      <c r="K81" s="360">
        <f t="shared" si="87"/>
        <v>3.6</v>
      </c>
      <c r="L81" s="4">
        <f t="shared" si="88"/>
        <v>0.95238095238095233</v>
      </c>
      <c r="M81" s="360">
        <f t="shared" si="89"/>
        <v>0.24020187029690726</v>
      </c>
      <c r="N81" s="4">
        <f t="shared" si="90"/>
        <v>0.83049224745940686</v>
      </c>
      <c r="O81" s="4">
        <f t="shared" si="117"/>
        <v>4.0152461237297032</v>
      </c>
      <c r="P81" s="4">
        <f t="shared" si="118"/>
        <v>3.1847538762702965</v>
      </c>
      <c r="Q81" s="4">
        <f t="shared" si="91"/>
        <v>0</v>
      </c>
      <c r="R81" s="4">
        <f t="shared" si="119"/>
        <v>3.6079740087419583</v>
      </c>
      <c r="S81" s="360">
        <f t="shared" si="92"/>
        <v>1.7573593204472649E-2</v>
      </c>
      <c r="T81" s="360">
        <f t="shared" si="93"/>
        <v>0.3</v>
      </c>
      <c r="U81" s="360">
        <f t="shared" si="94"/>
        <v>0.31802069450974613</v>
      </c>
      <c r="V81" s="4">
        <f t="shared" si="120"/>
        <v>0.23974246131529295</v>
      </c>
      <c r="W81" s="360">
        <f t="shared" si="121"/>
        <v>1.1495289551502947E-4</v>
      </c>
      <c r="X81" s="360">
        <f t="shared" si="122"/>
        <v>1.1495289551502947E-4</v>
      </c>
      <c r="Y81" s="4">
        <f t="shared" si="123"/>
        <v>1.5413479981309268</v>
      </c>
      <c r="Z81" s="360">
        <f t="shared" si="124"/>
        <v>2.3757536513422158E-3</v>
      </c>
      <c r="AA81" s="541">
        <f t="shared" si="125"/>
        <v>2.3757536513422158E-3</v>
      </c>
      <c r="AB81" s="360">
        <f t="shared" si="126"/>
        <v>1.7682822708202715</v>
      </c>
      <c r="AC81" s="360">
        <f t="shared" si="95"/>
        <v>1.8760933135783777E-2</v>
      </c>
      <c r="AD81" s="360">
        <f t="shared" si="96"/>
        <v>0.2822992776735308</v>
      </c>
      <c r="AE81" s="360">
        <f t="shared" si="97"/>
        <v>0.63444464999999983</v>
      </c>
      <c r="AF81" s="360">
        <f t="shared" si="98"/>
        <v>0</v>
      </c>
      <c r="AG81" s="360">
        <f t="shared" si="99"/>
        <v>0.93902827012700707</v>
      </c>
      <c r="AH81" s="360">
        <f t="shared" si="100"/>
        <v>3.1449410580264012</v>
      </c>
      <c r="AI81" s="360">
        <f t="shared" si="101"/>
        <v>2.472663564615055E-2</v>
      </c>
      <c r="AJ81" s="360">
        <f t="shared" si="102"/>
        <v>0.14817599999999997</v>
      </c>
      <c r="AK81" s="360">
        <f t="shared" si="103"/>
        <v>0.17355493294405849</v>
      </c>
      <c r="AL81" s="360">
        <f t="shared" si="104"/>
        <v>0.14817599999999997</v>
      </c>
      <c r="AM81" s="360">
        <f t="shared" si="105"/>
        <v>1.9051199999999999</v>
      </c>
      <c r="AN81" s="360">
        <f t="shared" si="106"/>
        <v>0.13017476447757517</v>
      </c>
      <c r="AO81" s="360">
        <f t="shared" si="107"/>
        <v>7.3499999999999998E-4</v>
      </c>
      <c r="AP81" s="360">
        <f t="shared" si="108"/>
        <v>0.34650000000000003</v>
      </c>
      <c r="AQ81" s="360">
        <f t="shared" si="109"/>
        <v>1.3167</v>
      </c>
      <c r="AR81" s="360">
        <f t="shared" si="110"/>
        <v>1.1088</v>
      </c>
      <c r="AS81" s="360">
        <f t="shared" si="133"/>
        <v>0.34723500000000002</v>
      </c>
      <c r="AT81" s="360">
        <f t="shared" si="111"/>
        <v>3.9638003686052441</v>
      </c>
      <c r="AU81">
        <f t="shared" si="112"/>
        <v>18</v>
      </c>
      <c r="AV81" s="542">
        <f t="shared" si="127"/>
        <v>0.81953030431513818</v>
      </c>
      <c r="AW81" s="551">
        <f t="shared" si="113"/>
        <v>109.82037350635035</v>
      </c>
      <c r="AX81" s="551">
        <f t="shared" si="114"/>
        <v>30.48529225187422</v>
      </c>
      <c r="AY81" s="9"/>
      <c r="AZ81" s="4">
        <f t="shared" si="128"/>
        <v>81.953030431513824</v>
      </c>
      <c r="BA81" s="360">
        <f t="shared" si="115"/>
        <v>0.31802069450974613</v>
      </c>
      <c r="BB81" s="360">
        <f t="shared" si="129"/>
        <v>3.0177032030710658</v>
      </c>
      <c r="BC81" s="360">
        <f t="shared" si="130"/>
        <v>2.1964074701270069</v>
      </c>
      <c r="BD81" s="360">
        <f t="shared" si="131"/>
        <v>0.8022445329440584</v>
      </c>
      <c r="BE81" s="360">
        <f t="shared" si="132"/>
        <v>0.13017476447757517</v>
      </c>
      <c r="BK81" s="18"/>
      <c r="BL81" s="19"/>
    </row>
    <row r="82" spans="1:64" x14ac:dyDescent="0.2">
      <c r="A82" s="2"/>
      <c r="G82">
        <v>73</v>
      </c>
      <c r="H82" s="548">
        <f t="shared" si="85"/>
        <v>21</v>
      </c>
      <c r="I82" s="4">
        <f t="shared" si="86"/>
        <v>1</v>
      </c>
      <c r="J82" s="360">
        <f t="shared" si="116"/>
        <v>3.65</v>
      </c>
      <c r="K82" s="360">
        <f t="shared" si="87"/>
        <v>3.65</v>
      </c>
      <c r="L82" s="4">
        <f t="shared" si="88"/>
        <v>0.96560846560846547</v>
      </c>
      <c r="M82" s="360">
        <f t="shared" si="89"/>
        <v>0.24023109605933299</v>
      </c>
      <c r="N82" s="4">
        <f t="shared" si="90"/>
        <v>0.8305741855454104</v>
      </c>
      <c r="O82" s="4">
        <f t="shared" si="117"/>
        <v>4.0652870927727047</v>
      </c>
      <c r="P82" s="4">
        <f t="shared" si="118"/>
        <v>3.2347129072272947</v>
      </c>
      <c r="Q82" s="4">
        <f t="shared" si="91"/>
        <v>0</v>
      </c>
      <c r="R82" s="4">
        <f t="shared" si="119"/>
        <v>3.6578665626028335</v>
      </c>
      <c r="S82" s="360">
        <f t="shared" si="92"/>
        <v>1.8062983516240624E-2</v>
      </c>
      <c r="T82" s="360">
        <f t="shared" si="93"/>
        <v>0.3</v>
      </c>
      <c r="U82" s="360">
        <f t="shared" si="94"/>
        <v>0.31852326195065295</v>
      </c>
      <c r="V82" s="4">
        <f t="shared" si="120"/>
        <v>0.23976611480329846</v>
      </c>
      <c r="W82" s="360">
        <f t="shared" si="121"/>
        <v>1.14975579615737E-4</v>
      </c>
      <c r="X82" s="360">
        <f t="shared" si="122"/>
        <v>1.14975579615737E-4</v>
      </c>
      <c r="Y82" s="4">
        <f t="shared" si="123"/>
        <v>1.5627274012996075</v>
      </c>
      <c r="Z82" s="360">
        <f t="shared" si="124"/>
        <v>2.4421169307726246E-3</v>
      </c>
      <c r="AA82" s="541">
        <f t="shared" si="125"/>
        <v>2.4421169307726246E-3</v>
      </c>
      <c r="AB82" s="360">
        <f t="shared" si="126"/>
        <v>1.7928438671579956</v>
      </c>
      <c r="AC82" s="360">
        <f t="shared" si="95"/>
        <v>1.928573479203622E-2</v>
      </c>
      <c r="AD82" s="360">
        <f t="shared" si="96"/>
        <v>0.28622010097455192</v>
      </c>
      <c r="AE82" s="360">
        <f t="shared" si="97"/>
        <v>0.63444464999999983</v>
      </c>
      <c r="AF82" s="360">
        <f t="shared" si="98"/>
        <v>0</v>
      </c>
      <c r="AG82" s="360">
        <f t="shared" si="99"/>
        <v>0.9435900512627996</v>
      </c>
      <c r="AH82" s="360">
        <f t="shared" si="100"/>
        <v>3.1883692787696085</v>
      </c>
      <c r="AI82" s="360">
        <f t="shared" si="101"/>
        <v>2.5414246644504583E-2</v>
      </c>
      <c r="AJ82" s="360">
        <f t="shared" si="102"/>
        <v>0.15023399999999998</v>
      </c>
      <c r="AK82" s="360">
        <f t="shared" si="103"/>
        <v>0.17632940103557113</v>
      </c>
      <c r="AL82" s="360">
        <f t="shared" si="104"/>
        <v>0.15023399999999998</v>
      </c>
      <c r="AM82" s="360">
        <f t="shared" si="105"/>
        <v>1.9315799999999999</v>
      </c>
      <c r="AN82" s="360">
        <f t="shared" si="106"/>
        <v>0.13379987789807868</v>
      </c>
      <c r="AO82" s="360">
        <f t="shared" si="107"/>
        <v>7.3499999999999998E-4</v>
      </c>
      <c r="AP82" s="360">
        <f t="shared" si="108"/>
        <v>0.34650000000000003</v>
      </c>
      <c r="AQ82" s="360">
        <f t="shared" si="109"/>
        <v>1.3167</v>
      </c>
      <c r="AR82" s="360">
        <f t="shared" si="110"/>
        <v>1.1088</v>
      </c>
      <c r="AS82" s="360">
        <f t="shared" si="133"/>
        <v>0.34723500000000002</v>
      </c>
      <c r="AT82" s="360">
        <f t="shared" si="111"/>
        <v>4.0038486846574903</v>
      </c>
      <c r="AU82">
        <f t="shared" si="112"/>
        <v>18.25</v>
      </c>
      <c r="AV82" s="542">
        <f t="shared" si="127"/>
        <v>0.8200828656025746</v>
      </c>
      <c r="AW82" s="551">
        <f t="shared" si="113"/>
        <v>110.92164256313998</v>
      </c>
      <c r="AX82" s="551">
        <f t="shared" si="114"/>
        <v>30.922530439351704</v>
      </c>
      <c r="AY82" s="9"/>
      <c r="AZ82" s="4">
        <f t="shared" si="128"/>
        <v>82.00828656025746</v>
      </c>
      <c r="BA82" s="360">
        <f t="shared" si="115"/>
        <v>0.31852326195065295</v>
      </c>
      <c r="BB82" s="360">
        <f t="shared" si="129"/>
        <v>3.0514994522983705</v>
      </c>
      <c r="BC82" s="360">
        <f t="shared" si="130"/>
        <v>2.2184328512627998</v>
      </c>
      <c r="BD82" s="360">
        <f t="shared" si="131"/>
        <v>0.81375080103557118</v>
      </c>
      <c r="BE82" s="360">
        <f t="shared" si="132"/>
        <v>0.13379987789807868</v>
      </c>
      <c r="BK82" s="18"/>
      <c r="BL82" s="19"/>
    </row>
    <row r="83" spans="1:64" x14ac:dyDescent="0.2">
      <c r="A83" s="2"/>
      <c r="G83">
        <v>74</v>
      </c>
      <c r="H83" s="548">
        <f t="shared" si="85"/>
        <v>21</v>
      </c>
      <c r="I83" s="4">
        <f t="shared" si="86"/>
        <v>1</v>
      </c>
      <c r="J83" s="360">
        <f t="shared" si="116"/>
        <v>3.7</v>
      </c>
      <c r="K83" s="360">
        <f t="shared" si="87"/>
        <v>3.7</v>
      </c>
      <c r="L83" s="4">
        <f t="shared" si="88"/>
        <v>0.97883597883597873</v>
      </c>
      <c r="M83" s="360">
        <f t="shared" si="89"/>
        <v>0.24026032091818655</v>
      </c>
      <c r="N83" s="4">
        <f t="shared" si="90"/>
        <v>0.83065611585792531</v>
      </c>
      <c r="O83" s="4">
        <f t="shared" si="117"/>
        <v>4.1153280579289628</v>
      </c>
      <c r="P83" s="4">
        <f t="shared" si="118"/>
        <v>3.2846719420710375</v>
      </c>
      <c r="Q83" s="4">
        <f t="shared" si="91"/>
        <v>0</v>
      </c>
      <c r="R83" s="4">
        <f t="shared" si="119"/>
        <v>3.7077620112273948</v>
      </c>
      <c r="S83" s="360">
        <f t="shared" si="92"/>
        <v>1.8559123828066373E-2</v>
      </c>
      <c r="T83" s="360">
        <f t="shared" si="93"/>
        <v>0.3</v>
      </c>
      <c r="U83" s="360">
        <f t="shared" si="94"/>
        <v>0.3190328013693326</v>
      </c>
      <c r="V83" s="4">
        <f t="shared" si="120"/>
        <v>0.23978976604729108</v>
      </c>
      <c r="W83" s="360">
        <f t="shared" si="121"/>
        <v>1.1499826380202917E-4</v>
      </c>
      <c r="X83" s="360">
        <f t="shared" si="122"/>
        <v>1.1499826380202917E-4</v>
      </c>
      <c r="Y83" s="4">
        <f t="shared" si="123"/>
        <v>1.5841098024008844</v>
      </c>
      <c r="Z83" s="360">
        <f t="shared" si="124"/>
        <v>2.5094038660625692E-3</v>
      </c>
      <c r="AA83" s="541">
        <f t="shared" si="125"/>
        <v>2.5094038660625692E-3</v>
      </c>
      <c r="AB83" s="360">
        <f t="shared" si="126"/>
        <v>1.8174098473522775</v>
      </c>
      <c r="AC83" s="360">
        <f t="shared" si="95"/>
        <v>1.9817871319518173E-2</v>
      </c>
      <c r="AD83" s="360">
        <f t="shared" si="96"/>
        <v>0.29014092427557325</v>
      </c>
      <c r="AE83" s="360">
        <f t="shared" si="97"/>
        <v>0.63444464999999983</v>
      </c>
      <c r="AF83" s="360">
        <f t="shared" si="98"/>
        <v>0</v>
      </c>
      <c r="AG83" s="360">
        <f t="shared" si="99"/>
        <v>0.94816155432985594</v>
      </c>
      <c r="AH83" s="360">
        <f t="shared" si="100"/>
        <v>3.2317983505546857</v>
      </c>
      <c r="AI83" s="360">
        <f t="shared" si="101"/>
        <v>2.6111301446619967E-2</v>
      </c>
      <c r="AJ83" s="360">
        <f t="shared" si="102"/>
        <v>0.15229199999999998</v>
      </c>
      <c r="AK83" s="360">
        <f t="shared" si="103"/>
        <v>0.17911419095087941</v>
      </c>
      <c r="AL83" s="360">
        <f t="shared" si="104"/>
        <v>0.15229199999999998</v>
      </c>
      <c r="AM83" s="360">
        <f t="shared" si="105"/>
        <v>1.95804</v>
      </c>
      <c r="AN83" s="360">
        <f t="shared" si="106"/>
        <v>0.13747499131901017</v>
      </c>
      <c r="AO83" s="360">
        <f t="shared" si="107"/>
        <v>7.3499999999999998E-4</v>
      </c>
      <c r="AP83" s="360">
        <f t="shared" si="108"/>
        <v>0.34650000000000003</v>
      </c>
      <c r="AQ83" s="360">
        <f t="shared" si="109"/>
        <v>1.3167</v>
      </c>
      <c r="AR83" s="360">
        <f t="shared" si="110"/>
        <v>1.1088</v>
      </c>
      <c r="AS83" s="360">
        <f t="shared" si="133"/>
        <v>0.34723500000000002</v>
      </c>
      <c r="AT83" s="360">
        <f t="shared" si="111"/>
        <v>4.0439749400989431</v>
      </c>
      <c r="AU83">
        <f t="shared" si="112"/>
        <v>18.5</v>
      </c>
      <c r="AV83" s="542">
        <f t="shared" si="127"/>
        <v>0.82061837138995719</v>
      </c>
      <c r="AW83" s="551">
        <f t="shared" si="113"/>
        <v>112.02339771649279</v>
      </c>
      <c r="AX83" s="551">
        <f t="shared" si="114"/>
        <v>31.360160856133419</v>
      </c>
      <c r="AY83" s="9"/>
      <c r="AZ83" s="4">
        <f t="shared" si="128"/>
        <v>82.061837138995713</v>
      </c>
      <c r="BA83" s="360">
        <f t="shared" si="115"/>
        <v>0.3190328013693326</v>
      </c>
      <c r="BB83" s="360">
        <f t="shared" si="129"/>
        <v>3.0853157452807354</v>
      </c>
      <c r="BC83" s="360">
        <f t="shared" si="130"/>
        <v>2.2404679543298558</v>
      </c>
      <c r="BD83" s="360">
        <f t="shared" si="131"/>
        <v>0.82526739095087942</v>
      </c>
      <c r="BE83" s="360">
        <f t="shared" si="132"/>
        <v>0.13747499131901017</v>
      </c>
      <c r="BK83" s="18"/>
      <c r="BL83" s="19"/>
    </row>
    <row r="84" spans="1:64" x14ac:dyDescent="0.2">
      <c r="G84">
        <v>75</v>
      </c>
      <c r="H84" s="548">
        <f t="shared" si="85"/>
        <v>21</v>
      </c>
      <c r="I84" s="4">
        <f t="shared" si="86"/>
        <v>1</v>
      </c>
      <c r="J84" s="360">
        <f t="shared" si="116"/>
        <v>3.75</v>
      </c>
      <c r="K84" s="360">
        <f t="shared" si="87"/>
        <v>3.75</v>
      </c>
      <c r="L84" s="4">
        <f t="shared" si="88"/>
        <v>0.99206349206349198</v>
      </c>
      <c r="M84" s="360">
        <f t="shared" si="89"/>
        <v>0.24028954487350992</v>
      </c>
      <c r="N84" s="4">
        <f t="shared" si="90"/>
        <v>0.83073803839731242</v>
      </c>
      <c r="O84" s="4">
        <f t="shared" si="117"/>
        <v>4.1653690191986561</v>
      </c>
      <c r="P84" s="4">
        <f t="shared" si="118"/>
        <v>3.3346309808013439</v>
      </c>
      <c r="Q84" s="4">
        <f t="shared" si="91"/>
        <v>0</v>
      </c>
      <c r="R84" s="4">
        <f t="shared" si="119"/>
        <v>3.7576602393027345</v>
      </c>
      <c r="S84" s="360">
        <f t="shared" si="92"/>
        <v>1.9062014139949526E-2</v>
      </c>
      <c r="T84" s="360">
        <f t="shared" si="93"/>
        <v>0.3</v>
      </c>
      <c r="U84" s="360">
        <f t="shared" si="94"/>
        <v>0.31954931442394635</v>
      </c>
      <c r="V84" s="4">
        <f t="shared" si="120"/>
        <v>0.23981341504737499</v>
      </c>
      <c r="W84" s="360">
        <f t="shared" si="121"/>
        <v>1.1502094807336909E-4</v>
      </c>
      <c r="X84" s="360">
        <f t="shared" si="122"/>
        <v>1.1502094807336909E-4</v>
      </c>
      <c r="Y84" s="4">
        <f t="shared" si="123"/>
        <v>1.6054951518307545</v>
      </c>
      <c r="Z84" s="360">
        <f t="shared" si="124"/>
        <v>2.5776146825520576E-3</v>
      </c>
      <c r="AA84" s="541">
        <f t="shared" si="125"/>
        <v>2.5776146825520576E-3</v>
      </c>
      <c r="AB84" s="360">
        <f t="shared" si="126"/>
        <v>1.8419801547289991</v>
      </c>
      <c r="AC84" s="360">
        <f t="shared" si="95"/>
        <v>2.0357345342492807E-2</v>
      </c>
      <c r="AD84" s="360">
        <f t="shared" si="96"/>
        <v>0.29406174757659453</v>
      </c>
      <c r="AE84" s="360">
        <f t="shared" si="97"/>
        <v>0.63444464999999983</v>
      </c>
      <c r="AF84" s="360">
        <f t="shared" si="98"/>
        <v>0</v>
      </c>
      <c r="AG84" s="360">
        <f t="shared" si="99"/>
        <v>0.95274280578306747</v>
      </c>
      <c r="AH84" s="360">
        <f t="shared" si="100"/>
        <v>3.2752281727570089</v>
      </c>
      <c r="AI84" s="360">
        <f t="shared" si="101"/>
        <v>2.6817798959053039E-2</v>
      </c>
      <c r="AJ84" s="360">
        <f t="shared" si="102"/>
        <v>0.15434999999999999</v>
      </c>
      <c r="AK84" s="360">
        <f t="shared" si="103"/>
        <v>0.18190931689743178</v>
      </c>
      <c r="AL84" s="360">
        <f t="shared" si="104"/>
        <v>0.15434999999999999</v>
      </c>
      <c r="AM84" s="360">
        <f t="shared" si="105"/>
        <v>1.9844999999999999</v>
      </c>
      <c r="AN84" s="360">
        <f t="shared" si="106"/>
        <v>0.14120010474036684</v>
      </c>
      <c r="AO84" s="360">
        <f t="shared" si="107"/>
        <v>7.3499999999999998E-4</v>
      </c>
      <c r="AP84" s="360">
        <f t="shared" si="108"/>
        <v>0.34650000000000003</v>
      </c>
      <c r="AQ84" s="360">
        <f t="shared" si="109"/>
        <v>1.3167</v>
      </c>
      <c r="AR84" s="360">
        <f t="shared" si="110"/>
        <v>1.1088</v>
      </c>
      <c r="AS84" s="360">
        <f t="shared" si="133"/>
        <v>0.34723500000000002</v>
      </c>
      <c r="AT84" s="360">
        <f t="shared" si="111"/>
        <v>4.0841791774754377</v>
      </c>
      <c r="AU84">
        <f t="shared" si="112"/>
        <v>18.75</v>
      </c>
      <c r="AV84" s="542">
        <f t="shared" si="127"/>
        <v>0.82113746477454996</v>
      </c>
      <c r="AW84" s="551">
        <f t="shared" si="113"/>
        <v>113.12564028915337</v>
      </c>
      <c r="AX84" s="551">
        <f t="shared" si="114"/>
        <v>31.798184042102413</v>
      </c>
      <c r="AY84" s="9"/>
      <c r="AZ84" s="4">
        <f t="shared" si="128"/>
        <v>82.113746477454995</v>
      </c>
      <c r="BA84" s="360">
        <f t="shared" si="115"/>
        <v>0.31954931442394635</v>
      </c>
      <c r="BB84" s="360">
        <f t="shared" si="129"/>
        <v>3.1191521226804992</v>
      </c>
      <c r="BC84" s="360">
        <f t="shared" si="130"/>
        <v>2.2625128057830675</v>
      </c>
      <c r="BD84" s="360">
        <f t="shared" si="131"/>
        <v>0.83679431689743189</v>
      </c>
      <c r="BE84" s="360">
        <f t="shared" si="132"/>
        <v>0.14120010474036684</v>
      </c>
      <c r="BK84" s="18"/>
      <c r="BL84" s="19"/>
    </row>
    <row r="85" spans="1:64" x14ac:dyDescent="0.2">
      <c r="G85">
        <v>76</v>
      </c>
      <c r="H85" s="548">
        <f t="shared" si="85"/>
        <v>21</v>
      </c>
      <c r="I85" s="4">
        <f t="shared" si="86"/>
        <v>1</v>
      </c>
      <c r="J85" s="360">
        <f t="shared" si="116"/>
        <v>3.8</v>
      </c>
      <c r="K85" s="360">
        <f t="shared" si="87"/>
        <v>3.8</v>
      </c>
      <c r="L85" s="4">
        <f t="shared" si="88"/>
        <v>1.0052910052910051</v>
      </c>
      <c r="M85" s="360">
        <f t="shared" si="89"/>
        <v>0.24031876792534496</v>
      </c>
      <c r="N85" s="4">
        <f t="shared" si="90"/>
        <v>0.83081995316393165</v>
      </c>
      <c r="O85" s="4">
        <f t="shared" si="117"/>
        <v>4.2154099765819657</v>
      </c>
      <c r="P85" s="4">
        <f t="shared" si="118"/>
        <v>3.3845900234180339</v>
      </c>
      <c r="Q85" s="4">
        <f t="shared" si="91"/>
        <v>0</v>
      </c>
      <c r="R85" s="4">
        <f t="shared" si="119"/>
        <v>3.8075611375544072</v>
      </c>
      <c r="S85" s="360">
        <f t="shared" si="92"/>
        <v>1.9571654451889728E-2</v>
      </c>
      <c r="T85" s="360">
        <f t="shared" si="93"/>
        <v>0.3</v>
      </c>
      <c r="U85" s="360">
        <f t="shared" si="94"/>
        <v>0.32007280279555073</v>
      </c>
      <c r="V85" s="4">
        <f t="shared" si="120"/>
        <v>0.23983706180365411</v>
      </c>
      <c r="W85" s="360">
        <f t="shared" si="121"/>
        <v>1.1504363242921961E-4</v>
      </c>
      <c r="X85" s="360">
        <f t="shared" si="122"/>
        <v>1.1504363242921961E-4</v>
      </c>
      <c r="Y85" s="4">
        <f t="shared" si="123"/>
        <v>1.6268834025571843</v>
      </c>
      <c r="Z85" s="360">
        <f t="shared" si="124"/>
        <v>2.6467496055160417E-3</v>
      </c>
      <c r="AA85" s="541">
        <f t="shared" si="125"/>
        <v>2.6467496055160417E-3</v>
      </c>
      <c r="AB85" s="360">
        <f t="shared" si="126"/>
        <v>1.8665547355605472</v>
      </c>
      <c r="AC85" s="360">
        <f t="shared" si="95"/>
        <v>2.0904159485061025E-2</v>
      </c>
      <c r="AD85" s="360">
        <f t="shared" si="96"/>
        <v>0.29798257087761576</v>
      </c>
      <c r="AE85" s="360">
        <f t="shared" si="97"/>
        <v>0.63444464999999983</v>
      </c>
      <c r="AF85" s="360">
        <f t="shared" si="98"/>
        <v>0</v>
      </c>
      <c r="AG85" s="360">
        <f t="shared" si="99"/>
        <v>0.95733383218436197</v>
      </c>
      <c r="AH85" s="360">
        <f t="shared" si="100"/>
        <v>3.318658650022793</v>
      </c>
      <c r="AI85" s="360">
        <f t="shared" si="101"/>
        <v>2.7533738088427767E-2</v>
      </c>
      <c r="AJ85" s="360">
        <f t="shared" si="102"/>
        <v>0.15640799999999996</v>
      </c>
      <c r="AK85" s="360">
        <f t="shared" si="103"/>
        <v>0.18471479317635689</v>
      </c>
      <c r="AL85" s="360">
        <f t="shared" si="104"/>
        <v>0.15640799999999996</v>
      </c>
      <c r="AM85" s="360">
        <f t="shared" si="105"/>
        <v>2.0109599999999999</v>
      </c>
      <c r="AN85" s="360">
        <f t="shared" si="106"/>
        <v>0.14497521816214612</v>
      </c>
      <c r="AO85" s="360">
        <f t="shared" si="107"/>
        <v>7.3499999999999998E-4</v>
      </c>
      <c r="AP85" s="360">
        <f t="shared" si="108"/>
        <v>0.34650000000000003</v>
      </c>
      <c r="AQ85" s="360">
        <f t="shared" si="109"/>
        <v>1.3167</v>
      </c>
      <c r="AR85" s="360">
        <f t="shared" si="110"/>
        <v>1.1088</v>
      </c>
      <c r="AS85" s="360">
        <f t="shared" si="133"/>
        <v>0.34723500000000002</v>
      </c>
      <c r="AT85" s="360">
        <f t="shared" si="111"/>
        <v>4.1244614395563604</v>
      </c>
      <c r="AU85">
        <f t="shared" si="112"/>
        <v>19</v>
      </c>
      <c r="AV85" s="542">
        <f t="shared" si="127"/>
        <v>0.82164075689559124</v>
      </c>
      <c r="AW85" s="551">
        <f t="shared" si="113"/>
        <v>114.2283716092181</v>
      </c>
      <c r="AX85" s="551">
        <f t="shared" si="114"/>
        <v>32.236600540701559</v>
      </c>
      <c r="AY85" s="9"/>
      <c r="AZ85" s="4">
        <f t="shared" si="128"/>
        <v>82.164075689559127</v>
      </c>
      <c r="BA85" s="360">
        <f t="shared" si="115"/>
        <v>0.32007280279555073</v>
      </c>
      <c r="BB85" s="360">
        <f t="shared" si="129"/>
        <v>3.1530086253607186</v>
      </c>
      <c r="BC85" s="360">
        <f t="shared" si="130"/>
        <v>2.2845674321843621</v>
      </c>
      <c r="BD85" s="360">
        <f t="shared" si="131"/>
        <v>0.84833159317635687</v>
      </c>
      <c r="BE85" s="360">
        <f t="shared" si="132"/>
        <v>0.14497521816214612</v>
      </c>
      <c r="BK85" s="18"/>
      <c r="BL85" s="19"/>
    </row>
    <row r="86" spans="1:64" x14ac:dyDescent="0.2">
      <c r="G86">
        <v>77</v>
      </c>
      <c r="H86" s="548">
        <f t="shared" si="85"/>
        <v>21</v>
      </c>
      <c r="I86" s="4">
        <f t="shared" si="86"/>
        <v>1</v>
      </c>
      <c r="J86" s="360">
        <f t="shared" si="116"/>
        <v>3.85</v>
      </c>
      <c r="K86" s="360">
        <f t="shared" si="87"/>
        <v>3.85</v>
      </c>
      <c r="L86" s="4">
        <f t="shared" si="88"/>
        <v>1.0185185185185184</v>
      </c>
      <c r="M86" s="360">
        <f t="shared" si="89"/>
        <v>0.24034799007373359</v>
      </c>
      <c r="N86" s="4">
        <f t="shared" si="90"/>
        <v>0.83090186015814405</v>
      </c>
      <c r="O86" s="4">
        <f t="shared" si="117"/>
        <v>4.2654509300790719</v>
      </c>
      <c r="P86" s="4">
        <f t="shared" si="118"/>
        <v>3.4345490699209282</v>
      </c>
      <c r="Q86" s="4">
        <f t="shared" si="91"/>
        <v>0</v>
      </c>
      <c r="R86" s="4">
        <f t="shared" si="119"/>
        <v>3.857464602356647</v>
      </c>
      <c r="S86" s="360">
        <f t="shared" si="92"/>
        <v>2.008804476388661E-2</v>
      </c>
      <c r="T86" s="360">
        <f t="shared" si="93"/>
        <v>0.3</v>
      </c>
      <c r="U86" s="360">
        <f t="shared" si="94"/>
        <v>0.32060326818811147</v>
      </c>
      <c r="V86" s="4">
        <f t="shared" si="120"/>
        <v>0.23986070631623263</v>
      </c>
      <c r="W86" s="360">
        <f t="shared" si="121"/>
        <v>1.1506631686904401E-4</v>
      </c>
      <c r="X86" s="360">
        <f t="shared" si="122"/>
        <v>1.1506631686904401E-4</v>
      </c>
      <c r="Y86" s="4">
        <f t="shared" si="123"/>
        <v>1.6482745099540979</v>
      </c>
      <c r="Z86" s="360">
        <f t="shared" si="124"/>
        <v>2.7168088601644213E-3</v>
      </c>
      <c r="AA86" s="541">
        <f t="shared" si="125"/>
        <v>2.7168088601644213E-3</v>
      </c>
      <c r="AB86" s="360">
        <f t="shared" si="126"/>
        <v>1.8911335388756259</v>
      </c>
      <c r="AC86" s="360">
        <f t="shared" si="95"/>
        <v>2.1458316371161492E-2</v>
      </c>
      <c r="AD86" s="360">
        <f t="shared" si="96"/>
        <v>0.3019033941786371</v>
      </c>
      <c r="AE86" s="360">
        <f t="shared" si="97"/>
        <v>0.63444464999999983</v>
      </c>
      <c r="AF86" s="360">
        <f t="shared" si="98"/>
        <v>0</v>
      </c>
      <c r="AG86" s="360">
        <f t="shared" si="99"/>
        <v>0.96193466020320362</v>
      </c>
      <c r="AH86" s="360">
        <f t="shared" si="100"/>
        <v>3.362089691928857</v>
      </c>
      <c r="AI86" s="360">
        <f t="shared" si="101"/>
        <v>2.8259117741435694E-2</v>
      </c>
      <c r="AJ86" s="360">
        <f t="shared" si="102"/>
        <v>0.158466</v>
      </c>
      <c r="AK86" s="360">
        <f t="shared" si="103"/>
        <v>0.18753063418270294</v>
      </c>
      <c r="AL86" s="360">
        <f t="shared" si="104"/>
        <v>0.158466</v>
      </c>
      <c r="AM86" s="360">
        <f t="shared" si="105"/>
        <v>2.03742</v>
      </c>
      <c r="AN86" s="360">
        <f t="shared" si="106"/>
        <v>0.14880033158434525</v>
      </c>
      <c r="AO86" s="360">
        <f t="shared" si="107"/>
        <v>7.3499999999999998E-4</v>
      </c>
      <c r="AP86" s="360">
        <f t="shared" si="108"/>
        <v>0.34650000000000003</v>
      </c>
      <c r="AQ86" s="360">
        <f t="shared" si="109"/>
        <v>1.3167</v>
      </c>
      <c r="AR86" s="360">
        <f t="shared" si="110"/>
        <v>1.1088</v>
      </c>
      <c r="AS86" s="360">
        <f t="shared" si="133"/>
        <v>0.34723500000000002</v>
      </c>
      <c r="AT86" s="360">
        <f t="shared" si="111"/>
        <v>4.1648217693353971</v>
      </c>
      <c r="AU86">
        <f t="shared" si="112"/>
        <v>19.25</v>
      </c>
      <c r="AV86" s="542">
        <f t="shared" si="127"/>
        <v>0.82212882889462158</v>
      </c>
      <c r="AW86" s="551">
        <f t="shared" si="113"/>
        <v>115.33159301016018</v>
      </c>
      <c r="AX86" s="551">
        <f t="shared" si="114"/>
        <v>32.675410898942715</v>
      </c>
      <c r="AY86" s="9"/>
      <c r="AZ86" s="4">
        <f t="shared" si="128"/>
        <v>82.212882889462151</v>
      </c>
      <c r="BA86" s="360">
        <f t="shared" si="115"/>
        <v>0.32060326818811147</v>
      </c>
      <c r="BB86" s="360">
        <f t="shared" si="129"/>
        <v>3.1868852943859065</v>
      </c>
      <c r="BC86" s="360">
        <f t="shared" si="130"/>
        <v>2.3066318602032037</v>
      </c>
      <c r="BD86" s="360">
        <f t="shared" si="131"/>
        <v>0.85987923418270307</v>
      </c>
      <c r="BE86" s="360">
        <f t="shared" si="132"/>
        <v>0.14880033158434525</v>
      </c>
      <c r="BK86" s="18"/>
      <c r="BL86" s="19"/>
    </row>
    <row r="87" spans="1:64" x14ac:dyDescent="0.2">
      <c r="G87">
        <v>78</v>
      </c>
      <c r="H87" s="548">
        <f t="shared" si="85"/>
        <v>21</v>
      </c>
      <c r="I87" s="4">
        <f t="shared" si="86"/>
        <v>1</v>
      </c>
      <c r="J87" s="360">
        <f t="shared" si="116"/>
        <v>3.9</v>
      </c>
      <c r="K87" s="360">
        <f t="shared" si="87"/>
        <v>3.9</v>
      </c>
      <c r="L87" s="4">
        <f t="shared" si="88"/>
        <v>1.0317460317460316</v>
      </c>
      <c r="M87" s="360">
        <f t="shared" si="89"/>
        <v>0.24037721131871764</v>
      </c>
      <c r="N87" s="4">
        <f t="shared" si="90"/>
        <v>0.83098375938030977</v>
      </c>
      <c r="O87" s="4">
        <f t="shared" si="117"/>
        <v>4.3154918796901551</v>
      </c>
      <c r="P87" s="4">
        <f t="shared" si="118"/>
        <v>3.4845081203098451</v>
      </c>
      <c r="Q87" s="4">
        <f t="shared" si="91"/>
        <v>0</v>
      </c>
      <c r="R87" s="4">
        <f t="shared" si="119"/>
        <v>3.9073705353723689</v>
      </c>
      <c r="S87" s="360">
        <f t="shared" si="92"/>
        <v>2.0611185075939807E-2</v>
      </c>
      <c r="T87" s="360">
        <f t="shared" si="93"/>
        <v>0.3</v>
      </c>
      <c r="U87" s="360">
        <f t="shared" si="94"/>
        <v>0.32114071232851754</v>
      </c>
      <c r="V87" s="4">
        <f t="shared" si="120"/>
        <v>0.23988434858521454</v>
      </c>
      <c r="W87" s="360">
        <f t="shared" si="121"/>
        <v>1.1508900139230546E-4</v>
      </c>
      <c r="X87" s="360">
        <f t="shared" si="122"/>
        <v>1.1508900139230546E-4</v>
      </c>
      <c r="Y87" s="4">
        <f t="shared" si="123"/>
        <v>1.6696684316480497</v>
      </c>
      <c r="Z87" s="360">
        <f t="shared" si="124"/>
        <v>2.7877926716420583E-3</v>
      </c>
      <c r="AA87" s="541">
        <f t="shared" si="125"/>
        <v>2.7877926716420583E-3</v>
      </c>
      <c r="AB87" s="360">
        <f t="shared" si="126"/>
        <v>1.9157165162835978</v>
      </c>
      <c r="AC87" s="360">
        <f t="shared" si="95"/>
        <v>2.2019818624570586E-2</v>
      </c>
      <c r="AD87" s="360">
        <f t="shared" si="96"/>
        <v>0.30582421747965827</v>
      </c>
      <c r="AE87" s="360">
        <f t="shared" si="97"/>
        <v>0.63444464999999983</v>
      </c>
      <c r="AF87" s="360">
        <f t="shared" si="98"/>
        <v>0</v>
      </c>
      <c r="AG87" s="360">
        <f t="shared" si="99"/>
        <v>0.96654531661709597</v>
      </c>
      <c r="AH87" s="360">
        <f t="shared" si="100"/>
        <v>3.4055212126683907</v>
      </c>
      <c r="AI87" s="360">
        <f t="shared" si="101"/>
        <v>2.8993936824835968E-2</v>
      </c>
      <c r="AJ87" s="360">
        <f t="shared" si="102"/>
        <v>0.16052399999999997</v>
      </c>
      <c r="AK87" s="360">
        <f t="shared" si="103"/>
        <v>0.19035685440567948</v>
      </c>
      <c r="AL87" s="360">
        <f t="shared" si="104"/>
        <v>0.16052399999999997</v>
      </c>
      <c r="AM87" s="360">
        <f t="shared" si="105"/>
        <v>2.0638799999999997</v>
      </c>
      <c r="AN87" s="360">
        <f t="shared" si="106"/>
        <v>0.15267544500696154</v>
      </c>
      <c r="AO87" s="360">
        <f t="shared" si="107"/>
        <v>7.3499999999999998E-4</v>
      </c>
      <c r="AP87" s="360">
        <f t="shared" si="108"/>
        <v>0.34650000000000003</v>
      </c>
      <c r="AQ87" s="360">
        <f t="shared" si="109"/>
        <v>1.3167</v>
      </c>
      <c r="AR87" s="360">
        <f t="shared" si="110"/>
        <v>1.1088</v>
      </c>
      <c r="AS87" s="360">
        <f t="shared" si="133"/>
        <v>0.34723500000000002</v>
      </c>
      <c r="AT87" s="360">
        <f t="shared" si="111"/>
        <v>4.2052602100312884</v>
      </c>
      <c r="AU87">
        <f t="shared" si="112"/>
        <v>19.5</v>
      </c>
      <c r="AV87" s="542">
        <f t="shared" si="127"/>
        <v>0.82260223373326402</v>
      </c>
      <c r="AW87" s="551">
        <f t="shared" si="113"/>
        <v>116.4353058308548</v>
      </c>
      <c r="AX87" s="551">
        <f t="shared" si="114"/>
        <v>33.114615667415819</v>
      </c>
      <c r="AY87" s="9"/>
      <c r="AZ87" s="4">
        <f t="shared" si="128"/>
        <v>82.260223373326397</v>
      </c>
      <c r="BA87" s="360">
        <f t="shared" si="115"/>
        <v>0.32114071232851754</v>
      </c>
      <c r="BB87" s="360">
        <f t="shared" si="129"/>
        <v>3.2207821710227753</v>
      </c>
      <c r="BC87" s="360">
        <f t="shared" si="130"/>
        <v>2.3287061166170959</v>
      </c>
      <c r="BD87" s="360">
        <f t="shared" si="131"/>
        <v>0.87143725440567943</v>
      </c>
      <c r="BE87" s="360">
        <f t="shared" si="132"/>
        <v>0.15267544500696154</v>
      </c>
      <c r="BK87" s="18"/>
      <c r="BL87" s="19"/>
    </row>
    <row r="88" spans="1:64" x14ac:dyDescent="0.2">
      <c r="G88">
        <v>79</v>
      </c>
      <c r="H88" s="548">
        <f t="shared" si="85"/>
        <v>21</v>
      </c>
      <c r="I88" s="4">
        <f t="shared" si="86"/>
        <v>1</v>
      </c>
      <c r="J88" s="360">
        <f t="shared" si="116"/>
        <v>3.95</v>
      </c>
      <c r="K88" s="360">
        <f t="shared" si="87"/>
        <v>3.95</v>
      </c>
      <c r="L88" s="4">
        <f t="shared" si="88"/>
        <v>1.0449735449735449</v>
      </c>
      <c r="M88" s="360">
        <f t="shared" si="89"/>
        <v>0.24040643166033909</v>
      </c>
      <c r="N88" s="4">
        <f t="shared" si="90"/>
        <v>0.83106565083078932</v>
      </c>
      <c r="O88" s="4">
        <f t="shared" si="117"/>
        <v>4.3655328254153947</v>
      </c>
      <c r="P88" s="4">
        <f t="shared" si="118"/>
        <v>3.5344671745846057</v>
      </c>
      <c r="Q88" s="4">
        <f t="shared" si="91"/>
        <v>0</v>
      </c>
      <c r="R88" s="4">
        <f t="shared" si="119"/>
        <v>3.9572788432203301</v>
      </c>
      <c r="S88" s="360">
        <f t="shared" si="92"/>
        <v>2.1141075388048967E-2</v>
      </c>
      <c r="T88" s="360">
        <f t="shared" si="93"/>
        <v>0.3</v>
      </c>
      <c r="U88" s="360">
        <f t="shared" si="94"/>
        <v>0.32168513696659506</v>
      </c>
      <c r="V88" s="4">
        <f t="shared" si="120"/>
        <v>0.23990798861070389</v>
      </c>
      <c r="W88" s="360">
        <f t="shared" si="121"/>
        <v>1.1511168599846726E-4</v>
      </c>
      <c r="X88" s="360">
        <f t="shared" si="122"/>
        <v>1.1511168599846726E-4</v>
      </c>
      <c r="Y88" s="4">
        <f t="shared" si="123"/>
        <v>1.6910651273764656</v>
      </c>
      <c r="Z88" s="360">
        <f t="shared" si="124"/>
        <v>2.859701265028782E-3</v>
      </c>
      <c r="AA88" s="541">
        <f t="shared" si="125"/>
        <v>2.859701265028782E-3</v>
      </c>
      <c r="AB88" s="360">
        <f t="shared" si="126"/>
        <v>1.9403036218120837</v>
      </c>
      <c r="AC88" s="360">
        <f t="shared" si="95"/>
        <v>2.2588668868902539E-2</v>
      </c>
      <c r="AD88" s="360">
        <f t="shared" si="96"/>
        <v>0.30974504078067955</v>
      </c>
      <c r="AE88" s="360">
        <f t="shared" si="97"/>
        <v>0.63444464999999983</v>
      </c>
      <c r="AF88" s="360">
        <f t="shared" si="98"/>
        <v>0</v>
      </c>
      <c r="AG88" s="360">
        <f t="shared" si="99"/>
        <v>0.97116582831208897</v>
      </c>
      <c r="AH88" s="360">
        <f t="shared" si="100"/>
        <v>3.448953130760426</v>
      </c>
      <c r="AI88" s="360">
        <f t="shared" si="101"/>
        <v>2.973819424545536E-2</v>
      </c>
      <c r="AJ88" s="360">
        <f t="shared" si="102"/>
        <v>0.16258199999999998</v>
      </c>
      <c r="AK88" s="360">
        <f t="shared" si="103"/>
        <v>0.19319346842890128</v>
      </c>
      <c r="AL88" s="360">
        <f t="shared" si="104"/>
        <v>0.16258199999999998</v>
      </c>
      <c r="AM88" s="360">
        <f t="shared" si="105"/>
        <v>2.0903399999999999</v>
      </c>
      <c r="AN88" s="360">
        <f t="shared" si="106"/>
        <v>0.15660055842999232</v>
      </c>
      <c r="AO88" s="360">
        <f t="shared" si="107"/>
        <v>7.3499999999999998E-4</v>
      </c>
      <c r="AP88" s="360">
        <f t="shared" si="108"/>
        <v>0.34650000000000003</v>
      </c>
      <c r="AQ88" s="360">
        <f t="shared" si="109"/>
        <v>1.3167</v>
      </c>
      <c r="AR88" s="360">
        <f t="shared" si="110"/>
        <v>1.1088</v>
      </c>
      <c r="AS88" s="360">
        <f t="shared" si="133"/>
        <v>0.34723500000000002</v>
      </c>
      <c r="AT88" s="360">
        <f t="shared" si="111"/>
        <v>4.2457768050886049</v>
      </c>
      <c r="AU88">
        <f t="shared" si="112"/>
        <v>19.75</v>
      </c>
      <c r="AV88" s="542">
        <f t="shared" si="127"/>
        <v>0.82306149788040062</v>
      </c>
      <c r="AW88" s="551">
        <f t="shared" si="113"/>
        <v>117.53951141560447</v>
      </c>
      <c r="AX88" s="551">
        <f t="shared" si="114"/>
        <v>33.554215400298247</v>
      </c>
      <c r="AY88" s="9"/>
      <c r="AZ88" s="4">
        <f t="shared" si="128"/>
        <v>82.306149788040059</v>
      </c>
      <c r="BA88" s="360">
        <f t="shared" si="115"/>
        <v>0.32168513696659506</v>
      </c>
      <c r="BB88" s="360">
        <f t="shared" si="129"/>
        <v>3.25469929674099</v>
      </c>
      <c r="BC88" s="360">
        <f t="shared" si="130"/>
        <v>2.3507902283120892</v>
      </c>
      <c r="BD88" s="360">
        <f t="shared" si="131"/>
        <v>0.88300566842890127</v>
      </c>
      <c r="BE88" s="360">
        <f t="shared" si="132"/>
        <v>0.15660055842999232</v>
      </c>
      <c r="BK88" s="18"/>
      <c r="BL88" s="19"/>
    </row>
    <row r="89" spans="1:64" x14ac:dyDescent="0.2">
      <c r="G89">
        <v>80</v>
      </c>
      <c r="H89" s="548">
        <f t="shared" si="85"/>
        <v>21</v>
      </c>
      <c r="I89" s="4">
        <f t="shared" si="86"/>
        <v>1</v>
      </c>
      <c r="J89" s="360">
        <f t="shared" si="116"/>
        <v>4</v>
      </c>
      <c r="K89" s="360">
        <f t="shared" si="87"/>
        <v>4</v>
      </c>
      <c r="L89" s="4">
        <f t="shared" si="88"/>
        <v>1.0582010582010581</v>
      </c>
      <c r="M89" s="360">
        <f t="shared" si="89"/>
        <v>0.24043565109863976</v>
      </c>
      <c r="N89" s="4">
        <f t="shared" si="90"/>
        <v>0.83114753450994294</v>
      </c>
      <c r="O89" s="4">
        <f t="shared" si="117"/>
        <v>4.4155737672549717</v>
      </c>
      <c r="P89" s="4">
        <f t="shared" si="118"/>
        <v>3.5844262327450287</v>
      </c>
      <c r="Q89" s="4">
        <f t="shared" si="91"/>
        <v>0</v>
      </c>
      <c r="R89" s="4">
        <f t="shared" si="119"/>
        <v>4.0071894371670895</v>
      </c>
      <c r="S89" s="360">
        <f t="shared" si="92"/>
        <v>2.1677715700213717E-2</v>
      </c>
      <c r="T89" s="360">
        <f t="shared" si="93"/>
        <v>0.3</v>
      </c>
      <c r="U89" s="360">
        <f t="shared" si="94"/>
        <v>0.32223654387512124</v>
      </c>
      <c r="V89" s="4">
        <f t="shared" si="120"/>
        <v>0.23993162639280469</v>
      </c>
      <c r="W89" s="360">
        <f t="shared" si="121"/>
        <v>1.1513437068699283E-4</v>
      </c>
      <c r="X89" s="360">
        <f t="shared" si="122"/>
        <v>1.1513437068699283E-4</v>
      </c>
      <c r="Y89" s="4">
        <f t="shared" si="123"/>
        <v>1.7124645588564447</v>
      </c>
      <c r="Z89" s="360">
        <f t="shared" si="124"/>
        <v>2.9325348653393975E-3</v>
      </c>
      <c r="AA89" s="541">
        <f t="shared" si="125"/>
        <v>2.9325348653393975E-3</v>
      </c>
      <c r="AB89" s="360">
        <f t="shared" si="126"/>
        <v>1.9648948117566536</v>
      </c>
      <c r="AC89" s="360">
        <f t="shared" si="95"/>
        <v>2.316486972760929E-2</v>
      </c>
      <c r="AD89" s="360">
        <f t="shared" si="96"/>
        <v>0.31366586408170083</v>
      </c>
      <c r="AE89" s="360">
        <f t="shared" si="97"/>
        <v>0.63444464999999983</v>
      </c>
      <c r="AF89" s="360">
        <f t="shared" si="98"/>
        <v>0</v>
      </c>
      <c r="AG89" s="360">
        <f t="shared" si="99"/>
        <v>0.97579622228328711</v>
      </c>
      <c r="AH89" s="360">
        <f t="shared" si="100"/>
        <v>3.4923853687809538</v>
      </c>
      <c r="AI89" s="360">
        <f t="shared" si="101"/>
        <v>3.0491888910188197E-2</v>
      </c>
      <c r="AJ89" s="360">
        <f t="shared" si="102"/>
        <v>0.16463999999999998</v>
      </c>
      <c r="AK89" s="360">
        <f t="shared" si="103"/>
        <v>0.19604049093063425</v>
      </c>
      <c r="AL89" s="360">
        <f t="shared" si="104"/>
        <v>0.16463999999999998</v>
      </c>
      <c r="AM89" s="360">
        <f t="shared" si="105"/>
        <v>2.1167999999999996</v>
      </c>
      <c r="AN89" s="360">
        <f t="shared" si="106"/>
        <v>0.16057567185343494</v>
      </c>
      <c r="AO89" s="360">
        <f t="shared" si="107"/>
        <v>7.3499999999999998E-4</v>
      </c>
      <c r="AP89" s="360">
        <f t="shared" si="108"/>
        <v>0.34650000000000003</v>
      </c>
      <c r="AQ89" s="360">
        <f t="shared" si="109"/>
        <v>1.3167</v>
      </c>
      <c r="AR89" s="360">
        <f t="shared" si="110"/>
        <v>1.1088</v>
      </c>
      <c r="AS89" s="360">
        <f t="shared" si="133"/>
        <v>0.34723500000000002</v>
      </c>
      <c r="AT89" s="360">
        <f t="shared" si="111"/>
        <v>4.2863715981785031</v>
      </c>
      <c r="AU89">
        <f t="shared" si="112"/>
        <v>20</v>
      </c>
      <c r="AV89" s="542">
        <f t="shared" si="127"/>
        <v>0.82350712287956651</v>
      </c>
      <c r="AW89" s="551">
        <f t="shared" si="113"/>
        <v>118.64421111416435</v>
      </c>
      <c r="AX89" s="551">
        <f t="shared" si="114"/>
        <v>33.9942106553641</v>
      </c>
      <c r="AY89" s="9"/>
      <c r="AZ89" s="4">
        <f t="shared" si="128"/>
        <v>82.350712287956654</v>
      </c>
      <c r="BA89" s="360">
        <f t="shared" si="115"/>
        <v>0.32223654387512124</v>
      </c>
      <c r="BB89" s="360">
        <f t="shared" si="129"/>
        <v>3.2886367132139211</v>
      </c>
      <c r="BC89" s="360">
        <f t="shared" si="130"/>
        <v>2.3728842222832869</v>
      </c>
      <c r="BD89" s="360">
        <f t="shared" si="131"/>
        <v>0.89458449093063419</v>
      </c>
      <c r="BE89" s="360">
        <f t="shared" si="132"/>
        <v>0.16057567185343494</v>
      </c>
      <c r="BK89" s="18"/>
      <c r="BL89" s="19"/>
    </row>
    <row r="90" spans="1:64" x14ac:dyDescent="0.2">
      <c r="G90">
        <v>81</v>
      </c>
      <c r="H90" s="548">
        <f t="shared" si="85"/>
        <v>21</v>
      </c>
      <c r="I90" s="4">
        <f t="shared" si="86"/>
        <v>1</v>
      </c>
      <c r="J90" s="360">
        <f t="shared" si="116"/>
        <v>4.05</v>
      </c>
      <c r="K90" s="360">
        <f t="shared" si="87"/>
        <v>4.05</v>
      </c>
      <c r="L90" s="4">
        <f t="shared" si="88"/>
        <v>1.0714285714285714</v>
      </c>
      <c r="M90" s="360">
        <f t="shared" si="89"/>
        <v>0.24046486963366162</v>
      </c>
      <c r="N90" s="4">
        <f t="shared" si="90"/>
        <v>0.83122941041813125</v>
      </c>
      <c r="O90" s="4">
        <f t="shared" si="117"/>
        <v>4.4656147052090658</v>
      </c>
      <c r="P90" s="4">
        <f t="shared" si="118"/>
        <v>3.6343852947909343</v>
      </c>
      <c r="Q90" s="4">
        <f t="shared" si="91"/>
        <v>0</v>
      </c>
      <c r="R90" s="4">
        <f t="shared" si="119"/>
        <v>4.057102232841646</v>
      </c>
      <c r="S90" s="360">
        <f t="shared" si="92"/>
        <v>2.2221106012433704E-2</v>
      </c>
      <c r="T90" s="360">
        <f t="shared" si="93"/>
        <v>0.3</v>
      </c>
      <c r="U90" s="360">
        <f t="shared" si="94"/>
        <v>0.32279493484983968</v>
      </c>
      <c r="V90" s="4">
        <f t="shared" si="120"/>
        <v>0.23995526193162101</v>
      </c>
      <c r="W90" s="360">
        <f t="shared" si="121"/>
        <v>1.1515705545734569E-4</v>
      </c>
      <c r="X90" s="360">
        <f t="shared" si="122"/>
        <v>1.1515705545734569E-4</v>
      </c>
      <c r="Y90" s="4">
        <f t="shared" si="123"/>
        <v>1.7338666896632218</v>
      </c>
      <c r="Z90" s="360">
        <f t="shared" si="124"/>
        <v>3.0062936975236991E-3</v>
      </c>
      <c r="AA90" s="541">
        <f t="shared" si="125"/>
        <v>3.0062936975236991E-3</v>
      </c>
      <c r="AB90" s="360">
        <f t="shared" si="126"/>
        <v>1.9894900445415924</v>
      </c>
      <c r="AC90" s="360">
        <f t="shared" si="95"/>
        <v>2.3748423823980642E-2</v>
      </c>
      <c r="AD90" s="360">
        <f t="shared" si="96"/>
        <v>0.31758668738272205</v>
      </c>
      <c r="AE90" s="360">
        <f t="shared" si="97"/>
        <v>0.63444464999999983</v>
      </c>
      <c r="AF90" s="360">
        <f t="shared" si="98"/>
        <v>0</v>
      </c>
      <c r="AG90" s="360">
        <f t="shared" si="99"/>
        <v>0.98043652563536243</v>
      </c>
      <c r="AH90" s="360">
        <f t="shared" si="100"/>
        <v>3.5358178531138398</v>
      </c>
      <c r="AI90" s="360">
        <f t="shared" si="101"/>
        <v>3.1255019725996411E-2</v>
      </c>
      <c r="AJ90" s="360">
        <f t="shared" si="102"/>
        <v>0.16669799999999999</v>
      </c>
      <c r="AK90" s="360">
        <f t="shared" si="103"/>
        <v>0.19889793668404337</v>
      </c>
      <c r="AL90" s="360">
        <f t="shared" si="104"/>
        <v>0.16669799999999999</v>
      </c>
      <c r="AM90" s="360">
        <f t="shared" si="105"/>
        <v>2.1432600000000002</v>
      </c>
      <c r="AN90" s="360">
        <f t="shared" si="106"/>
        <v>0.16460078527728669</v>
      </c>
      <c r="AO90" s="360">
        <f t="shared" si="107"/>
        <v>7.3499999999999998E-4</v>
      </c>
      <c r="AP90" s="360">
        <f t="shared" si="108"/>
        <v>0.34650000000000003</v>
      </c>
      <c r="AQ90" s="360">
        <f t="shared" si="109"/>
        <v>1.3167</v>
      </c>
      <c r="AR90" s="360">
        <f t="shared" si="110"/>
        <v>1.1088</v>
      </c>
      <c r="AS90" s="360">
        <f t="shared" si="133"/>
        <v>0.34723500000000002</v>
      </c>
      <c r="AT90" s="360">
        <f t="shared" si="111"/>
        <v>4.327044633199514</v>
      </c>
      <c r="AU90">
        <f t="shared" si="112"/>
        <v>20.25</v>
      </c>
      <c r="AV90" s="542">
        <f t="shared" si="127"/>
        <v>0.82393958680636514</v>
      </c>
      <c r="AW90" s="551">
        <f t="shared" si="113"/>
        <v>119.74940628176813</v>
      </c>
      <c r="AX90" s="551">
        <f t="shared" si="114"/>
        <v>34.434601993993653</v>
      </c>
      <c r="AY90" s="9"/>
      <c r="AZ90" s="4">
        <f t="shared" si="128"/>
        <v>82.393958680636516</v>
      </c>
      <c r="BA90" s="360">
        <f t="shared" si="115"/>
        <v>0.32279493484983968</v>
      </c>
      <c r="BB90" s="360">
        <f t="shared" si="129"/>
        <v>3.3225944623194059</v>
      </c>
      <c r="BC90" s="360">
        <f t="shared" si="130"/>
        <v>2.3949881256353627</v>
      </c>
      <c r="BD90" s="360">
        <f t="shared" si="131"/>
        <v>0.90617373668404344</v>
      </c>
      <c r="BE90" s="360">
        <f t="shared" si="132"/>
        <v>0.16460078527728669</v>
      </c>
      <c r="BK90" s="18"/>
      <c r="BL90" s="19"/>
    </row>
    <row r="91" spans="1:64" x14ac:dyDescent="0.2">
      <c r="G91">
        <v>82</v>
      </c>
      <c r="H91" s="548">
        <f t="shared" si="85"/>
        <v>21</v>
      </c>
      <c r="I91" s="4">
        <f t="shared" si="86"/>
        <v>1</v>
      </c>
      <c r="J91" s="360">
        <f t="shared" si="116"/>
        <v>4.0999999999999996</v>
      </c>
      <c r="K91" s="360">
        <f t="shared" si="87"/>
        <v>4.0999999999999996</v>
      </c>
      <c r="L91" s="4">
        <f t="shared" si="88"/>
        <v>1.0846560846560844</v>
      </c>
      <c r="M91" s="360">
        <f t="shared" si="89"/>
        <v>0.24049408726544644</v>
      </c>
      <c r="N91" s="4">
        <f t="shared" si="90"/>
        <v>0.83131127855571396</v>
      </c>
      <c r="O91" s="4">
        <f t="shared" si="117"/>
        <v>4.5156556392778562</v>
      </c>
      <c r="P91" s="4">
        <f t="shared" si="118"/>
        <v>3.6843443607221427</v>
      </c>
      <c r="Q91" s="4">
        <f t="shared" si="91"/>
        <v>0</v>
      </c>
      <c r="R91" s="4">
        <f t="shared" si="119"/>
        <v>4.1070171499708268</v>
      </c>
      <c r="S91" s="360">
        <f t="shared" si="92"/>
        <v>2.2771246324708568E-2</v>
      </c>
      <c r="T91" s="360">
        <f t="shared" si="93"/>
        <v>0.3</v>
      </c>
      <c r="U91" s="360">
        <f t="shared" si="94"/>
        <v>0.32336031170947421</v>
      </c>
      <c r="V91" s="4">
        <f t="shared" si="120"/>
        <v>0.23997889522725674</v>
      </c>
      <c r="W91" s="360">
        <f t="shared" si="121"/>
        <v>1.1517974030898934E-4</v>
      </c>
      <c r="X91" s="360">
        <f t="shared" si="122"/>
        <v>1.1517974030898934E-4</v>
      </c>
      <c r="Y91" s="4">
        <f t="shared" si="123"/>
        <v>1.7552714851174662</v>
      </c>
      <c r="Z91" s="360">
        <f t="shared" si="124"/>
        <v>3.0809779864664757E-3</v>
      </c>
      <c r="AA91" s="541">
        <f t="shared" si="125"/>
        <v>3.0809779864664757E-3</v>
      </c>
      <c r="AB91" s="360">
        <f t="shared" si="126"/>
        <v>2.0140892805907824</v>
      </c>
      <c r="AC91" s="360">
        <f t="shared" si="95"/>
        <v>2.4339333781144175E-2</v>
      </c>
      <c r="AD91" s="360">
        <f t="shared" si="96"/>
        <v>0.32150751068374334</v>
      </c>
      <c r="AE91" s="360">
        <f t="shared" si="97"/>
        <v>0.63444464999999983</v>
      </c>
      <c r="AF91" s="360">
        <f t="shared" si="98"/>
        <v>0</v>
      </c>
      <c r="AG91" s="360">
        <f t="shared" si="99"/>
        <v>0.98508676558307007</v>
      </c>
      <c r="AH91" s="360">
        <f t="shared" si="100"/>
        <v>3.5792505137198485</v>
      </c>
      <c r="AI91" s="360">
        <f t="shared" si="101"/>
        <v>3.2027585599909501E-2</v>
      </c>
      <c r="AJ91" s="360">
        <f t="shared" si="102"/>
        <v>0.16875599999999996</v>
      </c>
      <c r="AK91" s="360">
        <f t="shared" si="103"/>
        <v>0.20176582055744346</v>
      </c>
      <c r="AL91" s="360">
        <f t="shared" si="104"/>
        <v>0.16875599999999996</v>
      </c>
      <c r="AM91" s="360">
        <f t="shared" si="105"/>
        <v>2.1697199999999994</v>
      </c>
      <c r="AN91" s="360">
        <f t="shared" si="106"/>
        <v>0.16867589870154492</v>
      </c>
      <c r="AO91" s="360">
        <f t="shared" si="107"/>
        <v>7.3499999999999998E-4</v>
      </c>
      <c r="AP91" s="360">
        <f t="shared" si="108"/>
        <v>0.34650000000000003</v>
      </c>
      <c r="AQ91" s="360">
        <f t="shared" si="109"/>
        <v>1.3167</v>
      </c>
      <c r="AR91" s="360">
        <f t="shared" si="110"/>
        <v>1.1088</v>
      </c>
      <c r="AS91" s="360">
        <f t="shared" si="133"/>
        <v>0.34723500000000002</v>
      </c>
      <c r="AT91" s="360">
        <f t="shared" si="111"/>
        <v>4.3677959542783071</v>
      </c>
      <c r="AU91">
        <f t="shared" si="112"/>
        <v>20.5</v>
      </c>
      <c r="AV91" s="542">
        <f t="shared" si="127"/>
        <v>0.82435934562480351</v>
      </c>
      <c r="AW91" s="551">
        <f t="shared" si="113"/>
        <v>120.85509827915348</v>
      </c>
      <c r="AX91" s="551">
        <f t="shared" si="114"/>
        <v>34.875389981182842</v>
      </c>
      <c r="AY91" s="9"/>
      <c r="AZ91" s="4">
        <f t="shared" si="128"/>
        <v>82.435934562480355</v>
      </c>
      <c r="BA91" s="360">
        <f t="shared" si="115"/>
        <v>0.32336031170947421</v>
      </c>
      <c r="BB91" s="360">
        <f t="shared" si="129"/>
        <v>3.3565725861405129</v>
      </c>
      <c r="BC91" s="360">
        <f t="shared" si="130"/>
        <v>2.4171019655830697</v>
      </c>
      <c r="BD91" s="360">
        <f t="shared" si="131"/>
        <v>0.91777342055744326</v>
      </c>
      <c r="BE91" s="360">
        <f t="shared" si="132"/>
        <v>0.16867589870154492</v>
      </c>
      <c r="BK91" s="18"/>
      <c r="BL91" s="19"/>
    </row>
    <row r="92" spans="1:64" x14ac:dyDescent="0.2">
      <c r="G92">
        <v>83</v>
      </c>
      <c r="H92" s="548">
        <f t="shared" si="85"/>
        <v>21</v>
      </c>
      <c r="I92" s="4">
        <f t="shared" si="86"/>
        <v>1</v>
      </c>
      <c r="J92" s="360">
        <f t="shared" si="116"/>
        <v>4.1500000000000004</v>
      </c>
      <c r="K92" s="360">
        <f t="shared" si="87"/>
        <v>4.1500000000000004</v>
      </c>
      <c r="L92" s="4">
        <f t="shared" si="88"/>
        <v>1.0978835978835977</v>
      </c>
      <c r="M92" s="360">
        <f t="shared" si="89"/>
        <v>0.24052330399403624</v>
      </c>
      <c r="N92" s="4">
        <f t="shared" si="90"/>
        <v>0.83139313892305222</v>
      </c>
      <c r="O92" s="4">
        <f t="shared" si="117"/>
        <v>4.5656965694615268</v>
      </c>
      <c r="P92" s="4">
        <f t="shared" si="118"/>
        <v>3.7343034305384744</v>
      </c>
      <c r="Q92" s="4">
        <f t="shared" si="91"/>
        <v>0</v>
      </c>
      <c r="R92" s="4">
        <f t="shared" si="119"/>
        <v>4.1569341121336887</v>
      </c>
      <c r="S92" s="360">
        <f t="shared" si="92"/>
        <v>2.3328136637037946E-2</v>
      </c>
      <c r="T92" s="360">
        <f t="shared" si="93"/>
        <v>0.3</v>
      </c>
      <c r="U92" s="360">
        <f t="shared" si="94"/>
        <v>0.32393267629574418</v>
      </c>
      <c r="V92" s="4">
        <f t="shared" si="120"/>
        <v>0.24000252627981608</v>
      </c>
      <c r="W92" s="360">
        <f t="shared" si="121"/>
        <v>1.1520242524138762E-4</v>
      </c>
      <c r="X92" s="360">
        <f t="shared" si="122"/>
        <v>1.1520242524138762E-4</v>
      </c>
      <c r="Y92" s="4">
        <f t="shared" si="123"/>
        <v>1.7766789121806794</v>
      </c>
      <c r="Z92" s="360">
        <f t="shared" si="124"/>
        <v>3.1565879569875224E-3</v>
      </c>
      <c r="AA92" s="541">
        <f t="shared" si="125"/>
        <v>3.1565879569875224E-3</v>
      </c>
      <c r="AB92" s="360">
        <f t="shared" si="126"/>
        <v>2.0386924822078689</v>
      </c>
      <c r="AC92" s="360">
        <f t="shared" si="95"/>
        <v>2.4937602222065293E-2</v>
      </c>
      <c r="AD92" s="360">
        <f t="shared" si="96"/>
        <v>0.32542833398476462</v>
      </c>
      <c r="AE92" s="360">
        <f t="shared" si="97"/>
        <v>0.63444464999999983</v>
      </c>
      <c r="AF92" s="360">
        <f t="shared" si="98"/>
        <v>0</v>
      </c>
      <c r="AG92" s="360">
        <f t="shared" si="99"/>
        <v>0.98974696945176632</v>
      </c>
      <c r="AH92" s="360">
        <f t="shared" si="100"/>
        <v>3.6226832839222665</v>
      </c>
      <c r="AI92" s="360">
        <f t="shared" si="101"/>
        <v>3.2809585439024541E-2</v>
      </c>
      <c r="AJ92" s="360">
        <f t="shared" si="102"/>
        <v>0.17081399999999999</v>
      </c>
      <c r="AK92" s="360">
        <f t="shared" si="103"/>
        <v>0.20464415751455131</v>
      </c>
      <c r="AL92" s="360">
        <f t="shared" si="104"/>
        <v>0.17081399999999999</v>
      </c>
      <c r="AM92" s="360">
        <f t="shared" si="105"/>
        <v>2.19618</v>
      </c>
      <c r="AN92" s="360">
        <f t="shared" si="106"/>
        <v>0.17280101212620699</v>
      </c>
      <c r="AO92" s="360">
        <f t="shared" si="107"/>
        <v>7.3499999999999998E-4</v>
      </c>
      <c r="AP92" s="360">
        <f t="shared" si="108"/>
        <v>0.34650000000000003</v>
      </c>
      <c r="AQ92" s="360">
        <f t="shared" si="109"/>
        <v>1.3167</v>
      </c>
      <c r="AR92" s="360">
        <f t="shared" si="110"/>
        <v>1.1088</v>
      </c>
      <c r="AS92" s="360">
        <f t="shared" si="133"/>
        <v>0.34723500000000002</v>
      </c>
      <c r="AT92" s="360">
        <f t="shared" si="111"/>
        <v>4.4086256057704984</v>
      </c>
      <c r="AU92">
        <f t="shared" si="112"/>
        <v>20.75</v>
      </c>
      <c r="AV92" s="542">
        <f t="shared" si="127"/>
        <v>0.82476683445063403</v>
      </c>
      <c r="AW92" s="551">
        <f t="shared" si="113"/>
        <v>121.96128847258831</v>
      </c>
      <c r="AX92" s="551">
        <f t="shared" si="114"/>
        <v>35.316575185552949</v>
      </c>
      <c r="AY92" s="9"/>
      <c r="AZ92" s="4">
        <f t="shared" si="128"/>
        <v>82.476683445063401</v>
      </c>
      <c r="BA92" s="360">
        <f t="shared" si="115"/>
        <v>0.32393267629574418</v>
      </c>
      <c r="BB92" s="360">
        <f t="shared" si="129"/>
        <v>3.3905711269663179</v>
      </c>
      <c r="BC92" s="360">
        <f t="shared" si="130"/>
        <v>2.4392257694517663</v>
      </c>
      <c r="BD92" s="360">
        <f t="shared" si="131"/>
        <v>0.92938355751455137</v>
      </c>
      <c r="BE92" s="360">
        <f t="shared" si="132"/>
        <v>0.17280101212620699</v>
      </c>
      <c r="BK92" s="18"/>
      <c r="BL92" s="19"/>
    </row>
    <row r="93" spans="1:64" x14ac:dyDescent="0.2">
      <c r="G93">
        <v>84</v>
      </c>
      <c r="H93" s="548">
        <f t="shared" si="85"/>
        <v>21</v>
      </c>
      <c r="I93" s="4">
        <f t="shared" si="86"/>
        <v>1</v>
      </c>
      <c r="J93" s="360">
        <f t="shared" si="116"/>
        <v>4.2</v>
      </c>
      <c r="K93" s="360">
        <f t="shared" si="87"/>
        <v>4.2</v>
      </c>
      <c r="L93" s="4">
        <f t="shared" si="88"/>
        <v>1.1111111111111109</v>
      </c>
      <c r="M93" s="360">
        <f t="shared" si="89"/>
        <v>0.24055251981947276</v>
      </c>
      <c r="N93" s="4">
        <f t="shared" si="90"/>
        <v>0.83147499152050586</v>
      </c>
      <c r="O93" s="4">
        <f t="shared" si="117"/>
        <v>4.6157374957602535</v>
      </c>
      <c r="P93" s="4">
        <f t="shared" si="118"/>
        <v>3.7842625042397473</v>
      </c>
      <c r="Q93" s="4">
        <f t="shared" si="91"/>
        <v>0</v>
      </c>
      <c r="R93" s="4">
        <f t="shared" si="119"/>
        <v>4.2068530465333591</v>
      </c>
      <c r="S93" s="360">
        <f t="shared" si="92"/>
        <v>2.3891776949421458E-2</v>
      </c>
      <c r="T93" s="360">
        <f t="shared" si="93"/>
        <v>0.3</v>
      </c>
      <c r="U93" s="360">
        <f t="shared" si="94"/>
        <v>0.32451203047337934</v>
      </c>
      <c r="V93" s="4">
        <f t="shared" si="120"/>
        <v>0.24002615508940295</v>
      </c>
      <c r="W93" s="360">
        <f t="shared" si="121"/>
        <v>1.1522511025400425E-4</v>
      </c>
      <c r="X93" s="360">
        <f t="shared" si="122"/>
        <v>1.1522511025400425E-4</v>
      </c>
      <c r="Y93" s="4">
        <f t="shared" si="123"/>
        <v>1.7980889393580173</v>
      </c>
      <c r="Z93" s="360">
        <f t="shared" si="124"/>
        <v>3.2331238338416399E-3</v>
      </c>
      <c r="AA93" s="541">
        <f t="shared" si="125"/>
        <v>3.2331238338416399E-3</v>
      </c>
      <c r="AB93" s="360">
        <f t="shared" si="126"/>
        <v>2.0632996134649324</v>
      </c>
      <c r="AC93" s="360">
        <f t="shared" si="95"/>
        <v>2.5543231769547238E-2</v>
      </c>
      <c r="AD93" s="360">
        <f t="shared" si="96"/>
        <v>0.32934915728578584</v>
      </c>
      <c r="AE93" s="360">
        <f t="shared" si="97"/>
        <v>0.63444464999999983</v>
      </c>
      <c r="AF93" s="360">
        <f t="shared" si="98"/>
        <v>0</v>
      </c>
      <c r="AG93" s="360">
        <f t="shared" si="99"/>
        <v>0.99441716467792973</v>
      </c>
      <c r="AH93" s="360">
        <f t="shared" si="100"/>
        <v>3.666116100207748</v>
      </c>
      <c r="AI93" s="360">
        <f t="shared" si="101"/>
        <v>3.3601018150506166E-2</v>
      </c>
      <c r="AJ93" s="360">
        <f t="shared" si="102"/>
        <v>0.172872</v>
      </c>
      <c r="AK93" s="360">
        <f t="shared" si="103"/>
        <v>0.20753296261474038</v>
      </c>
      <c r="AL93" s="360">
        <f t="shared" si="104"/>
        <v>0.172872</v>
      </c>
      <c r="AM93" s="360">
        <f t="shared" si="105"/>
        <v>2.2226399999999997</v>
      </c>
      <c r="AN93" s="360">
        <f t="shared" si="106"/>
        <v>0.17697612555127004</v>
      </c>
      <c r="AO93" s="360">
        <f t="shared" si="107"/>
        <v>7.3499999999999998E-4</v>
      </c>
      <c r="AP93" s="360">
        <f t="shared" si="108"/>
        <v>0.34650000000000003</v>
      </c>
      <c r="AQ93" s="360">
        <f t="shared" si="109"/>
        <v>1.3167</v>
      </c>
      <c r="AR93" s="360">
        <f t="shared" si="110"/>
        <v>1.1088</v>
      </c>
      <c r="AS93" s="360">
        <f t="shared" si="133"/>
        <v>0.34723500000000002</v>
      </c>
      <c r="AT93" s="360">
        <f t="shared" si="111"/>
        <v>4.4495336322614145</v>
      </c>
      <c r="AU93">
        <f t="shared" si="112"/>
        <v>21</v>
      </c>
      <c r="AV93" s="542">
        <f t="shared" si="127"/>
        <v>0.8251624687290573</v>
      </c>
      <c r="AW93" s="551">
        <f t="shared" si="113"/>
        <v>123.06797823389648</v>
      </c>
      <c r="AX93" s="551">
        <f t="shared" si="114"/>
        <v>35.758158179360137</v>
      </c>
      <c r="AY93" s="9"/>
      <c r="AZ93" s="4">
        <f t="shared" si="128"/>
        <v>82.516246872905725</v>
      </c>
      <c r="BA93" s="360">
        <f t="shared" si="115"/>
        <v>0.32451203047337934</v>
      </c>
      <c r="BB93" s="360">
        <f t="shared" si="129"/>
        <v>3.42459012729267</v>
      </c>
      <c r="BC93" s="360">
        <f t="shared" si="130"/>
        <v>2.4613595646779296</v>
      </c>
      <c r="BD93" s="360">
        <f t="shared" si="131"/>
        <v>0.9410041626147404</v>
      </c>
      <c r="BE93" s="360">
        <f t="shared" si="132"/>
        <v>0.17697612555127004</v>
      </c>
      <c r="BK93" s="18"/>
      <c r="BL93" s="19"/>
    </row>
    <row r="94" spans="1:64" x14ac:dyDescent="0.2">
      <c r="G94">
        <v>85</v>
      </c>
      <c r="H94" s="548">
        <f t="shared" si="85"/>
        <v>21</v>
      </c>
      <c r="I94" s="4">
        <f t="shared" si="86"/>
        <v>1</v>
      </c>
      <c r="J94" s="360">
        <f t="shared" si="116"/>
        <v>4.25</v>
      </c>
      <c r="K94" s="360">
        <f t="shared" si="87"/>
        <v>4.25</v>
      </c>
      <c r="L94" s="4">
        <f t="shared" si="88"/>
        <v>1.1243386243386242</v>
      </c>
      <c r="M94" s="360">
        <f t="shared" si="89"/>
        <v>0.24058173474179798</v>
      </c>
      <c r="N94" s="4">
        <f t="shared" si="90"/>
        <v>0.83155683634843514</v>
      </c>
      <c r="O94" s="4">
        <f t="shared" si="117"/>
        <v>4.6657784181742175</v>
      </c>
      <c r="P94" s="4">
        <f t="shared" si="118"/>
        <v>3.8342215818257825</v>
      </c>
      <c r="Q94" s="4">
        <f t="shared" si="91"/>
        <v>0</v>
      </c>
      <c r="R94" s="4">
        <f t="shared" si="119"/>
        <v>4.2567738837848967</v>
      </c>
      <c r="S94" s="360">
        <f t="shared" si="92"/>
        <v>2.4462167261858757E-2</v>
      </c>
      <c r="T94" s="360">
        <f t="shared" si="93"/>
        <v>0.3</v>
      </c>
      <c r="U94" s="360">
        <f t="shared" si="94"/>
        <v>0.32509837613013504</v>
      </c>
      <c r="V94" s="4">
        <f t="shared" si="120"/>
        <v>0.24004978165612131</v>
      </c>
      <c r="W94" s="360">
        <f t="shared" si="121"/>
        <v>1.1524779534630303E-4</v>
      </c>
      <c r="X94" s="360">
        <f t="shared" si="122"/>
        <v>1.1524779534630303E-4</v>
      </c>
      <c r="Y94" s="4">
        <f t="shared" si="123"/>
        <v>1.8195015366079412</v>
      </c>
      <c r="Z94" s="360">
        <f t="shared" si="124"/>
        <v>3.3105858417186592E-3</v>
      </c>
      <c r="AA94" s="541">
        <f t="shared" si="125"/>
        <v>3.3105858417186592E-3</v>
      </c>
      <c r="AB94" s="360">
        <f t="shared" si="126"/>
        <v>2.0879106400989764</v>
      </c>
      <c r="AC94" s="360">
        <f t="shared" si="95"/>
        <v>2.6156225046231104E-2</v>
      </c>
      <c r="AD94" s="360">
        <f t="shared" si="96"/>
        <v>0.33326998058680712</v>
      </c>
      <c r="AE94" s="360">
        <f t="shared" si="97"/>
        <v>0.63444464999999983</v>
      </c>
      <c r="AF94" s="360">
        <f t="shared" si="98"/>
        <v>0</v>
      </c>
      <c r="AG94" s="360">
        <f t="shared" si="99"/>
        <v>0.99909737880968719</v>
      </c>
      <c r="AH94" s="360">
        <f t="shared" si="100"/>
        <v>3.7095489020411412</v>
      </c>
      <c r="AI94" s="360">
        <f t="shared" si="101"/>
        <v>3.4401882641586591E-2</v>
      </c>
      <c r="AJ94" s="360">
        <f t="shared" si="102"/>
        <v>0.17492999999999997</v>
      </c>
      <c r="AK94" s="360">
        <f t="shared" si="103"/>
        <v>0.21043225101329793</v>
      </c>
      <c r="AL94" s="360">
        <f t="shared" si="104"/>
        <v>0.17492999999999997</v>
      </c>
      <c r="AM94" s="360">
        <f t="shared" si="105"/>
        <v>2.2490999999999999</v>
      </c>
      <c r="AN94" s="360">
        <f t="shared" si="106"/>
        <v>0.18120123897673154</v>
      </c>
      <c r="AO94" s="360">
        <f t="shared" si="107"/>
        <v>7.3499999999999998E-4</v>
      </c>
      <c r="AP94" s="360">
        <f t="shared" si="108"/>
        <v>0.34650000000000003</v>
      </c>
      <c r="AQ94" s="360">
        <f t="shared" si="109"/>
        <v>1.3167</v>
      </c>
      <c r="AR94" s="360">
        <f t="shared" si="110"/>
        <v>1.1088</v>
      </c>
      <c r="AS94" s="360">
        <f t="shared" si="133"/>
        <v>0.34723500000000002</v>
      </c>
      <c r="AT94" s="360">
        <f t="shared" si="111"/>
        <v>4.4905200785669166</v>
      </c>
      <c r="AU94">
        <f t="shared" si="112"/>
        <v>21.25</v>
      </c>
      <c r="AV94" s="542">
        <f t="shared" si="127"/>
        <v>0.82554664533347988</v>
      </c>
      <c r="AW94" s="551">
        <f t="shared" si="113"/>
        <v>124.17516894048435</v>
      </c>
      <c r="AX94" s="551">
        <f t="shared" si="114"/>
        <v>36.200139538505319</v>
      </c>
      <c r="AY94" s="9"/>
      <c r="AZ94" s="4">
        <f t="shared" si="128"/>
        <v>82.554664533347989</v>
      </c>
      <c r="BA94" s="360">
        <f t="shared" si="115"/>
        <v>0.32509837613013504</v>
      </c>
      <c r="BB94" s="360">
        <f t="shared" si="129"/>
        <v>3.4586296298229851</v>
      </c>
      <c r="BC94" s="360">
        <f t="shared" si="130"/>
        <v>2.483503378809687</v>
      </c>
      <c r="BD94" s="360">
        <f t="shared" si="131"/>
        <v>0.95263525101329782</v>
      </c>
      <c r="BE94" s="360">
        <f t="shared" si="132"/>
        <v>0.18120123897673154</v>
      </c>
      <c r="BK94" s="18"/>
      <c r="BL94" s="19"/>
    </row>
    <row r="95" spans="1:64" x14ac:dyDescent="0.2">
      <c r="G95">
        <v>86</v>
      </c>
      <c r="H95" s="548">
        <f t="shared" si="85"/>
        <v>21</v>
      </c>
      <c r="I95" s="4">
        <f t="shared" si="86"/>
        <v>1</v>
      </c>
      <c r="J95" s="360">
        <f t="shared" si="116"/>
        <v>4.3</v>
      </c>
      <c r="K95" s="360">
        <f t="shared" si="87"/>
        <v>4.3</v>
      </c>
      <c r="L95" s="4">
        <f t="shared" si="88"/>
        <v>1.1375661375661374</v>
      </c>
      <c r="M95" s="360">
        <f t="shared" si="89"/>
        <v>0.24061094876105371</v>
      </c>
      <c r="N95" s="4">
        <f t="shared" si="90"/>
        <v>0.83163867340720055</v>
      </c>
      <c r="O95" s="4">
        <f t="shared" si="117"/>
        <v>4.7158193367035999</v>
      </c>
      <c r="P95" s="4">
        <f t="shared" si="118"/>
        <v>3.8841806632963998</v>
      </c>
      <c r="Q95" s="4">
        <f t="shared" si="91"/>
        <v>0</v>
      </c>
      <c r="R95" s="4">
        <f t="shared" si="119"/>
        <v>4.3066965577178609</v>
      </c>
      <c r="S95" s="360">
        <f t="shared" si="92"/>
        <v>2.5039307574349481E-2</v>
      </c>
      <c r="T95" s="360">
        <f t="shared" si="93"/>
        <v>0.3</v>
      </c>
      <c r="U95" s="360">
        <f t="shared" si="94"/>
        <v>0.32569171517680784</v>
      </c>
      <c r="V95" s="4">
        <f t="shared" si="120"/>
        <v>0.24007340598007526</v>
      </c>
      <c r="W95" s="360">
        <f t="shared" si="121"/>
        <v>1.1527048051774808E-4</v>
      </c>
      <c r="X95" s="360">
        <f t="shared" si="122"/>
        <v>1.1527048051774808E-4</v>
      </c>
      <c r="Y95" s="4">
        <f t="shared" si="123"/>
        <v>1.8409166752581287</v>
      </c>
      <c r="Z95" s="360">
        <f t="shared" si="124"/>
        <v>3.3889742052434428E-3</v>
      </c>
      <c r="AA95" s="541">
        <f t="shared" si="125"/>
        <v>3.3889742052434428E-3</v>
      </c>
      <c r="AB95" s="360">
        <f t="shared" si="126"/>
        <v>2.1125255294155951</v>
      </c>
      <c r="AC95" s="360">
        <f t="shared" si="95"/>
        <v>2.677658467459584E-2</v>
      </c>
      <c r="AD95" s="360">
        <f t="shared" si="96"/>
        <v>0.33719080388782835</v>
      </c>
      <c r="AE95" s="360">
        <f t="shared" si="97"/>
        <v>0.63444464999999983</v>
      </c>
      <c r="AF95" s="360">
        <f t="shared" si="98"/>
        <v>0</v>
      </c>
      <c r="AG95" s="360">
        <f t="shared" si="99"/>
        <v>1.0037876395073404</v>
      </c>
      <c r="AH95" s="360">
        <f t="shared" si="100"/>
        <v>3.7529816316931566</v>
      </c>
      <c r="AI95" s="360">
        <f t="shared" si="101"/>
        <v>3.5212177819565572E-2</v>
      </c>
      <c r="AJ95" s="360">
        <f t="shared" si="102"/>
        <v>0.17698799999999998</v>
      </c>
      <c r="AK95" s="360">
        <f t="shared" si="103"/>
        <v>0.21334203796168402</v>
      </c>
      <c r="AL95" s="360">
        <f t="shared" si="104"/>
        <v>0.17698799999999998</v>
      </c>
      <c r="AM95" s="360">
        <f t="shared" si="105"/>
        <v>2.2755599999999996</v>
      </c>
      <c r="AN95" s="360">
        <f t="shared" si="106"/>
        <v>0.18547635240258875</v>
      </c>
      <c r="AO95" s="360">
        <f t="shared" si="107"/>
        <v>7.3499999999999998E-4</v>
      </c>
      <c r="AP95" s="360">
        <f t="shared" si="108"/>
        <v>0.34650000000000003</v>
      </c>
      <c r="AQ95" s="360">
        <f t="shared" si="109"/>
        <v>1.3167</v>
      </c>
      <c r="AR95" s="360">
        <f t="shared" si="110"/>
        <v>1.1088</v>
      </c>
      <c r="AS95" s="360">
        <f t="shared" si="133"/>
        <v>0.34723500000000002</v>
      </c>
      <c r="AT95" s="360">
        <f t="shared" si="111"/>
        <v>4.5315849897341813</v>
      </c>
      <c r="AU95">
        <f t="shared" si="112"/>
        <v>21.5</v>
      </c>
      <c r="AV95" s="542">
        <f t="shared" si="127"/>
        <v>0.82591974359143872</v>
      </c>
      <c r="AW95" s="551">
        <f t="shared" si="113"/>
        <v>125.28286197536703</v>
      </c>
      <c r="AX95" s="551">
        <f t="shared" si="114"/>
        <v>36.64251984254399</v>
      </c>
      <c r="AY95" s="9"/>
      <c r="AZ95" s="4">
        <f t="shared" si="128"/>
        <v>82.591974359143876</v>
      </c>
      <c r="BA95" s="360">
        <f t="shared" si="115"/>
        <v>0.32569171517680784</v>
      </c>
      <c r="BB95" s="360">
        <f t="shared" si="129"/>
        <v>3.4926896774690239</v>
      </c>
      <c r="BC95" s="360">
        <f t="shared" si="130"/>
        <v>2.5056572395073404</v>
      </c>
      <c r="BD95" s="360">
        <f t="shared" si="131"/>
        <v>0.96427683796168395</v>
      </c>
      <c r="BE95" s="360">
        <f t="shared" si="132"/>
        <v>0.18547635240258875</v>
      </c>
      <c r="BK95" s="18"/>
      <c r="BL95" s="19"/>
    </row>
    <row r="96" spans="1:64" x14ac:dyDescent="0.2">
      <c r="G96">
        <v>87</v>
      </c>
      <c r="H96" s="548">
        <f t="shared" si="85"/>
        <v>21</v>
      </c>
      <c r="I96" s="4">
        <f t="shared" si="86"/>
        <v>1</v>
      </c>
      <c r="J96" s="360">
        <f t="shared" si="116"/>
        <v>4.3499999999999996</v>
      </c>
      <c r="K96" s="360">
        <f t="shared" si="87"/>
        <v>4.3499999999999996</v>
      </c>
      <c r="L96" s="4">
        <f t="shared" si="88"/>
        <v>1.1507936507936507</v>
      </c>
      <c r="M96" s="360">
        <f t="shared" si="89"/>
        <v>0.24064016187728188</v>
      </c>
      <c r="N96" s="4">
        <f t="shared" si="90"/>
        <v>0.83172050269716213</v>
      </c>
      <c r="O96" s="4">
        <f t="shared" si="117"/>
        <v>4.765860251348581</v>
      </c>
      <c r="P96" s="4">
        <f t="shared" si="118"/>
        <v>3.9341397486514187</v>
      </c>
      <c r="Q96" s="4">
        <f t="shared" si="91"/>
        <v>0</v>
      </c>
      <c r="R96" s="4">
        <f t="shared" si="119"/>
        <v>4.3566210051924301</v>
      </c>
      <c r="S96" s="360">
        <f t="shared" si="92"/>
        <v>2.5623197886893267E-2</v>
      </c>
      <c r="T96" s="360">
        <f t="shared" si="93"/>
        <v>0.3</v>
      </c>
      <c r="U96" s="360">
        <f t="shared" si="94"/>
        <v>0.32629204954725077</v>
      </c>
      <c r="V96" s="4">
        <f t="shared" si="120"/>
        <v>0.24009702806136873</v>
      </c>
      <c r="W96" s="360">
        <f t="shared" si="121"/>
        <v>1.1529316576780337E-4</v>
      </c>
      <c r="X96" s="360">
        <f t="shared" si="122"/>
        <v>1.1529316576780337E-4</v>
      </c>
      <c r="Y96" s="4">
        <f t="shared" si="123"/>
        <v>1.8623343279271547</v>
      </c>
      <c r="Z96" s="360">
        <f t="shared" si="124"/>
        <v>3.468289148975887E-3</v>
      </c>
      <c r="AA96" s="541">
        <f t="shared" si="125"/>
        <v>3.468289148975887E-3</v>
      </c>
      <c r="AB96" s="360">
        <f t="shared" si="126"/>
        <v>2.1371442501992512</v>
      </c>
      <c r="AC96" s="360">
        <f t="shared" si="95"/>
        <v>2.740431327695832E-2</v>
      </c>
      <c r="AD96" s="360">
        <f t="shared" si="96"/>
        <v>0.34111162718884963</v>
      </c>
      <c r="AE96" s="360">
        <f t="shared" si="97"/>
        <v>0.63444464999999983</v>
      </c>
      <c r="AF96" s="360">
        <f t="shared" si="98"/>
        <v>0</v>
      </c>
      <c r="AG96" s="360">
        <f t="shared" si="99"/>
        <v>1.008487974543897</v>
      </c>
      <c r="AH96" s="360">
        <f t="shared" si="100"/>
        <v>3.7964142340798617</v>
      </c>
      <c r="AI96" s="360">
        <f t="shared" si="101"/>
        <v>3.6031902591810459E-2</v>
      </c>
      <c r="AJ96" s="360">
        <f t="shared" si="102"/>
        <v>0.17904599999999996</v>
      </c>
      <c r="AK96" s="360">
        <f t="shared" si="103"/>
        <v>0.21626233880779275</v>
      </c>
      <c r="AL96" s="360">
        <f t="shared" si="104"/>
        <v>0.17904599999999996</v>
      </c>
      <c r="AM96" s="360">
        <f t="shared" si="105"/>
        <v>2.3020199999999997</v>
      </c>
      <c r="AN96" s="360">
        <f t="shared" si="106"/>
        <v>0.189801465828839</v>
      </c>
      <c r="AO96" s="360">
        <f t="shared" si="107"/>
        <v>7.3499999999999998E-4</v>
      </c>
      <c r="AP96" s="360">
        <f t="shared" si="108"/>
        <v>0.34650000000000003</v>
      </c>
      <c r="AQ96" s="360">
        <f t="shared" si="109"/>
        <v>1.3167</v>
      </c>
      <c r="AR96" s="360">
        <f t="shared" si="110"/>
        <v>1.1088</v>
      </c>
      <c r="AS96" s="360">
        <f t="shared" si="133"/>
        <v>0.34723500000000002</v>
      </c>
      <c r="AT96" s="360">
        <f t="shared" si="111"/>
        <v>4.5727284110425233</v>
      </c>
      <c r="AU96">
        <f t="shared" si="112"/>
        <v>21.75</v>
      </c>
      <c r="AV96" s="542">
        <f t="shared" si="127"/>
        <v>0.82628212624325681</v>
      </c>
      <c r="AW96" s="551">
        <f t="shared" si="113"/>
        <v>126.39105872719485</v>
      </c>
      <c r="AX96" s="551">
        <f t="shared" si="114"/>
        <v>37.085299674696124</v>
      </c>
      <c r="AY96" s="9"/>
      <c r="AZ96" s="4">
        <f t="shared" si="128"/>
        <v>82.628212624325684</v>
      </c>
      <c r="BA96" s="360">
        <f t="shared" si="115"/>
        <v>0.32629204954725077</v>
      </c>
      <c r="BB96" s="360">
        <f t="shared" si="129"/>
        <v>3.5267703133516894</v>
      </c>
      <c r="BC96" s="360">
        <f t="shared" si="130"/>
        <v>2.527821174543897</v>
      </c>
      <c r="BD96" s="360">
        <f t="shared" si="131"/>
        <v>0.97592893880779275</v>
      </c>
      <c r="BE96" s="360">
        <f t="shared" si="132"/>
        <v>0.189801465828839</v>
      </c>
      <c r="BK96" s="18"/>
      <c r="BL96" s="19"/>
    </row>
    <row r="97" spans="7:64" x14ac:dyDescent="0.2">
      <c r="G97">
        <v>88</v>
      </c>
      <c r="H97" s="548">
        <f t="shared" si="85"/>
        <v>21</v>
      </c>
      <c r="I97" s="4">
        <f t="shared" si="86"/>
        <v>1</v>
      </c>
      <c r="J97" s="360">
        <f t="shared" si="116"/>
        <v>4.4000000000000004</v>
      </c>
      <c r="K97" s="360">
        <f t="shared" si="87"/>
        <v>4.4000000000000004</v>
      </c>
      <c r="L97" s="4">
        <f t="shared" si="88"/>
        <v>1.164021164021164</v>
      </c>
      <c r="M97" s="360">
        <f t="shared" si="89"/>
        <v>0.24066937409052436</v>
      </c>
      <c r="N97" s="4">
        <f t="shared" si="90"/>
        <v>0.83180232421868006</v>
      </c>
      <c r="O97" s="4">
        <f t="shared" si="117"/>
        <v>4.8159011621093404</v>
      </c>
      <c r="P97" s="4">
        <f t="shared" si="118"/>
        <v>3.9840988378906603</v>
      </c>
      <c r="Q97" s="4">
        <f t="shared" si="91"/>
        <v>0</v>
      </c>
      <c r="R97" s="4">
        <f t="shared" si="119"/>
        <v>4.4065471659279867</v>
      </c>
      <c r="S97" s="360">
        <f t="shared" si="92"/>
        <v>2.6213838199489761E-2</v>
      </c>
      <c r="T97" s="360">
        <f t="shared" si="93"/>
        <v>0.3</v>
      </c>
      <c r="U97" s="360">
        <f t="shared" si="94"/>
        <v>0.32689938119838957</v>
      </c>
      <c r="V97" s="4">
        <f t="shared" si="120"/>
        <v>0.24012064790010565</v>
      </c>
      <c r="W97" s="360">
        <f t="shared" si="121"/>
        <v>1.1531585109593303E-4</v>
      </c>
      <c r="X97" s="360">
        <f t="shared" si="122"/>
        <v>1.1531585109593303E-4</v>
      </c>
      <c r="Y97" s="4">
        <f t="shared" si="123"/>
        <v>1.8837544684514875</v>
      </c>
      <c r="Z97" s="360">
        <f t="shared" si="124"/>
        <v>3.5485308974109466E-3</v>
      </c>
      <c r="AA97" s="541">
        <f t="shared" si="125"/>
        <v>3.5485308974109466E-3</v>
      </c>
      <c r="AB97" s="360">
        <f t="shared" si="126"/>
        <v>2.1617667726296332</v>
      </c>
      <c r="AC97" s="360">
        <f t="shared" si="95"/>
        <v>2.8039413475473243E-2</v>
      </c>
      <c r="AD97" s="360">
        <f t="shared" si="96"/>
        <v>0.34503245048987091</v>
      </c>
      <c r="AE97" s="360">
        <f t="shared" si="97"/>
        <v>0.63444464999999983</v>
      </c>
      <c r="AF97" s="360">
        <f t="shared" si="98"/>
        <v>0</v>
      </c>
      <c r="AG97" s="360">
        <f t="shared" si="99"/>
        <v>1.0131984118056061</v>
      </c>
      <c r="AH97" s="360">
        <f t="shared" si="100"/>
        <v>3.8398466566130516</v>
      </c>
      <c r="AI97" s="360">
        <f t="shared" si="101"/>
        <v>3.6861055865756075E-2</v>
      </c>
      <c r="AJ97" s="360">
        <f t="shared" si="102"/>
        <v>0.18110399999999999</v>
      </c>
      <c r="AK97" s="360">
        <f t="shared" si="103"/>
        <v>0.21919316899621585</v>
      </c>
      <c r="AL97" s="360">
        <f t="shared" si="104"/>
        <v>0.18110399999999999</v>
      </c>
      <c r="AM97" s="360">
        <f t="shared" si="105"/>
        <v>2.3284799999999999</v>
      </c>
      <c r="AN97" s="360">
        <f t="shared" si="106"/>
        <v>0.19417657925547971</v>
      </c>
      <c r="AO97" s="360">
        <f t="shared" si="107"/>
        <v>7.3499999999999998E-4</v>
      </c>
      <c r="AP97" s="360">
        <f t="shared" si="108"/>
        <v>0.34650000000000003</v>
      </c>
      <c r="AQ97" s="360">
        <f t="shared" si="109"/>
        <v>1.3167</v>
      </c>
      <c r="AR97" s="360">
        <f t="shared" si="110"/>
        <v>1.1088</v>
      </c>
      <c r="AS97" s="360">
        <f t="shared" si="133"/>
        <v>0.34723500000000002</v>
      </c>
      <c r="AT97" s="360">
        <f t="shared" si="111"/>
        <v>4.6139503880041985</v>
      </c>
      <c r="AU97">
        <f t="shared" si="112"/>
        <v>22</v>
      </c>
      <c r="AV97" s="542">
        <f t="shared" si="127"/>
        <v>0.82663414033852478</v>
      </c>
      <c r="AW97" s="551">
        <f t="shared" si="113"/>
        <v>127.4997605902803</v>
      </c>
      <c r="AX97" s="551">
        <f t="shared" si="114"/>
        <v>37.528479621856206</v>
      </c>
      <c r="AY97" s="9"/>
      <c r="AZ97" s="4">
        <f t="shared" si="128"/>
        <v>82.663414033852476</v>
      </c>
      <c r="BA97" s="360">
        <f t="shared" si="115"/>
        <v>0.32689938119838957</v>
      </c>
      <c r="BB97" s="360">
        <f t="shared" si="129"/>
        <v>3.5608715808018219</v>
      </c>
      <c r="BC97" s="360">
        <f t="shared" si="130"/>
        <v>2.549995211805606</v>
      </c>
      <c r="BD97" s="360">
        <f t="shared" si="131"/>
        <v>0.98759156899621592</v>
      </c>
      <c r="BE97" s="360">
        <f t="shared" si="132"/>
        <v>0.19417657925547971</v>
      </c>
      <c r="BK97" s="18"/>
      <c r="BL97" s="19"/>
    </row>
    <row r="98" spans="7:64" x14ac:dyDescent="0.2">
      <c r="G98">
        <v>89</v>
      </c>
      <c r="H98" s="548">
        <f t="shared" si="85"/>
        <v>21</v>
      </c>
      <c r="I98" s="4">
        <f t="shared" si="86"/>
        <v>1</v>
      </c>
      <c r="J98" s="360">
        <f t="shared" si="116"/>
        <v>4.45</v>
      </c>
      <c r="K98" s="360">
        <f t="shared" si="87"/>
        <v>4.45</v>
      </c>
      <c r="L98" s="4">
        <f t="shared" si="88"/>
        <v>1.1772486772486772</v>
      </c>
      <c r="M98" s="360">
        <f t="shared" si="89"/>
        <v>0.2406985854008229</v>
      </c>
      <c r="N98" s="4">
        <f t="shared" si="90"/>
        <v>0.83188413797211436</v>
      </c>
      <c r="O98" s="4">
        <f t="shared" si="117"/>
        <v>4.8659420689860573</v>
      </c>
      <c r="P98" s="4">
        <f t="shared" si="118"/>
        <v>4.0340579310139431</v>
      </c>
      <c r="Q98" s="4">
        <f t="shared" si="91"/>
        <v>0</v>
      </c>
      <c r="R98" s="4">
        <f t="shared" si="119"/>
        <v>4.4564749823431979</v>
      </c>
      <c r="S98" s="360">
        <f t="shared" si="92"/>
        <v>2.6811228512138591E-2</v>
      </c>
      <c r="T98" s="360">
        <f t="shared" si="93"/>
        <v>0.3</v>
      </c>
      <c r="U98" s="360">
        <f t="shared" si="94"/>
        <v>0.32751371211023828</v>
      </c>
      <c r="V98" s="4">
        <f t="shared" si="120"/>
        <v>0.24014426549639001</v>
      </c>
      <c r="W98" s="360">
        <f t="shared" si="121"/>
        <v>1.1533853650160131E-4</v>
      </c>
      <c r="X98" s="360">
        <f t="shared" si="122"/>
        <v>1.1533853650160131E-4</v>
      </c>
      <c r="Y98" s="4">
        <f t="shared" si="123"/>
        <v>1.9051770718173739</v>
      </c>
      <c r="Z98" s="360">
        <f t="shared" si="124"/>
        <v>3.6296996749786235E-3</v>
      </c>
      <c r="AA98" s="541">
        <f t="shared" si="125"/>
        <v>3.6296996749786235E-3</v>
      </c>
      <c r="AB98" s="360">
        <f t="shared" si="126"/>
        <v>2.1863930682036257</v>
      </c>
      <c r="AC98" s="360">
        <f t="shared" si="95"/>
        <v>2.8681887892133186E-2</v>
      </c>
      <c r="AD98" s="360">
        <f t="shared" si="96"/>
        <v>0.34895327379089214</v>
      </c>
      <c r="AE98" s="360">
        <f t="shared" si="97"/>
        <v>0.63444464999999983</v>
      </c>
      <c r="AF98" s="360">
        <f t="shared" si="98"/>
        <v>0</v>
      </c>
      <c r="AG98" s="360">
        <f t="shared" si="99"/>
        <v>1.0179189792924936</v>
      </c>
      <c r="AH98" s="360">
        <f t="shared" si="100"/>
        <v>3.8832788490606673</v>
      </c>
      <c r="AI98" s="360">
        <f t="shared" si="101"/>
        <v>3.7699636548904854E-2</v>
      </c>
      <c r="AJ98" s="360">
        <f t="shared" si="102"/>
        <v>0.18316199999999999</v>
      </c>
      <c r="AK98" s="360">
        <f t="shared" si="103"/>
        <v>0.22213454406850844</v>
      </c>
      <c r="AL98" s="360">
        <f t="shared" si="104"/>
        <v>0.18316199999999999</v>
      </c>
      <c r="AM98" s="360">
        <f t="shared" si="105"/>
        <v>2.35494</v>
      </c>
      <c r="AN98" s="360">
        <f t="shared" si="106"/>
        <v>0.19860169268250807</v>
      </c>
      <c r="AO98" s="360">
        <f t="shared" si="107"/>
        <v>7.3499999999999998E-4</v>
      </c>
      <c r="AP98" s="360">
        <f t="shared" si="108"/>
        <v>0.34650000000000003</v>
      </c>
      <c r="AQ98" s="360">
        <f t="shared" si="109"/>
        <v>1.3167</v>
      </c>
      <c r="AR98" s="360">
        <f t="shared" si="110"/>
        <v>1.1088</v>
      </c>
      <c r="AS98" s="360">
        <f t="shared" si="133"/>
        <v>0.34723500000000002</v>
      </c>
      <c r="AT98" s="360">
        <f t="shared" si="111"/>
        <v>4.6552509663652293</v>
      </c>
      <c r="AU98">
        <f t="shared" si="112"/>
        <v>22.25</v>
      </c>
      <c r="AV98" s="542">
        <f t="shared" si="127"/>
        <v>0.82697611807506088</v>
      </c>
      <c r="AW98" s="551">
        <f t="shared" si="113"/>
        <v>128.60896896462469</v>
      </c>
      <c r="AX98" s="551">
        <f t="shared" si="114"/>
        <v>37.972060274603322</v>
      </c>
      <c r="AY98" s="9"/>
      <c r="AZ98" s="4">
        <f t="shared" si="128"/>
        <v>82.697611807506092</v>
      </c>
      <c r="BA98" s="360">
        <f t="shared" si="115"/>
        <v>0.32751371211023828</v>
      </c>
      <c r="BB98" s="360">
        <f t="shared" si="129"/>
        <v>3.5949935233610022</v>
      </c>
      <c r="BC98" s="360">
        <f t="shared" si="130"/>
        <v>2.5721793792924936</v>
      </c>
      <c r="BD98" s="360">
        <f t="shared" si="131"/>
        <v>0.9992647440685084</v>
      </c>
      <c r="BE98" s="360">
        <f t="shared" si="132"/>
        <v>0.19860169268250807</v>
      </c>
      <c r="BK98" s="18"/>
      <c r="BL98" s="19"/>
    </row>
    <row r="99" spans="7:64" x14ac:dyDescent="0.2">
      <c r="G99">
        <v>90</v>
      </c>
      <c r="H99" s="548">
        <f t="shared" si="85"/>
        <v>21</v>
      </c>
      <c r="I99" s="4">
        <f t="shared" si="86"/>
        <v>1</v>
      </c>
      <c r="J99" s="360">
        <f t="shared" si="116"/>
        <v>4.5</v>
      </c>
      <c r="K99" s="360">
        <f t="shared" si="87"/>
        <v>4.5</v>
      </c>
      <c r="L99" s="4">
        <f t="shared" si="88"/>
        <v>1.1904761904761902</v>
      </c>
      <c r="M99" s="360">
        <f t="shared" si="89"/>
        <v>0.24072779580821951</v>
      </c>
      <c r="N99" s="4">
        <f t="shared" si="90"/>
        <v>0.83196594395782586</v>
      </c>
      <c r="O99" s="4">
        <f t="shared" si="117"/>
        <v>4.915982971978913</v>
      </c>
      <c r="P99" s="4">
        <f t="shared" si="118"/>
        <v>4.084017028021087</v>
      </c>
      <c r="Q99" s="4">
        <f t="shared" si="91"/>
        <v>0</v>
      </c>
      <c r="R99" s="4">
        <f t="shared" si="119"/>
        <v>4.5064043994067084</v>
      </c>
      <c r="S99" s="360">
        <f t="shared" si="92"/>
        <v>2.7415368824839387E-2</v>
      </c>
      <c r="T99" s="360">
        <f t="shared" si="93"/>
        <v>0.3</v>
      </c>
      <c r="U99" s="360">
        <f t="shared" si="94"/>
        <v>0.32813504428591561</v>
      </c>
      <c r="V99" s="4">
        <f t="shared" si="120"/>
        <v>0.24016788085032595</v>
      </c>
      <c r="W99" s="360">
        <f t="shared" si="121"/>
        <v>1.1536122198427272E-4</v>
      </c>
      <c r="X99" s="360">
        <f t="shared" si="122"/>
        <v>1.1536122198427272E-4</v>
      </c>
      <c r="Y99" s="4">
        <f t="shared" si="123"/>
        <v>1.9266021140972505</v>
      </c>
      <c r="Z99" s="360">
        <f t="shared" si="124"/>
        <v>3.7117957060439949E-3</v>
      </c>
      <c r="AA99" s="541">
        <f t="shared" si="125"/>
        <v>3.7117957060439949E-3</v>
      </c>
      <c r="AB99" s="360">
        <f t="shared" si="126"/>
        <v>2.2110231096624595</v>
      </c>
      <c r="AC99" s="360">
        <f t="shared" si="95"/>
        <v>2.9331739148768719E-2</v>
      </c>
      <c r="AD99" s="360">
        <f t="shared" si="96"/>
        <v>0.35287409709191342</v>
      </c>
      <c r="AE99" s="360">
        <f t="shared" si="97"/>
        <v>0.63444464999999983</v>
      </c>
      <c r="AF99" s="360">
        <f t="shared" si="98"/>
        <v>0</v>
      </c>
      <c r="AG99" s="360">
        <f t="shared" si="99"/>
        <v>1.0226497051189045</v>
      </c>
      <c r="AH99" s="360">
        <f t="shared" si="100"/>
        <v>3.9267107634164606</v>
      </c>
      <c r="AI99" s="360">
        <f t="shared" si="101"/>
        <v>3.8547643548826706E-2</v>
      </c>
      <c r="AJ99" s="360">
        <f t="shared" si="102"/>
        <v>0.18521999999999997</v>
      </c>
      <c r="AK99" s="360">
        <f t="shared" si="103"/>
        <v>0.22508647966345718</v>
      </c>
      <c r="AL99" s="360">
        <f t="shared" si="104"/>
        <v>0.18521999999999997</v>
      </c>
      <c r="AM99" s="360">
        <f t="shared" si="105"/>
        <v>2.3813999999999997</v>
      </c>
      <c r="AN99" s="360">
        <f t="shared" si="106"/>
        <v>0.20307680610992138</v>
      </c>
      <c r="AO99" s="360">
        <f t="shared" si="107"/>
        <v>7.3499999999999998E-4</v>
      </c>
      <c r="AP99" s="360">
        <f t="shared" si="108"/>
        <v>0.34650000000000003</v>
      </c>
      <c r="AQ99" s="360">
        <f t="shared" si="109"/>
        <v>1.3167</v>
      </c>
      <c r="AR99" s="360">
        <f t="shared" si="110"/>
        <v>1.1088</v>
      </c>
      <c r="AS99" s="360">
        <f t="shared" si="133"/>
        <v>0.34723500000000002</v>
      </c>
      <c r="AT99" s="360">
        <f t="shared" si="111"/>
        <v>4.6966301921062268</v>
      </c>
      <c r="AU99">
        <f t="shared" si="112"/>
        <v>22.5</v>
      </c>
      <c r="AV99" s="542">
        <f t="shared" si="127"/>
        <v>0.82730837758460918</v>
      </c>
      <c r="AW99" s="551">
        <f t="shared" si="113"/>
        <v>129.71868525594522</v>
      </c>
      <c r="AX99" s="551">
        <f t="shared" si="114"/>
        <v>38.416042227211371</v>
      </c>
      <c r="AY99" s="9"/>
      <c r="AZ99" s="4">
        <f t="shared" si="128"/>
        <v>82.730837758460922</v>
      </c>
      <c r="BA99" s="360">
        <f t="shared" si="115"/>
        <v>0.32813504428591561</v>
      </c>
      <c r="BB99" s="360">
        <f t="shared" si="129"/>
        <v>3.6291361847823613</v>
      </c>
      <c r="BC99" s="360">
        <f t="shared" si="130"/>
        <v>2.5943737051189046</v>
      </c>
      <c r="BD99" s="360">
        <f t="shared" si="131"/>
        <v>1.0109484796634571</v>
      </c>
      <c r="BE99" s="360">
        <f t="shared" si="132"/>
        <v>0.20307680610992138</v>
      </c>
      <c r="BK99" s="18"/>
      <c r="BL99" s="19"/>
    </row>
    <row r="100" spans="7:64" x14ac:dyDescent="0.2">
      <c r="G100">
        <v>91</v>
      </c>
      <c r="H100" s="548">
        <f t="shared" si="85"/>
        <v>21</v>
      </c>
      <c r="I100" s="4">
        <f t="shared" si="86"/>
        <v>1</v>
      </c>
      <c r="J100" s="360">
        <f t="shared" si="116"/>
        <v>4.55</v>
      </c>
      <c r="K100" s="360">
        <f t="shared" si="87"/>
        <v>4.55</v>
      </c>
      <c r="L100" s="4">
        <f t="shared" si="88"/>
        <v>1.2037037037037035</v>
      </c>
      <c r="M100" s="360">
        <f t="shared" si="89"/>
        <v>0.24075700531275596</v>
      </c>
      <c r="N100" s="4">
        <f t="shared" si="90"/>
        <v>0.83204774217617394</v>
      </c>
      <c r="O100" s="4">
        <f t="shared" si="117"/>
        <v>4.9660238710880868</v>
      </c>
      <c r="P100" s="4">
        <f t="shared" si="118"/>
        <v>4.1339761289119128</v>
      </c>
      <c r="Q100" s="4">
        <f t="shared" si="91"/>
        <v>0</v>
      </c>
      <c r="R100" s="4">
        <f t="shared" si="119"/>
        <v>4.5563353644976248</v>
      </c>
      <c r="S100" s="360">
        <f t="shared" si="92"/>
        <v>2.80262591375918E-2</v>
      </c>
      <c r="T100" s="360">
        <f t="shared" si="93"/>
        <v>0.3</v>
      </c>
      <c r="U100" s="360">
        <f t="shared" si="94"/>
        <v>0.32876337975166148</v>
      </c>
      <c r="V100" s="4">
        <f t="shared" si="120"/>
        <v>0.24019149396201719</v>
      </c>
      <c r="W100" s="360">
        <f t="shared" si="121"/>
        <v>1.1538390754341149E-4</v>
      </c>
      <c r="X100" s="360">
        <f t="shared" si="122"/>
        <v>1.1538390754341149E-4</v>
      </c>
      <c r="Y100" s="4">
        <f t="shared" si="123"/>
        <v>1.9480295723903194</v>
      </c>
      <c r="Z100" s="360">
        <f t="shared" si="124"/>
        <v>3.7948192149072106E-3</v>
      </c>
      <c r="AA100" s="541">
        <f t="shared" si="125"/>
        <v>3.7948192149072106E-3</v>
      </c>
      <c r="AB100" s="360">
        <f t="shared" si="126"/>
        <v>2.2356568709236324</v>
      </c>
      <c r="AC100" s="360">
        <f t="shared" si="95"/>
        <v>2.9988969867048285E-2</v>
      </c>
      <c r="AD100" s="360">
        <f t="shared" si="96"/>
        <v>0.3567949203929347</v>
      </c>
      <c r="AE100" s="360">
        <f t="shared" si="97"/>
        <v>0.63444464999999983</v>
      </c>
      <c r="AF100" s="360">
        <f t="shared" si="98"/>
        <v>0</v>
      </c>
      <c r="AG100" s="360">
        <f t="shared" si="99"/>
        <v>1.0273906175140461</v>
      </c>
      <c r="AH100" s="360">
        <f t="shared" si="100"/>
        <v>3.9701423537782188</v>
      </c>
      <c r="AI100" s="360">
        <f t="shared" si="101"/>
        <v>3.9405075773159139E-2</v>
      </c>
      <c r="AJ100" s="360">
        <f t="shared" si="102"/>
        <v>0.18727799999999997</v>
      </c>
      <c r="AK100" s="360">
        <f t="shared" si="103"/>
        <v>0.22804899151735064</v>
      </c>
      <c r="AL100" s="360">
        <f t="shared" si="104"/>
        <v>0.18727799999999997</v>
      </c>
      <c r="AM100" s="360">
        <f t="shared" si="105"/>
        <v>2.4078599999999994</v>
      </c>
      <c r="AN100" s="360">
        <f t="shared" si="106"/>
        <v>0.20760191953771703</v>
      </c>
      <c r="AO100" s="360">
        <f t="shared" si="107"/>
        <v>7.3499999999999998E-4</v>
      </c>
      <c r="AP100" s="360">
        <f t="shared" si="108"/>
        <v>0.34650000000000003</v>
      </c>
      <c r="AQ100" s="360">
        <f t="shared" si="109"/>
        <v>1.3167</v>
      </c>
      <c r="AR100" s="360">
        <f t="shared" si="110"/>
        <v>1.1088</v>
      </c>
      <c r="AS100" s="360">
        <f t="shared" si="133"/>
        <v>0.34723500000000002</v>
      </c>
      <c r="AT100" s="360">
        <f t="shared" si="111"/>
        <v>4.7380881114432265</v>
      </c>
      <c r="AU100">
        <f t="shared" si="112"/>
        <v>22.75</v>
      </c>
      <c r="AV100" s="542">
        <f t="shared" si="127"/>
        <v>0.82763122366918018</v>
      </c>
      <c r="AW100" s="551">
        <f t="shared" si="113"/>
        <v>130.82891087570229</v>
      </c>
      <c r="AX100" s="551">
        <f t="shared" si="114"/>
        <v>38.860426077659326</v>
      </c>
      <c r="AY100" s="9"/>
      <c r="AZ100" s="4">
        <f t="shared" si="128"/>
        <v>82.763122366918012</v>
      </c>
      <c r="BA100" s="360">
        <f t="shared" si="115"/>
        <v>0.32876337975166148</v>
      </c>
      <c r="BB100" s="360">
        <f t="shared" si="129"/>
        <v>3.6632996090313963</v>
      </c>
      <c r="BC100" s="360">
        <f t="shared" si="130"/>
        <v>2.616578217514046</v>
      </c>
      <c r="BD100" s="360">
        <f t="shared" si="131"/>
        <v>1.0226427915173506</v>
      </c>
      <c r="BE100" s="360">
        <f t="shared" si="132"/>
        <v>0.20760191953771703</v>
      </c>
      <c r="BK100" s="18"/>
      <c r="BL100" s="19"/>
    </row>
    <row r="101" spans="7:64" x14ac:dyDescent="0.2">
      <c r="G101">
        <v>92</v>
      </c>
      <c r="H101" s="548">
        <f t="shared" si="85"/>
        <v>21</v>
      </c>
      <c r="I101" s="4">
        <f t="shared" si="86"/>
        <v>1</v>
      </c>
      <c r="J101" s="360">
        <f t="shared" si="116"/>
        <v>4.5999999999999996</v>
      </c>
      <c r="K101" s="360">
        <f t="shared" si="87"/>
        <v>4.5999999999999996</v>
      </c>
      <c r="L101" s="4">
        <f t="shared" si="88"/>
        <v>1.2169312169312168</v>
      </c>
      <c r="M101" s="360">
        <f t="shared" si="89"/>
        <v>0.24078621391447416</v>
      </c>
      <c r="N101" s="4">
        <f t="shared" si="90"/>
        <v>0.8321295326275191</v>
      </c>
      <c r="O101" s="4">
        <f t="shared" si="117"/>
        <v>5.0160647663137592</v>
      </c>
      <c r="P101" s="4">
        <f t="shared" si="118"/>
        <v>4.1839352336862401</v>
      </c>
      <c r="Q101" s="4">
        <f t="shared" si="91"/>
        <v>0</v>
      </c>
      <c r="R101" s="4">
        <f t="shared" si="119"/>
        <v>4.6062678272750528</v>
      </c>
      <c r="S101" s="360">
        <f t="shared" si="92"/>
        <v>2.8643899450395468E-2</v>
      </c>
      <c r="T101" s="360">
        <f t="shared" si="93"/>
        <v>0.3</v>
      </c>
      <c r="U101" s="360">
        <f t="shared" si="94"/>
        <v>0.32939872055685299</v>
      </c>
      <c r="V101" s="4">
        <f t="shared" si="120"/>
        <v>0.24021510483156783</v>
      </c>
      <c r="W101" s="360">
        <f t="shared" si="121"/>
        <v>1.1540659317848224E-4</v>
      </c>
      <c r="X101" s="360">
        <f t="shared" si="122"/>
        <v>1.1540659317848224E-4</v>
      </c>
      <c r="Y101" s="4">
        <f t="shared" si="123"/>
        <v>1.9694594247669861</v>
      </c>
      <c r="Z101" s="360">
        <f t="shared" si="124"/>
        <v>3.878770425803508E-3</v>
      </c>
      <c r="AA101" s="541">
        <f t="shared" si="125"/>
        <v>3.878770425803508E-3</v>
      </c>
      <c r="AB101" s="360">
        <f t="shared" si="126"/>
        <v>2.2602943270172537</v>
      </c>
      <c r="AC101" s="360">
        <f t="shared" si="95"/>
        <v>3.0653582668478282E-2</v>
      </c>
      <c r="AD101" s="360">
        <f t="shared" si="96"/>
        <v>0.36071574369395593</v>
      </c>
      <c r="AE101" s="360">
        <f t="shared" si="97"/>
        <v>0.63444464999999983</v>
      </c>
      <c r="AF101" s="360">
        <f t="shared" si="98"/>
        <v>0</v>
      </c>
      <c r="AG101" s="360">
        <f t="shared" si="99"/>
        <v>1.032141744822535</v>
      </c>
      <c r="AH101" s="360">
        <f t="shared" si="100"/>
        <v>4.0135735762338847</v>
      </c>
      <c r="AI101" s="360">
        <f t="shared" si="101"/>
        <v>4.0271932129607134E-2</v>
      </c>
      <c r="AJ101" s="360">
        <f t="shared" si="102"/>
        <v>0.18933599999999998</v>
      </c>
      <c r="AK101" s="360">
        <f t="shared" si="103"/>
        <v>0.23102209546425145</v>
      </c>
      <c r="AL101" s="360">
        <f t="shared" si="104"/>
        <v>0.18933599999999998</v>
      </c>
      <c r="AM101" s="360">
        <f t="shared" si="105"/>
        <v>2.4343199999999992</v>
      </c>
      <c r="AN101" s="360">
        <f t="shared" si="106"/>
        <v>0.21217703296589235</v>
      </c>
      <c r="AO101" s="360">
        <f t="shared" si="107"/>
        <v>7.3499999999999998E-4</v>
      </c>
      <c r="AP101" s="360">
        <f t="shared" si="108"/>
        <v>0.34650000000000003</v>
      </c>
      <c r="AQ101" s="360">
        <f t="shared" si="109"/>
        <v>1.3167</v>
      </c>
      <c r="AR101" s="360">
        <f t="shared" si="110"/>
        <v>1.1088</v>
      </c>
      <c r="AS101" s="360">
        <f t="shared" si="133"/>
        <v>0.34723500000000002</v>
      </c>
      <c r="AT101" s="360">
        <f t="shared" si="111"/>
        <v>4.779624770828514</v>
      </c>
      <c r="AU101">
        <f t="shared" si="112"/>
        <v>23</v>
      </c>
      <c r="AV101" s="542">
        <f t="shared" si="127"/>
        <v>0.82794494849161482</v>
      </c>
      <c r="AW101" s="551">
        <f t="shared" si="113"/>
        <v>131.93964724112672</v>
      </c>
      <c r="AX101" s="551">
        <f t="shared" si="114"/>
        <v>39.305212427641543</v>
      </c>
      <c r="AY101" s="9"/>
      <c r="AZ101" s="4">
        <f t="shared" si="128"/>
        <v>82.794494849161481</v>
      </c>
      <c r="BA101" s="360">
        <f t="shared" si="115"/>
        <v>0.32939872055685299</v>
      </c>
      <c r="BB101" s="360">
        <f t="shared" si="129"/>
        <v>3.6974838402867856</v>
      </c>
      <c r="BC101" s="360">
        <f t="shared" si="130"/>
        <v>2.6387929448225345</v>
      </c>
      <c r="BD101" s="360">
        <f t="shared" si="131"/>
        <v>1.0343476954642512</v>
      </c>
      <c r="BE101" s="360">
        <f t="shared" si="132"/>
        <v>0.21217703296589235</v>
      </c>
      <c r="BK101" s="18"/>
      <c r="BL101" s="19"/>
    </row>
    <row r="102" spans="7:64" x14ac:dyDescent="0.2">
      <c r="G102">
        <v>93</v>
      </c>
      <c r="H102" s="548">
        <f t="shared" si="85"/>
        <v>21</v>
      </c>
      <c r="I102" s="4">
        <f t="shared" si="86"/>
        <v>1</v>
      </c>
      <c r="J102" s="360">
        <f t="shared" si="116"/>
        <v>4.6500000000000004</v>
      </c>
      <c r="K102" s="360">
        <f t="shared" si="87"/>
        <v>4.6500000000000004</v>
      </c>
      <c r="L102" s="4">
        <f t="shared" si="88"/>
        <v>1.23015873015873</v>
      </c>
      <c r="M102" s="360">
        <f t="shared" si="89"/>
        <v>0.2408154216134159</v>
      </c>
      <c r="N102" s="4">
        <f t="shared" si="90"/>
        <v>0.83221131531222126</v>
      </c>
      <c r="O102" s="4">
        <f t="shared" si="117"/>
        <v>5.0661056576561112</v>
      </c>
      <c r="P102" s="4">
        <f t="shared" si="118"/>
        <v>4.2338943423438895</v>
      </c>
      <c r="Q102" s="4">
        <f t="shared" si="91"/>
        <v>0</v>
      </c>
      <c r="R102" s="4">
        <f t="shared" si="119"/>
        <v>4.6562017395560167</v>
      </c>
      <c r="S102" s="360">
        <f t="shared" si="92"/>
        <v>2.9268289763250042E-2</v>
      </c>
      <c r="T102" s="360">
        <f t="shared" si="93"/>
        <v>0.3</v>
      </c>
      <c r="U102" s="360">
        <f t="shared" si="94"/>
        <v>0.33004106877402206</v>
      </c>
      <c r="V102" s="4">
        <f t="shared" si="120"/>
        <v>0.24023871345908174</v>
      </c>
      <c r="W102" s="360">
        <f t="shared" si="121"/>
        <v>1.1542927888894957E-4</v>
      </c>
      <c r="X102" s="360">
        <f t="shared" si="122"/>
        <v>1.1542927888894957E-4</v>
      </c>
      <c r="Y102" s="4">
        <f t="shared" si="123"/>
        <v>1.9908916502168614</v>
      </c>
      <c r="Z102" s="360">
        <f t="shared" si="124"/>
        <v>3.9636495629032176E-3</v>
      </c>
      <c r="AA102" s="541">
        <f t="shared" si="125"/>
        <v>3.9636495629032176E-3</v>
      </c>
      <c r="AB102" s="360">
        <f t="shared" si="126"/>
        <v>2.284935454026475</v>
      </c>
      <c r="AC102" s="360">
        <f t="shared" si="95"/>
        <v>3.1325580174403039E-2</v>
      </c>
      <c r="AD102" s="360">
        <f t="shared" si="96"/>
        <v>0.36463656699497721</v>
      </c>
      <c r="AE102" s="360">
        <f t="shared" si="97"/>
        <v>0.63444464999999983</v>
      </c>
      <c r="AF102" s="360">
        <f t="shared" si="98"/>
        <v>0</v>
      </c>
      <c r="AG102" s="360">
        <f t="shared" si="99"/>
        <v>1.0369031155049477</v>
      </c>
      <c r="AH102" s="360">
        <f t="shared" si="100"/>
        <v>4.0570043887549962</v>
      </c>
      <c r="AI102" s="360">
        <f t="shared" si="101"/>
        <v>4.1148211525943251E-2</v>
      </c>
      <c r="AJ102" s="360">
        <f t="shared" si="102"/>
        <v>0.19139399999999998</v>
      </c>
      <c r="AK102" s="360">
        <f t="shared" si="103"/>
        <v>0.23400580743627164</v>
      </c>
      <c r="AL102" s="360">
        <f t="shared" si="104"/>
        <v>0.19139399999999998</v>
      </c>
      <c r="AM102" s="360">
        <f t="shared" si="105"/>
        <v>2.4607799999999997</v>
      </c>
      <c r="AN102" s="360">
        <f t="shared" si="106"/>
        <v>0.21680214639444476</v>
      </c>
      <c r="AO102" s="360">
        <f t="shared" si="107"/>
        <v>7.3499999999999998E-4</v>
      </c>
      <c r="AP102" s="360">
        <f t="shared" si="108"/>
        <v>0.34650000000000003</v>
      </c>
      <c r="AQ102" s="360">
        <f t="shared" si="109"/>
        <v>1.3167</v>
      </c>
      <c r="AR102" s="360">
        <f t="shared" si="110"/>
        <v>1.1088</v>
      </c>
      <c r="AS102" s="360">
        <f t="shared" si="133"/>
        <v>0.34723500000000002</v>
      </c>
      <c r="AT102" s="360">
        <f t="shared" si="111"/>
        <v>4.8212402169514785</v>
      </c>
      <c r="AU102">
        <f t="shared" si="112"/>
        <v>23.25</v>
      </c>
      <c r="AV102" s="542">
        <f t="shared" si="127"/>
        <v>0.82824983222365567</v>
      </c>
      <c r="AW102" s="551">
        <f t="shared" si="113"/>
        <v>133.05089577524737</v>
      </c>
      <c r="AX102" s="551">
        <f t="shared" si="114"/>
        <v>39.750401882578316</v>
      </c>
      <c r="AY102" s="9"/>
      <c r="AZ102" s="4">
        <f t="shared" si="128"/>
        <v>82.82498322236556</v>
      </c>
      <c r="BA102" s="360">
        <f t="shared" si="115"/>
        <v>0.33004106877402206</v>
      </c>
      <c r="BB102" s="360">
        <f t="shared" si="129"/>
        <v>3.7316889229412191</v>
      </c>
      <c r="BC102" s="360">
        <f t="shared" si="130"/>
        <v>2.6610179155049476</v>
      </c>
      <c r="BD102" s="360">
        <f t="shared" si="131"/>
        <v>1.0460632074362715</v>
      </c>
      <c r="BE102" s="360">
        <f t="shared" si="132"/>
        <v>0.21680214639444476</v>
      </c>
      <c r="BK102" s="18"/>
      <c r="BL102" s="19"/>
    </row>
    <row r="103" spans="7:64" x14ac:dyDescent="0.2">
      <c r="G103">
        <v>94</v>
      </c>
      <c r="H103" s="548">
        <f t="shared" si="85"/>
        <v>21</v>
      </c>
      <c r="I103" s="4">
        <f t="shared" si="86"/>
        <v>1</v>
      </c>
      <c r="J103" s="360">
        <f t="shared" si="116"/>
        <v>4.7</v>
      </c>
      <c r="K103" s="360">
        <f t="shared" si="87"/>
        <v>4.7</v>
      </c>
      <c r="L103" s="4">
        <f t="shared" si="88"/>
        <v>1.2433862433862433</v>
      </c>
      <c r="M103" s="360">
        <f t="shared" si="89"/>
        <v>0.24084462840962315</v>
      </c>
      <c r="N103" s="4">
        <f t="shared" si="90"/>
        <v>0.83229309023064058</v>
      </c>
      <c r="O103" s="4">
        <f t="shared" si="117"/>
        <v>5.1161465451153205</v>
      </c>
      <c r="P103" s="4">
        <f t="shared" si="118"/>
        <v>4.2838534548846798</v>
      </c>
      <c r="Q103" s="4">
        <f t="shared" si="91"/>
        <v>0</v>
      </c>
      <c r="R103" s="4">
        <f t="shared" si="119"/>
        <v>4.7061370552011281</v>
      </c>
      <c r="S103" s="360">
        <f t="shared" si="92"/>
        <v>2.9899430076155149E-2</v>
      </c>
      <c r="T103" s="360">
        <f t="shared" si="93"/>
        <v>0.3</v>
      </c>
      <c r="U103" s="360">
        <f t="shared" si="94"/>
        <v>0.3306904264988717</v>
      </c>
      <c r="V103" s="4">
        <f t="shared" si="120"/>
        <v>0.24026231984466292</v>
      </c>
      <c r="W103" s="360">
        <f t="shared" si="121"/>
        <v>1.1545196467427822E-4</v>
      </c>
      <c r="X103" s="360">
        <f t="shared" si="122"/>
        <v>1.1545196467427822E-4</v>
      </c>
      <c r="Y103" s="4">
        <f t="shared" si="123"/>
        <v>2.012326228600068</v>
      </c>
      <c r="Z103" s="360">
        <f t="shared" si="124"/>
        <v>4.0494568503117731E-3</v>
      </c>
      <c r="AA103" s="541">
        <f t="shared" si="125"/>
        <v>4.0494568503117731E-3</v>
      </c>
      <c r="AB103" s="360">
        <f t="shared" si="126"/>
        <v>2.3095802290317056</v>
      </c>
      <c r="AC103" s="360">
        <f t="shared" si="95"/>
        <v>3.2004965006004873E-2</v>
      </c>
      <c r="AD103" s="360">
        <f t="shared" si="96"/>
        <v>0.36855739029599843</v>
      </c>
      <c r="AE103" s="360">
        <f t="shared" si="97"/>
        <v>0.63444464999999983</v>
      </c>
      <c r="AF103" s="360">
        <f t="shared" si="98"/>
        <v>0</v>
      </c>
      <c r="AG103" s="360">
        <f t="shared" si="99"/>
        <v>1.0416747581383745</v>
      </c>
      <c r="AH103" s="360">
        <f t="shared" si="100"/>
        <v>4.1004347510968886</v>
      </c>
      <c r="AI103" s="360">
        <f t="shared" si="101"/>
        <v>4.203391287000751E-2</v>
      </c>
      <c r="AJ103" s="360">
        <f t="shared" si="102"/>
        <v>0.19345199999999999</v>
      </c>
      <c r="AK103" s="360">
        <f t="shared" si="103"/>
        <v>0.2370001434638494</v>
      </c>
      <c r="AL103" s="360">
        <f t="shared" si="104"/>
        <v>0.19345199999999999</v>
      </c>
      <c r="AM103" s="360">
        <f t="shared" si="105"/>
        <v>2.4872399999999999</v>
      </c>
      <c r="AN103" s="360">
        <f t="shared" si="106"/>
        <v>0.22147725982337146</v>
      </c>
      <c r="AO103" s="360">
        <f t="shared" si="107"/>
        <v>7.3499999999999998E-4</v>
      </c>
      <c r="AP103" s="360">
        <f t="shared" si="108"/>
        <v>0.34650000000000003</v>
      </c>
      <c r="AQ103" s="360">
        <f t="shared" si="109"/>
        <v>1.3167</v>
      </c>
      <c r="AR103" s="360">
        <f t="shared" si="110"/>
        <v>1.1088</v>
      </c>
      <c r="AS103" s="360">
        <f t="shared" si="133"/>
        <v>0.34723500000000002</v>
      </c>
      <c r="AT103" s="360">
        <f t="shared" si="111"/>
        <v>4.8629344967394532</v>
      </c>
      <c r="AU103">
        <f t="shared" si="112"/>
        <v>23.5</v>
      </c>
      <c r="AV103" s="542">
        <f t="shared" si="127"/>
        <v>0.82854614365454726</v>
      </c>
      <c r="AW103" s="551">
        <f t="shared" si="113"/>
        <v>134.16265790691872</v>
      </c>
      <c r="AX103" s="551">
        <f t="shared" si="114"/>
        <v>40.195995051626277</v>
      </c>
      <c r="AY103" s="9"/>
      <c r="AZ103" s="4">
        <f t="shared" si="128"/>
        <v>82.854614365454722</v>
      </c>
      <c r="BA103" s="360">
        <f t="shared" si="115"/>
        <v>0.3306904264988717</v>
      </c>
      <c r="BB103" s="360">
        <f t="shared" si="129"/>
        <v>3.7659149016022235</v>
      </c>
      <c r="BC103" s="360">
        <f t="shared" si="130"/>
        <v>2.6832531581383745</v>
      </c>
      <c r="BD103" s="360">
        <f t="shared" si="131"/>
        <v>1.0577893434638495</v>
      </c>
      <c r="BE103" s="360">
        <f t="shared" si="132"/>
        <v>0.22147725982337146</v>
      </c>
      <c r="BK103" s="18"/>
      <c r="BL103" s="19"/>
    </row>
    <row r="104" spans="7:64" x14ac:dyDescent="0.2">
      <c r="G104">
        <v>95</v>
      </c>
      <c r="H104" s="548">
        <f t="shared" si="85"/>
        <v>21</v>
      </c>
      <c r="I104" s="4">
        <f t="shared" si="86"/>
        <v>1</v>
      </c>
      <c r="J104" s="360">
        <f t="shared" si="116"/>
        <v>4.75</v>
      </c>
      <c r="K104" s="360">
        <f t="shared" si="87"/>
        <v>4.75</v>
      </c>
      <c r="L104" s="4">
        <f t="shared" si="88"/>
        <v>1.2566137566137565</v>
      </c>
      <c r="M104" s="360">
        <f t="shared" si="89"/>
        <v>0.24087383430313763</v>
      </c>
      <c r="N104" s="4">
        <f t="shared" si="90"/>
        <v>0.8323748573831371</v>
      </c>
      <c r="O104" s="4">
        <f t="shared" si="117"/>
        <v>5.1661874286915683</v>
      </c>
      <c r="P104" s="4">
        <f t="shared" si="118"/>
        <v>4.3338125713084317</v>
      </c>
      <c r="Q104" s="4">
        <f t="shared" si="91"/>
        <v>0</v>
      </c>
      <c r="R104" s="4">
        <f t="shared" si="119"/>
        <v>4.7560737300074489</v>
      </c>
      <c r="S104" s="360">
        <f t="shared" si="92"/>
        <v>3.0537320389110407E-2</v>
      </c>
      <c r="T104" s="360">
        <f t="shared" si="93"/>
        <v>0.3</v>
      </c>
      <c r="U104" s="360">
        <f t="shared" si="94"/>
        <v>0.33134679585029325</v>
      </c>
      <c r="V104" s="4">
        <f t="shared" si="120"/>
        <v>0.24028592398841531</v>
      </c>
      <c r="W104" s="360">
        <f t="shared" si="121"/>
        <v>1.15474650533933E-4</v>
      </c>
      <c r="X104" s="360">
        <f t="shared" si="122"/>
        <v>1.15474650533933E-4</v>
      </c>
      <c r="Y104" s="4">
        <f t="shared" si="123"/>
        <v>2.0337631406016077</v>
      </c>
      <c r="Z104" s="360">
        <f t="shared" si="124"/>
        <v>4.1361925120697151E-3</v>
      </c>
      <c r="AA104" s="541">
        <f t="shared" si="125"/>
        <v>4.1361925120697151E-3</v>
      </c>
      <c r="AB104" s="360">
        <f t="shared" si="126"/>
        <v>2.3342286300583335</v>
      </c>
      <c r="AC104" s="360">
        <f t="shared" si="95"/>
        <v>3.2691739784304022E-2</v>
      </c>
      <c r="AD104" s="360">
        <f t="shared" si="96"/>
        <v>0.37247821359701971</v>
      </c>
      <c r="AE104" s="360">
        <f t="shared" si="97"/>
        <v>0.63444464999999983</v>
      </c>
      <c r="AF104" s="360">
        <f t="shared" si="98"/>
        <v>0</v>
      </c>
      <c r="AG104" s="360">
        <f t="shared" si="99"/>
        <v>1.0464567014169766</v>
      </c>
      <c r="AH104" s="360">
        <f t="shared" si="100"/>
        <v>4.1438646247051754</v>
      </c>
      <c r="AI104" s="360">
        <f t="shared" si="101"/>
        <v>4.2929035069707411E-2</v>
      </c>
      <c r="AJ104" s="360">
        <f t="shared" si="102"/>
        <v>0.19550999999999999</v>
      </c>
      <c r="AK104" s="360">
        <f t="shared" si="103"/>
        <v>0.24000511967602858</v>
      </c>
      <c r="AL104" s="360">
        <f t="shared" si="104"/>
        <v>0.19550999999999999</v>
      </c>
      <c r="AM104" s="360">
        <f t="shared" si="105"/>
        <v>2.5136999999999996</v>
      </c>
      <c r="AN104" s="360">
        <f t="shared" si="106"/>
        <v>0.22620237325266968</v>
      </c>
      <c r="AO104" s="360">
        <f t="shared" si="107"/>
        <v>7.3499999999999998E-4</v>
      </c>
      <c r="AP104" s="360">
        <f t="shared" si="108"/>
        <v>0.34650000000000003</v>
      </c>
      <c r="AQ104" s="360">
        <f t="shared" si="109"/>
        <v>1.3167</v>
      </c>
      <c r="AR104" s="360">
        <f t="shared" si="110"/>
        <v>1.1088</v>
      </c>
      <c r="AS104" s="360">
        <f t="shared" si="133"/>
        <v>0.34723500000000002</v>
      </c>
      <c r="AT104" s="360">
        <f t="shared" si="111"/>
        <v>4.9047076573585713</v>
      </c>
      <c r="AU104">
        <f t="shared" si="112"/>
        <v>23.75</v>
      </c>
      <c r="AV104" s="542">
        <f t="shared" si="127"/>
        <v>0.82883414076293904</v>
      </c>
      <c r="AW104" s="551">
        <f t="shared" si="113"/>
        <v>135.27493507084881</v>
      </c>
      <c r="AX104" s="551">
        <f t="shared" si="114"/>
        <v>40.641992547689085</v>
      </c>
      <c r="AY104" s="9"/>
      <c r="AZ104" s="4">
        <f t="shared" si="128"/>
        <v>82.883414076293903</v>
      </c>
      <c r="BA104" s="360">
        <f t="shared" si="115"/>
        <v>0.33134679585029325</v>
      </c>
      <c r="BB104" s="360">
        <f t="shared" si="129"/>
        <v>3.8001618210930048</v>
      </c>
      <c r="BC104" s="360">
        <f t="shared" si="130"/>
        <v>2.7054987014169765</v>
      </c>
      <c r="BD104" s="360">
        <f t="shared" si="131"/>
        <v>1.0695261196760286</v>
      </c>
      <c r="BE104" s="360">
        <f t="shared" si="132"/>
        <v>0.22620237325266968</v>
      </c>
      <c r="BK104" s="18"/>
      <c r="BL104" s="19"/>
    </row>
    <row r="105" spans="7:64" x14ac:dyDescent="0.2">
      <c r="G105">
        <v>96</v>
      </c>
      <c r="H105" s="548">
        <f t="shared" si="85"/>
        <v>21</v>
      </c>
      <c r="I105" s="4">
        <f t="shared" si="86"/>
        <v>1</v>
      </c>
      <c r="J105" s="360">
        <f t="shared" si="116"/>
        <v>4.8</v>
      </c>
      <c r="K105" s="360">
        <f t="shared" si="87"/>
        <v>4.8</v>
      </c>
      <c r="L105" s="4">
        <f t="shared" ref="L105:L109" si="134">Vout*K105/(Vin*Efficiency)</f>
        <v>1.2698412698412698</v>
      </c>
      <c r="M105" s="360">
        <f t="shared" si="89"/>
        <v>0.24090303929400134</v>
      </c>
      <c r="N105" s="4">
        <f t="shared" ref="N105:N109" si="135">(Vin-(Rdson1+Rdcr)*K105-Vout)*M105/(Fsw*Lf)</f>
        <v>0.83245661677007121</v>
      </c>
      <c r="O105" s="4">
        <f t="shared" si="117"/>
        <v>5.2162283083850358</v>
      </c>
      <c r="P105" s="4">
        <f t="shared" si="118"/>
        <v>4.3837716916149638</v>
      </c>
      <c r="Q105" s="4">
        <f t="shared" ref="Q105:Q109" si="136">IF(MIN(Vin, -P105/(Coss_Q1+Coss_Q2)*0.00000002)&lt;0, 0, MIN(Vin, -P105/(Coss_Q1+Coss_Q2)*0.00000002))</f>
        <v>0</v>
      </c>
      <c r="R105" s="4">
        <f t="shared" si="119"/>
        <v>4.8060117216080203</v>
      </c>
      <c r="S105" s="360">
        <f t="shared" ref="S105:S109" si="137">R105^2*Rdcr</f>
        <v>3.1181960702115482E-2</v>
      </c>
      <c r="T105" s="360">
        <f t="shared" si="93"/>
        <v>0.3</v>
      </c>
      <c r="U105" s="360">
        <f t="shared" ref="U105:U109" si="138">(T105+S105*(1+Ltc*(Ta-25)))/(1-S105*Ltc*ThetaCa)</f>
        <v>0.33201017897038404</v>
      </c>
      <c r="V105" s="4">
        <f t="shared" si="120"/>
        <v>0.24030952589044288</v>
      </c>
      <c r="W105" s="360">
        <f t="shared" si="121"/>
        <v>1.1549733646737888E-4</v>
      </c>
      <c r="X105" s="360">
        <f t="shared" si="122"/>
        <v>1.1549733646737888E-4</v>
      </c>
      <c r="Y105" s="4">
        <f t="shared" si="123"/>
        <v>2.055202367688572</v>
      </c>
      <c r="Z105" s="360">
        <f t="shared" si="124"/>
        <v>4.2238567721527122E-3</v>
      </c>
      <c r="AA105" s="541">
        <f t="shared" si="125"/>
        <v>4.2238567721527122E-3</v>
      </c>
      <c r="AB105" s="360">
        <f t="shared" si="126"/>
        <v>2.3588806360277044</v>
      </c>
      <c r="AC105" s="360">
        <f t="shared" ref="AC105:AC109" si="139">Rdson1*AB105^2</f>
        <v>3.3385907130158807E-2</v>
      </c>
      <c r="AD105" s="360">
        <f t="shared" si="96"/>
        <v>0.376399036898041</v>
      </c>
      <c r="AE105" s="360">
        <f t="shared" si="97"/>
        <v>0.63444464999999983</v>
      </c>
      <c r="AF105" s="360">
        <f t="shared" si="98"/>
        <v>0</v>
      </c>
      <c r="AG105" s="360">
        <f t="shared" ref="AG105:AG109" si="140">(AF105+AE105+AD105+AC105*(1+RdsonTopTc*Ta-RdsonTopTc*25))/(1-AC105*RdsonTopTc*ThetaJA_Q1)</f>
        <v>1.0512489741525459</v>
      </c>
      <c r="AH105" s="360">
        <f t="shared" si="100"/>
        <v>4.1872939726280531</v>
      </c>
      <c r="AI105" s="360">
        <f t="shared" ref="AI105:AI109" si="141">Rdson2*AH105^2</f>
        <v>4.3833577033018052E-2</v>
      </c>
      <c r="AJ105" s="360">
        <f t="shared" si="102"/>
        <v>0.19756799999999997</v>
      </c>
      <c r="AK105" s="360">
        <f t="shared" ref="AK105:AK109" si="142">(AJ105+AI105*(1+RdsonBotTc*Ta-RdsonBotTc*25))/(1-AI105*RdsonBotTc*ThetaJA_Q2)</f>
        <v>0.24302075230074069</v>
      </c>
      <c r="AL105" s="360">
        <f t="shared" si="104"/>
        <v>0.19756799999999997</v>
      </c>
      <c r="AM105" s="360">
        <f t="shared" si="105"/>
        <v>2.5401599999999998</v>
      </c>
      <c r="AN105" s="360">
        <f t="shared" si="106"/>
        <v>0.23097748668233689</v>
      </c>
      <c r="AO105" s="360">
        <f t="shared" si="107"/>
        <v>7.3499999999999998E-4</v>
      </c>
      <c r="AP105" s="360">
        <f t="shared" si="108"/>
        <v>0.34650000000000003</v>
      </c>
      <c r="AQ105" s="360">
        <f t="shared" si="109"/>
        <v>1.3167</v>
      </c>
      <c r="AR105" s="360">
        <f t="shared" si="110"/>
        <v>1.1088</v>
      </c>
      <c r="AS105" s="360">
        <f t="shared" si="133"/>
        <v>0.34723500000000002</v>
      </c>
      <c r="AT105" s="360">
        <f t="shared" ref="AT105:AT109" si="143" xml:space="preserve"> SUM(U105,X105,AA105,AG105,AK105,AL105,AM105,AS105,AN105)</f>
        <v>4.9465597462146285</v>
      </c>
      <c r="AU105">
        <f t="shared" si="112"/>
        <v>24</v>
      </c>
      <c r="AV105" s="542">
        <f t="shared" si="127"/>
        <v>0.82911407125465075</v>
      </c>
      <c r="AW105" s="551">
        <f t="shared" si="113"/>
        <v>136.3877287076273</v>
      </c>
      <c r="AX105" s="551">
        <f t="shared" si="114"/>
        <v>41.088394987428146</v>
      </c>
      <c r="AY105" s="9"/>
      <c r="AZ105" s="4">
        <f t="shared" si="128"/>
        <v>82.911407125465075</v>
      </c>
      <c r="BA105" s="360">
        <f t="shared" si="115"/>
        <v>0.33201017897038404</v>
      </c>
      <c r="BB105" s="360">
        <f t="shared" si="129"/>
        <v>3.8344297264532861</v>
      </c>
      <c r="BC105" s="360">
        <f t="shared" si="130"/>
        <v>2.727754574152546</v>
      </c>
      <c r="BD105" s="360">
        <f t="shared" si="131"/>
        <v>1.0812735523007406</v>
      </c>
      <c r="BE105" s="360">
        <f t="shared" si="132"/>
        <v>0.23097748668233689</v>
      </c>
      <c r="BK105" s="18"/>
      <c r="BL105" s="19"/>
    </row>
    <row r="106" spans="7:64" x14ac:dyDescent="0.2">
      <c r="G106">
        <v>97</v>
      </c>
      <c r="H106" s="548">
        <f t="shared" si="85"/>
        <v>21</v>
      </c>
      <c r="I106" s="4">
        <f t="shared" si="86"/>
        <v>1</v>
      </c>
      <c r="J106" s="360">
        <f t="shared" si="116"/>
        <v>4.8499999999999996</v>
      </c>
      <c r="K106" s="360">
        <f t="shared" si="87"/>
        <v>4.8499999999999996</v>
      </c>
      <c r="L106" s="4">
        <f t="shared" si="134"/>
        <v>1.283068783068783</v>
      </c>
      <c r="M106" s="360">
        <f t="shared" si="89"/>
        <v>0.24093224338225594</v>
      </c>
      <c r="N106" s="4">
        <f t="shared" si="135"/>
        <v>0.83253836839180217</v>
      </c>
      <c r="O106" s="4">
        <f t="shared" si="117"/>
        <v>5.2662691841959006</v>
      </c>
      <c r="P106" s="4">
        <f t="shared" si="118"/>
        <v>4.4337308158040987</v>
      </c>
      <c r="Q106" s="4">
        <f t="shared" si="136"/>
        <v>0</v>
      </c>
      <c r="R106" s="4">
        <f t="shared" si="119"/>
        <v>4.8559509893775736</v>
      </c>
      <c r="S106" s="360">
        <f t="shared" si="137"/>
        <v>3.183335101517E-2</v>
      </c>
      <c r="T106" s="360">
        <f t="shared" si="93"/>
        <v>0.3</v>
      </c>
      <c r="U106" s="360">
        <f t="shared" si="138"/>
        <v>0.3326805780244646</v>
      </c>
      <c r="V106" s="4">
        <f t="shared" si="120"/>
        <v>0.24033312555084943</v>
      </c>
      <c r="W106" s="360">
        <f t="shared" si="121"/>
        <v>1.1552002247408071E-4</v>
      </c>
      <c r="X106" s="360">
        <f t="shared" si="122"/>
        <v>1.1552002247408071E-4</v>
      </c>
      <c r="Y106" s="4">
        <f t="shared" si="123"/>
        <v>2.0766438920699817</v>
      </c>
      <c r="Z106" s="360">
        <f t="shared" si="124"/>
        <v>4.3124498544715624E-3</v>
      </c>
      <c r="AA106" s="541">
        <f t="shared" si="125"/>
        <v>4.3124498544715624E-3</v>
      </c>
      <c r="AB106" s="360">
        <f t="shared" si="126"/>
        <v>2.3835362267111107</v>
      </c>
      <c r="AC106" s="360">
        <f t="shared" si="139"/>
        <v>3.4087469664265437E-2</v>
      </c>
      <c r="AD106" s="360">
        <f t="shared" si="96"/>
        <v>0.38031986019906222</v>
      </c>
      <c r="AE106" s="360">
        <f t="shared" si="97"/>
        <v>0.63444464999999983</v>
      </c>
      <c r="AF106" s="360">
        <f t="shared" si="98"/>
        <v>0</v>
      </c>
      <c r="AG106" s="360">
        <f t="shared" si="140"/>
        <v>1.0560516052750701</v>
      </c>
      <c r="AH106" s="360">
        <f t="shared" si="100"/>
        <v>4.2307227594339949</v>
      </c>
      <c r="AI106" s="360">
        <f t="shared" si="141"/>
        <v>4.4747537667981993E-2</v>
      </c>
      <c r="AJ106" s="360">
        <f t="shared" si="102"/>
        <v>0.19962599999999997</v>
      </c>
      <c r="AK106" s="360">
        <f t="shared" si="142"/>
        <v>0.24604705766508861</v>
      </c>
      <c r="AL106" s="360">
        <f t="shared" si="104"/>
        <v>0.19962599999999997</v>
      </c>
      <c r="AM106" s="360">
        <f t="shared" si="105"/>
        <v>2.5666199999999995</v>
      </c>
      <c r="AN106" s="360">
        <f t="shared" si="106"/>
        <v>0.23580260011237036</v>
      </c>
      <c r="AO106" s="360">
        <f t="shared" si="107"/>
        <v>7.3499999999999998E-4</v>
      </c>
      <c r="AP106" s="360">
        <f t="shared" si="108"/>
        <v>0.34650000000000003</v>
      </c>
      <c r="AQ106" s="360">
        <f t="shared" si="109"/>
        <v>1.3167</v>
      </c>
      <c r="AR106" s="360">
        <f t="shared" si="110"/>
        <v>1.1088</v>
      </c>
      <c r="AS106" s="360">
        <f t="shared" si="133"/>
        <v>0.34723500000000002</v>
      </c>
      <c r="AT106" s="360">
        <f t="shared" si="143"/>
        <v>4.9884908109539383</v>
      </c>
      <c r="AU106">
        <f t="shared" si="112"/>
        <v>24.25</v>
      </c>
      <c r="AV106" s="542">
        <f t="shared" si="127"/>
        <v>0.82938617306865081</v>
      </c>
      <c r="AW106" s="551">
        <f t="shared" si="113"/>
        <v>137.50104026375348</v>
      </c>
      <c r="AX106" s="551">
        <f t="shared" si="114"/>
        <v>41.535202991273366</v>
      </c>
      <c r="AY106" s="9"/>
      <c r="AZ106" s="4">
        <f t="shared" si="128"/>
        <v>82.938617306865083</v>
      </c>
      <c r="BA106" s="360">
        <f t="shared" si="115"/>
        <v>0.3326805780244646</v>
      </c>
      <c r="BB106" s="360">
        <f t="shared" si="129"/>
        <v>3.8687186629401582</v>
      </c>
      <c r="BC106" s="360">
        <f t="shared" si="130"/>
        <v>2.7500208052750699</v>
      </c>
      <c r="BD106" s="360">
        <f t="shared" si="131"/>
        <v>1.0930316576650885</v>
      </c>
      <c r="BE106" s="360">
        <f t="shared" si="132"/>
        <v>0.23580260011237036</v>
      </c>
      <c r="BK106" s="18"/>
      <c r="BL106" s="19"/>
    </row>
    <row r="107" spans="7:64" x14ac:dyDescent="0.2">
      <c r="G107">
        <v>98</v>
      </c>
      <c r="H107" s="548">
        <f t="shared" si="85"/>
        <v>21</v>
      </c>
      <c r="I107" s="4">
        <f t="shared" si="86"/>
        <v>1</v>
      </c>
      <c r="J107" s="360">
        <f t="shared" si="116"/>
        <v>4.9000000000000004</v>
      </c>
      <c r="K107" s="360">
        <f t="shared" si="87"/>
        <v>4.9000000000000004</v>
      </c>
      <c r="L107" s="4">
        <f t="shared" si="134"/>
        <v>1.2962962962962961</v>
      </c>
      <c r="M107" s="360">
        <f t="shared" si="89"/>
        <v>0.24096144656794341</v>
      </c>
      <c r="N107" s="4">
        <f t="shared" si="135"/>
        <v>0.83262011224869048</v>
      </c>
      <c r="O107" s="4">
        <f t="shared" si="117"/>
        <v>5.3163100561243457</v>
      </c>
      <c r="P107" s="4">
        <f t="shared" si="118"/>
        <v>4.483689943875655</v>
      </c>
      <c r="Q107" s="4">
        <f t="shared" si="136"/>
        <v>0</v>
      </c>
      <c r="R107" s="4">
        <f t="shared" si="119"/>
        <v>4.9058914943439955</v>
      </c>
      <c r="S107" s="360">
        <f t="shared" si="137"/>
        <v>3.2491491328273628E-2</v>
      </c>
      <c r="T107" s="360">
        <f t="shared" si="93"/>
        <v>0.3</v>
      </c>
      <c r="U107" s="360">
        <f t="shared" si="138"/>
        <v>0.33335799520109655</v>
      </c>
      <c r="V107" s="4">
        <f t="shared" si="120"/>
        <v>0.24035672296973895</v>
      </c>
      <c r="W107" s="360">
        <f t="shared" si="121"/>
        <v>1.1554270855350367E-4</v>
      </c>
      <c r="X107" s="360">
        <f t="shared" si="122"/>
        <v>1.1554270855350367E-4</v>
      </c>
      <c r="Y107" s="4">
        <f t="shared" si="123"/>
        <v>2.0980876966590789</v>
      </c>
      <c r="Z107" s="360">
        <f t="shared" si="124"/>
        <v>4.4019719828721996E-3</v>
      </c>
      <c r="AA107" s="541">
        <f t="shared" si="125"/>
        <v>4.4019719828721996E-3</v>
      </c>
      <c r="AB107" s="360">
        <f t="shared" si="126"/>
        <v>2.4081953826865954</v>
      </c>
      <c r="AC107" s="360">
        <f t="shared" si="139"/>
        <v>3.4796430007158229E-2</v>
      </c>
      <c r="AD107" s="360">
        <f t="shared" si="96"/>
        <v>0.3842406835000835</v>
      </c>
      <c r="AE107" s="360">
        <f t="shared" si="97"/>
        <v>0.63444464999999983</v>
      </c>
      <c r="AF107" s="360">
        <f t="shared" si="98"/>
        <v>0</v>
      </c>
      <c r="AG107" s="360">
        <f t="shared" si="140"/>
        <v>1.0608646238332988</v>
      </c>
      <c r="AH107" s="360">
        <f t="shared" si="100"/>
        <v>4.2741509511344731</v>
      </c>
      <c r="AI107" s="360">
        <f t="shared" si="141"/>
        <v>4.5670915882709301E-2</v>
      </c>
      <c r="AJ107" s="360">
        <f t="shared" si="102"/>
        <v>0.201684</v>
      </c>
      <c r="AK107" s="360">
        <f t="shared" si="142"/>
        <v>0.24908405219563309</v>
      </c>
      <c r="AL107" s="360">
        <f t="shared" si="104"/>
        <v>0.201684</v>
      </c>
      <c r="AM107" s="360">
        <f t="shared" si="105"/>
        <v>2.5930800000000001</v>
      </c>
      <c r="AN107" s="360">
        <f t="shared" si="106"/>
        <v>0.24067771354276762</v>
      </c>
      <c r="AO107" s="360">
        <f t="shared" si="107"/>
        <v>7.3499999999999998E-4</v>
      </c>
      <c r="AP107" s="360">
        <f t="shared" si="108"/>
        <v>0.34650000000000003</v>
      </c>
      <c r="AQ107" s="360">
        <f t="shared" si="109"/>
        <v>1.3167</v>
      </c>
      <c r="AR107" s="360">
        <f t="shared" si="110"/>
        <v>1.1088</v>
      </c>
      <c r="AS107" s="360">
        <f t="shared" si="133"/>
        <v>0.34723500000000002</v>
      </c>
      <c r="AT107" s="360">
        <f t="shared" si="143"/>
        <v>5.0305008994642222</v>
      </c>
      <c r="AU107">
        <f t="shared" si="112"/>
        <v>24.5</v>
      </c>
      <c r="AV107" s="542">
        <f t="shared" si="127"/>
        <v>0.82965067485341937</v>
      </c>
      <c r="AW107" s="551">
        <f t="shared" si="113"/>
        <v>138.61487119166495</v>
      </c>
      <c r="AX107" s="551">
        <f t="shared" si="114"/>
        <v>41.982417183434059</v>
      </c>
      <c r="AY107" s="9"/>
      <c r="AZ107" s="4">
        <f t="shared" si="128"/>
        <v>82.965067485341933</v>
      </c>
      <c r="BA107" s="360">
        <f t="shared" si="115"/>
        <v>0.33335799520109655</v>
      </c>
      <c r="BB107" s="360">
        <f t="shared" si="129"/>
        <v>3.9030286760289319</v>
      </c>
      <c r="BC107" s="360">
        <f t="shared" si="130"/>
        <v>2.7722974238332991</v>
      </c>
      <c r="BD107" s="360">
        <f t="shared" si="131"/>
        <v>1.1048004521956332</v>
      </c>
      <c r="BE107" s="360">
        <f t="shared" si="132"/>
        <v>0.24067771354276762</v>
      </c>
      <c r="BK107" s="18"/>
      <c r="BL107" s="19"/>
    </row>
    <row r="108" spans="7:64" x14ac:dyDescent="0.2">
      <c r="G108">
        <v>99</v>
      </c>
      <c r="H108" s="548">
        <f t="shared" si="85"/>
        <v>21</v>
      </c>
      <c r="I108" s="4">
        <f t="shared" si="86"/>
        <v>1</v>
      </c>
      <c r="J108" s="360">
        <f t="shared" si="116"/>
        <v>4.95</v>
      </c>
      <c r="K108" s="360">
        <f t="shared" si="87"/>
        <v>4.95</v>
      </c>
      <c r="L108" s="4">
        <f t="shared" si="134"/>
        <v>1.3095238095238093</v>
      </c>
      <c r="M108" s="360">
        <f t="shared" si="89"/>
        <v>0.24099064885110552</v>
      </c>
      <c r="N108" s="4">
        <f t="shared" si="135"/>
        <v>0.83270184834109595</v>
      </c>
      <c r="O108" s="4">
        <f t="shared" si="117"/>
        <v>5.3663509241705478</v>
      </c>
      <c r="P108" s="4">
        <f t="shared" si="118"/>
        <v>4.5336490758294525</v>
      </c>
      <c r="Q108" s="4">
        <f t="shared" si="136"/>
        <v>0</v>
      </c>
      <c r="R108" s="4">
        <f t="shared" si="119"/>
        <v>4.9558331991051272</v>
      </c>
      <c r="S108" s="360">
        <f t="shared" si="137"/>
        <v>3.3156381641425953E-2</v>
      </c>
      <c r="T108" s="360">
        <f t="shared" si="93"/>
        <v>0.3</v>
      </c>
      <c r="U108" s="360">
        <f t="shared" si="138"/>
        <v>0.33404243271210055</v>
      </c>
      <c r="V108" s="4">
        <f t="shared" si="120"/>
        <v>0.24038031814721536</v>
      </c>
      <c r="W108" s="360">
        <f t="shared" si="121"/>
        <v>1.1556539470511295E-4</v>
      </c>
      <c r="X108" s="360">
        <f t="shared" si="122"/>
        <v>1.1556539470511295E-4</v>
      </c>
      <c r="Y108" s="4">
        <f t="shared" si="123"/>
        <v>2.1195337650378918</v>
      </c>
      <c r="Z108" s="360">
        <f t="shared" si="124"/>
        <v>4.4924233811357017E-3</v>
      </c>
      <c r="AA108" s="541">
        <f t="shared" si="125"/>
        <v>4.4924233811357017E-3</v>
      </c>
      <c r="AB108" s="360">
        <f t="shared" si="126"/>
        <v>2.4328580852983541</v>
      </c>
      <c r="AC108" s="360">
        <f t="shared" si="139"/>
        <v>3.5512790779209442E-2</v>
      </c>
      <c r="AD108" s="360">
        <f t="shared" si="96"/>
        <v>0.38816150680110478</v>
      </c>
      <c r="AE108" s="360">
        <f t="shared" si="97"/>
        <v>0.63444464999999983</v>
      </c>
      <c r="AF108" s="360">
        <f t="shared" si="98"/>
        <v>0</v>
      </c>
      <c r="AG108" s="360">
        <f t="shared" si="140"/>
        <v>1.0656880589953146</v>
      </c>
      <c r="AH108" s="360">
        <f t="shared" si="100"/>
        <v>4.3175785151113333</v>
      </c>
      <c r="AI108" s="360">
        <f t="shared" si="141"/>
        <v>4.6603710585377468E-2</v>
      </c>
      <c r="AJ108" s="360">
        <f t="shared" si="102"/>
        <v>0.20374199999999998</v>
      </c>
      <c r="AK108" s="360">
        <f t="shared" si="142"/>
        <v>0.2521317524186813</v>
      </c>
      <c r="AL108" s="360">
        <f t="shared" si="104"/>
        <v>0.20374199999999998</v>
      </c>
      <c r="AM108" s="360">
        <f t="shared" si="105"/>
        <v>2.6195399999999998</v>
      </c>
      <c r="AN108" s="360">
        <f t="shared" si="106"/>
        <v>0.24560282697352559</v>
      </c>
      <c r="AO108" s="360">
        <f t="shared" si="107"/>
        <v>7.3499999999999998E-4</v>
      </c>
      <c r="AP108" s="360">
        <f t="shared" si="108"/>
        <v>0.34650000000000003</v>
      </c>
      <c r="AQ108" s="360">
        <f t="shared" si="109"/>
        <v>1.3167</v>
      </c>
      <c r="AR108" s="360">
        <f t="shared" si="110"/>
        <v>1.1088</v>
      </c>
      <c r="AS108" s="360">
        <f t="shared" si="133"/>
        <v>0.34723500000000002</v>
      </c>
      <c r="AT108" s="360">
        <f t="shared" si="143"/>
        <v>5.0725900598754636</v>
      </c>
      <c r="AU108">
        <f t="shared" si="112"/>
        <v>24.75</v>
      </c>
      <c r="AV108" s="542">
        <f t="shared" si="127"/>
        <v>0.82990779641569989</v>
      </c>
      <c r="AW108" s="551">
        <f t="shared" si="113"/>
        <v>139.72922294976573</v>
      </c>
      <c r="AX108" s="551">
        <f t="shared" si="114"/>
        <v>42.430038191909887</v>
      </c>
      <c r="AY108" s="9"/>
      <c r="AZ108" s="4">
        <f t="shared" si="128"/>
        <v>82.990779641569986</v>
      </c>
      <c r="BA108" s="360">
        <f t="shared" si="115"/>
        <v>0.33404243271210055</v>
      </c>
      <c r="BB108" s="360">
        <f t="shared" si="129"/>
        <v>3.9373598114139954</v>
      </c>
      <c r="BC108" s="360">
        <f t="shared" si="130"/>
        <v>2.7945844589953146</v>
      </c>
      <c r="BD108" s="360">
        <f t="shared" si="131"/>
        <v>1.1165799524186812</v>
      </c>
      <c r="BE108" s="360">
        <f t="shared" si="132"/>
        <v>0.24560282697352559</v>
      </c>
      <c r="BK108" s="18"/>
      <c r="BL108" s="19"/>
    </row>
    <row r="109" spans="7:64" x14ac:dyDescent="0.2">
      <c r="G109">
        <v>100</v>
      </c>
      <c r="H109" s="548">
        <f t="shared" si="85"/>
        <v>21</v>
      </c>
      <c r="I109" s="4">
        <f t="shared" si="86"/>
        <v>1</v>
      </c>
      <c r="J109" s="360">
        <f t="shared" si="116"/>
        <v>5</v>
      </c>
      <c r="K109" s="360">
        <f t="shared" si="87"/>
        <v>5</v>
      </c>
      <c r="L109" s="4">
        <f t="shared" si="134"/>
        <v>1.3227513227513226</v>
      </c>
      <c r="M109" s="360">
        <f t="shared" si="89"/>
        <v>0.24101985023178416</v>
      </c>
      <c r="N109" s="4">
        <f t="shared" si="135"/>
        <v>0.83278357666937841</v>
      </c>
      <c r="O109" s="4">
        <f t="shared" si="117"/>
        <v>5.416391788334689</v>
      </c>
      <c r="P109" s="4">
        <f t="shared" si="118"/>
        <v>4.583608211665311</v>
      </c>
      <c r="Q109" s="4">
        <f t="shared" si="136"/>
        <v>0</v>
      </c>
      <c r="R109" s="4">
        <f t="shared" si="119"/>
        <v>5.0057760677505527</v>
      </c>
      <c r="S109" s="360">
        <f t="shared" si="137"/>
        <v>3.3828021954626655E-2</v>
      </c>
      <c r="T109" s="360">
        <f t="shared" si="93"/>
        <v>0.3</v>
      </c>
      <c r="U109" s="360">
        <f t="shared" si="138"/>
        <v>0.33473389279257421</v>
      </c>
      <c r="V109" s="4">
        <f t="shared" si="120"/>
        <v>0.24040391108338249</v>
      </c>
      <c r="W109" s="360">
        <f t="shared" si="121"/>
        <v>1.1558808092837375E-4</v>
      </c>
      <c r="X109" s="360">
        <f t="shared" si="122"/>
        <v>1.1558808092837375E-4</v>
      </c>
      <c r="Y109" s="4">
        <f t="shared" si="123"/>
        <v>2.140982081423922</v>
      </c>
      <c r="Z109" s="360">
        <f t="shared" si="124"/>
        <v>4.5838042729783096E-3</v>
      </c>
      <c r="AA109" s="541">
        <f t="shared" si="125"/>
        <v>4.5838042729783096E-3</v>
      </c>
      <c r="AB109" s="360">
        <f t="shared" si="126"/>
        <v>2.4575243166185703</v>
      </c>
      <c r="AC109" s="360">
        <f t="shared" si="139"/>
        <v>3.6236554600629425E-2</v>
      </c>
      <c r="AD109" s="360">
        <f t="shared" si="96"/>
        <v>0.39208233010212601</v>
      </c>
      <c r="AE109" s="360">
        <f t="shared" si="97"/>
        <v>0.63444464999999983</v>
      </c>
      <c r="AF109" s="360">
        <f t="shared" si="98"/>
        <v>0</v>
      </c>
      <c r="AG109" s="360">
        <f t="shared" si="140"/>
        <v>1.0705219400491073</v>
      </c>
      <c r="AH109" s="360">
        <f t="shared" si="100"/>
        <v>4.3610054200485253</v>
      </c>
      <c r="AI109" s="360">
        <f t="shared" si="141"/>
        <v>4.7545920684231538E-2</v>
      </c>
      <c r="AJ109" s="360">
        <f t="shared" si="102"/>
        <v>0.20579999999999998</v>
      </c>
      <c r="AK109" s="360">
        <f t="shared" si="142"/>
        <v>0.25519017496057828</v>
      </c>
      <c r="AL109" s="360">
        <f t="shared" si="104"/>
        <v>0.20579999999999998</v>
      </c>
      <c r="AM109" s="360">
        <f t="shared" si="105"/>
        <v>2.6459999999999999</v>
      </c>
      <c r="AN109" s="360">
        <f t="shared" si="106"/>
        <v>0.25057794040464187</v>
      </c>
      <c r="AO109" s="360">
        <f t="shared" si="107"/>
        <v>7.3499999999999998E-4</v>
      </c>
      <c r="AP109" s="360">
        <f t="shared" si="108"/>
        <v>0.34650000000000003</v>
      </c>
      <c r="AQ109" s="360">
        <f t="shared" si="109"/>
        <v>1.3167</v>
      </c>
      <c r="AR109" s="360">
        <f t="shared" si="110"/>
        <v>1.1088</v>
      </c>
      <c r="AS109" s="360">
        <f t="shared" si="133"/>
        <v>0.34723500000000002</v>
      </c>
      <c r="AT109" s="360">
        <f t="shared" si="143"/>
        <v>5.114758340560809</v>
      </c>
      <c r="AU109">
        <f t="shared" si="112"/>
        <v>25</v>
      </c>
      <c r="AV109" s="542">
        <f t="shared" si="127"/>
        <v>0.83015774914348661</v>
      </c>
      <c r="AW109" s="551">
        <f t="shared" si="113"/>
        <v>140.84409700245538</v>
      </c>
      <c r="AX109" s="551">
        <f t="shared" si="114"/>
        <v>42.878066648501978</v>
      </c>
      <c r="AY109" s="9"/>
      <c r="AZ109" s="4">
        <f t="shared" si="128"/>
        <v>83.015774914348668</v>
      </c>
      <c r="BA109" s="360">
        <f t="shared" si="115"/>
        <v>0.33473389279257421</v>
      </c>
      <c r="BB109" s="360">
        <f t="shared" si="129"/>
        <v>3.9717121150096855</v>
      </c>
      <c r="BC109" s="360">
        <f t="shared" si="130"/>
        <v>2.8168819400491074</v>
      </c>
      <c r="BD109" s="360">
        <f t="shared" si="131"/>
        <v>1.1283701749605783</v>
      </c>
      <c r="BE109" s="360">
        <f t="shared" si="132"/>
        <v>0.25057794040464187</v>
      </c>
      <c r="BK109" s="18"/>
      <c r="BL109" s="19"/>
    </row>
    <row r="110" spans="7:64" x14ac:dyDescent="0.2">
      <c r="H110" s="548"/>
      <c r="I110" s="4"/>
      <c r="J110" s="4"/>
      <c r="L110" s="4"/>
      <c r="R110" s="360"/>
      <c r="S110" s="360"/>
      <c r="T110" s="360"/>
      <c r="U110" s="360"/>
      <c r="W110" s="360"/>
      <c r="X110" s="360"/>
      <c r="Y110" s="360"/>
      <c r="Z110" s="360"/>
      <c r="AA110" s="541"/>
      <c r="AB110" s="360"/>
      <c r="AC110" s="360"/>
      <c r="AD110" s="360"/>
      <c r="AE110" s="360"/>
      <c r="AG110" s="360"/>
      <c r="AH110" s="360"/>
      <c r="AI110" s="360"/>
      <c r="AJ110" s="360"/>
      <c r="AK110" s="360"/>
      <c r="AL110" s="360"/>
      <c r="AM110" s="360"/>
      <c r="AN110" s="360"/>
      <c r="AO110" s="360"/>
      <c r="AP110" s="360"/>
      <c r="AQ110" s="360"/>
      <c r="AR110" s="360"/>
      <c r="AS110" s="360"/>
      <c r="AT110" s="360"/>
      <c r="AV110" s="542"/>
      <c r="AW110" s="551"/>
      <c r="AX110" s="551"/>
      <c r="AY110" s="9"/>
      <c r="AZ110" s="48"/>
      <c r="BA110" s="360"/>
      <c r="BB110" s="360"/>
      <c r="BC110" s="360"/>
      <c r="BD110" s="360"/>
      <c r="BE110" s="360"/>
    </row>
    <row r="111" spans="7:64" x14ac:dyDescent="0.2">
      <c r="H111" s="548"/>
      <c r="I111" s="4"/>
      <c r="J111" s="4"/>
      <c r="L111" s="4"/>
      <c r="R111" s="360"/>
      <c r="S111" s="360"/>
      <c r="T111" s="360"/>
      <c r="U111" s="360"/>
      <c r="W111" s="360"/>
      <c r="X111" s="360"/>
      <c r="Y111" s="360"/>
      <c r="Z111" s="360"/>
      <c r="AA111" s="541"/>
      <c r="AB111" s="360"/>
      <c r="AC111" s="360"/>
      <c r="AD111" s="360"/>
      <c r="AE111" s="360"/>
      <c r="AG111" s="360"/>
      <c r="AH111" s="360"/>
      <c r="AI111" s="360"/>
      <c r="AJ111" s="360"/>
      <c r="AK111" s="360"/>
      <c r="AL111" s="360"/>
      <c r="AM111" s="360"/>
      <c r="AN111" s="360"/>
      <c r="AO111" s="360"/>
      <c r="AP111" s="360"/>
      <c r="AQ111" s="360"/>
      <c r="AR111" s="360"/>
      <c r="AS111" s="360"/>
      <c r="AT111" s="360"/>
      <c r="AV111" s="542"/>
      <c r="AW111" s="551"/>
      <c r="AX111" s="551"/>
      <c r="AY111" s="9"/>
      <c r="AZ111" s="48"/>
      <c r="BA111" s="360"/>
      <c r="BB111" s="360"/>
      <c r="BC111" s="360"/>
      <c r="BD111" s="360"/>
      <c r="BE111" s="360"/>
    </row>
    <row r="112" spans="7:64" x14ac:dyDescent="0.2">
      <c r="H112" s="548"/>
      <c r="I112" s="4"/>
      <c r="J112" s="4"/>
      <c r="L112" s="4"/>
      <c r="R112" s="360"/>
      <c r="S112" s="360"/>
      <c r="T112" s="360"/>
      <c r="U112" s="360"/>
      <c r="W112" s="360"/>
      <c r="X112" s="360"/>
      <c r="Y112" s="360"/>
      <c r="Z112" s="360"/>
      <c r="AA112" s="541"/>
      <c r="AB112" s="360"/>
      <c r="AC112" s="360"/>
      <c r="AD112" s="360"/>
      <c r="AE112" s="360"/>
      <c r="AG112" s="360"/>
      <c r="AH112" s="360"/>
      <c r="AI112" s="360"/>
      <c r="AJ112" s="360"/>
      <c r="AK112" s="360"/>
      <c r="AL112" s="360"/>
      <c r="AM112" s="360"/>
      <c r="AN112" s="360"/>
      <c r="AO112" s="360"/>
      <c r="AP112" s="360"/>
      <c r="AQ112" s="360"/>
      <c r="AR112" s="360"/>
      <c r="AS112" s="360"/>
      <c r="AT112" s="360"/>
      <c r="AV112" s="542"/>
      <c r="AW112" s="551"/>
      <c r="AX112" s="551"/>
      <c r="AY112" s="9"/>
      <c r="AZ112" s="48"/>
      <c r="BA112" s="360"/>
      <c r="BB112" s="360"/>
      <c r="BC112" s="360"/>
      <c r="BD112" s="360"/>
      <c r="BE112" s="360"/>
    </row>
    <row r="113" spans="8:57" x14ac:dyDescent="0.2">
      <c r="H113" s="548"/>
      <c r="I113" s="4"/>
      <c r="J113" s="4"/>
      <c r="L113" s="4"/>
      <c r="R113" s="360"/>
      <c r="S113" s="360"/>
      <c r="T113" s="360"/>
      <c r="U113" s="360"/>
      <c r="W113" s="360"/>
      <c r="X113" s="360"/>
      <c r="Y113" s="360"/>
      <c r="Z113" s="360"/>
      <c r="AA113" s="541"/>
      <c r="AB113" s="360"/>
      <c r="AC113" s="360"/>
      <c r="AD113" s="360"/>
      <c r="AE113" s="360"/>
      <c r="AG113" s="360"/>
      <c r="AH113" s="360"/>
      <c r="AI113" s="360"/>
      <c r="AJ113" s="360"/>
      <c r="AK113" s="360"/>
      <c r="AL113" s="360"/>
      <c r="AM113" s="360"/>
      <c r="AN113" s="360"/>
      <c r="AO113" s="360"/>
      <c r="AP113" s="360"/>
      <c r="AQ113" s="360"/>
      <c r="AR113" s="360"/>
      <c r="AS113" s="360"/>
      <c r="AT113" s="360"/>
      <c r="AV113" s="542"/>
      <c r="AW113" s="551"/>
      <c r="AX113" s="551"/>
      <c r="AY113" s="9"/>
      <c r="AZ113" s="48"/>
      <c r="BA113" s="360"/>
      <c r="BB113" s="360"/>
      <c r="BC113" s="360"/>
      <c r="BD113" s="360"/>
      <c r="BE113" s="360"/>
    </row>
    <row r="114" spans="8:57" x14ac:dyDescent="0.2">
      <c r="H114" s="548"/>
      <c r="I114" s="4"/>
      <c r="J114" s="4"/>
      <c r="L114" s="4"/>
      <c r="R114" s="360"/>
      <c r="S114" s="360"/>
      <c r="T114" s="360"/>
      <c r="U114" s="360"/>
      <c r="W114" s="360"/>
      <c r="X114" s="360"/>
      <c r="Y114" s="360"/>
      <c r="Z114" s="360"/>
      <c r="AA114" s="541"/>
      <c r="AB114" s="360"/>
      <c r="AC114" s="360"/>
      <c r="AD114" s="360"/>
      <c r="AE114" s="360"/>
      <c r="AG114" s="360"/>
      <c r="AH114" s="360"/>
      <c r="AI114" s="360"/>
      <c r="AJ114" s="360"/>
      <c r="AK114" s="360"/>
      <c r="AL114" s="360"/>
      <c r="AM114" s="360"/>
      <c r="AN114" s="360"/>
      <c r="AO114" s="360"/>
      <c r="AP114" s="360"/>
      <c r="AQ114" s="360"/>
      <c r="AR114" s="360"/>
      <c r="AS114" s="360"/>
      <c r="AT114" s="360"/>
      <c r="AV114" s="542"/>
      <c r="AW114" s="551"/>
      <c r="AX114" s="551"/>
      <c r="AY114" s="9"/>
      <c r="AZ114" s="48"/>
      <c r="BA114" s="360"/>
      <c r="BB114" s="360"/>
      <c r="BC114" s="360"/>
      <c r="BD114" s="360"/>
      <c r="BE114" s="360"/>
    </row>
    <row r="115" spans="8:57" x14ac:dyDescent="0.2">
      <c r="H115" s="548"/>
      <c r="I115" s="4"/>
      <c r="J115" s="4"/>
      <c r="L115" s="4"/>
      <c r="R115" s="360"/>
      <c r="S115" s="360"/>
      <c r="T115" s="360"/>
      <c r="U115" s="360"/>
      <c r="W115" s="360"/>
      <c r="X115" s="360"/>
      <c r="Y115" s="360"/>
      <c r="Z115" s="360"/>
      <c r="AA115" s="541"/>
      <c r="AB115" s="360"/>
      <c r="AC115" s="360"/>
      <c r="AD115" s="360"/>
      <c r="AE115" s="360"/>
      <c r="AG115" s="360"/>
      <c r="AH115" s="360"/>
      <c r="AI115" s="360"/>
      <c r="AJ115" s="360"/>
      <c r="AK115" s="360"/>
      <c r="AL115" s="360"/>
      <c r="AM115" s="360"/>
      <c r="AN115" s="360"/>
      <c r="AO115" s="360"/>
      <c r="AP115" s="360"/>
      <c r="AQ115" s="360"/>
      <c r="AR115" s="360"/>
      <c r="AS115" s="360"/>
      <c r="AT115" s="360"/>
      <c r="AV115" s="542"/>
      <c r="AW115" s="551"/>
      <c r="AX115" s="551"/>
      <c r="AY115" s="9"/>
      <c r="AZ115" s="48"/>
      <c r="BA115" s="360"/>
      <c r="BB115" s="360"/>
      <c r="BC115" s="360"/>
      <c r="BD115" s="360"/>
      <c r="BE115" s="360"/>
    </row>
    <row r="116" spans="8:57" x14ac:dyDescent="0.2">
      <c r="H116" s="548"/>
      <c r="I116" s="4"/>
      <c r="J116" s="4"/>
      <c r="L116" s="4"/>
      <c r="R116" s="360"/>
      <c r="S116" s="360"/>
      <c r="T116" s="360"/>
      <c r="U116" s="360"/>
      <c r="W116" s="360"/>
      <c r="X116" s="360"/>
      <c r="Y116" s="360"/>
      <c r="Z116" s="360"/>
      <c r="AA116" s="541"/>
      <c r="AB116" s="360"/>
      <c r="AC116" s="360"/>
      <c r="AD116" s="360"/>
      <c r="AE116" s="360"/>
      <c r="AG116" s="360"/>
      <c r="AH116" s="360"/>
      <c r="AI116" s="360"/>
      <c r="AJ116" s="360"/>
      <c r="AK116" s="360"/>
      <c r="AL116" s="360"/>
      <c r="AM116" s="360"/>
      <c r="AN116" s="360"/>
      <c r="AO116" s="360"/>
      <c r="AP116" s="360"/>
      <c r="AQ116" s="360"/>
      <c r="AR116" s="360"/>
      <c r="AS116" s="360"/>
      <c r="AT116" s="360"/>
      <c r="AV116" s="542"/>
      <c r="AW116" s="551"/>
      <c r="AX116" s="551"/>
      <c r="AY116" s="9"/>
      <c r="AZ116" s="48"/>
      <c r="BA116" s="360"/>
      <c r="BB116" s="360"/>
      <c r="BC116" s="360"/>
      <c r="BD116" s="360"/>
      <c r="BE116" s="360"/>
    </row>
    <row r="117" spans="8:57" x14ac:dyDescent="0.2">
      <c r="H117" s="548"/>
      <c r="I117" s="4"/>
      <c r="J117" s="4"/>
      <c r="L117" s="4"/>
      <c r="R117" s="360"/>
      <c r="S117" s="360"/>
      <c r="T117" s="360"/>
      <c r="U117" s="360"/>
      <c r="W117" s="360"/>
      <c r="X117" s="360"/>
      <c r="Y117" s="360"/>
      <c r="Z117" s="360"/>
      <c r="AA117" s="541"/>
      <c r="AB117" s="360"/>
      <c r="AC117" s="360"/>
      <c r="AD117" s="360"/>
      <c r="AE117" s="360"/>
      <c r="AG117" s="360"/>
      <c r="AH117" s="360"/>
      <c r="AI117" s="360"/>
      <c r="AJ117" s="360"/>
      <c r="AK117" s="360"/>
      <c r="AL117" s="360"/>
      <c r="AM117" s="360"/>
      <c r="AN117" s="360"/>
      <c r="AO117" s="360"/>
      <c r="AP117" s="360"/>
      <c r="AQ117" s="360"/>
      <c r="AR117" s="360"/>
      <c r="AS117" s="360"/>
      <c r="AT117" s="360"/>
      <c r="AV117" s="542"/>
      <c r="AW117" s="551"/>
      <c r="AX117" s="551"/>
      <c r="AY117" s="9"/>
      <c r="AZ117" s="48"/>
      <c r="BA117" s="360"/>
      <c r="BB117" s="360"/>
      <c r="BC117" s="360"/>
      <c r="BD117" s="360"/>
      <c r="BE117" s="360"/>
    </row>
    <row r="118" spans="8:57" x14ac:dyDescent="0.2">
      <c r="H118" s="548"/>
      <c r="I118" s="4"/>
      <c r="J118" s="4"/>
      <c r="L118" s="4"/>
      <c r="R118" s="360"/>
      <c r="S118" s="360"/>
      <c r="T118" s="360"/>
      <c r="U118" s="360"/>
      <c r="W118" s="360"/>
      <c r="X118" s="360"/>
      <c r="Y118" s="360"/>
      <c r="Z118" s="360"/>
      <c r="AA118" s="541"/>
      <c r="AB118" s="360"/>
      <c r="AC118" s="360"/>
      <c r="AD118" s="360"/>
      <c r="AE118" s="360"/>
      <c r="AG118" s="360"/>
      <c r="AH118" s="360"/>
      <c r="AI118" s="360"/>
      <c r="AJ118" s="360"/>
      <c r="AK118" s="360"/>
      <c r="AL118" s="360"/>
      <c r="AM118" s="360"/>
      <c r="AN118" s="360"/>
      <c r="AO118" s="360"/>
      <c r="AP118" s="360"/>
      <c r="AQ118" s="360"/>
      <c r="AR118" s="360"/>
      <c r="AS118" s="360"/>
      <c r="AT118" s="360"/>
      <c r="AV118" s="542"/>
      <c r="AW118" s="551"/>
      <c r="AX118" s="551"/>
      <c r="AY118" s="9"/>
      <c r="AZ118" s="48"/>
      <c r="BA118" s="360"/>
      <c r="BB118" s="360"/>
      <c r="BC118" s="360"/>
      <c r="BD118" s="360"/>
      <c r="BE118" s="360"/>
    </row>
    <row r="119" spans="8:57" x14ac:dyDescent="0.2">
      <c r="H119" s="548"/>
      <c r="I119" s="4"/>
      <c r="J119" s="4"/>
      <c r="L119" s="4"/>
      <c r="R119" s="360"/>
      <c r="S119" s="360"/>
      <c r="T119" s="360"/>
      <c r="U119" s="360"/>
      <c r="W119" s="360"/>
      <c r="X119" s="360"/>
      <c r="Y119" s="360"/>
      <c r="Z119" s="360"/>
      <c r="AA119" s="541"/>
      <c r="AB119" s="360"/>
      <c r="AC119" s="360"/>
      <c r="AD119" s="360"/>
      <c r="AE119" s="360"/>
      <c r="AG119" s="360"/>
      <c r="AH119" s="360"/>
      <c r="AI119" s="360"/>
      <c r="AJ119" s="360"/>
      <c r="AK119" s="360"/>
      <c r="AL119" s="360"/>
      <c r="AM119" s="360"/>
      <c r="AN119" s="360"/>
      <c r="AO119" s="360"/>
      <c r="AP119" s="360"/>
      <c r="AQ119" s="360"/>
      <c r="AR119" s="360"/>
      <c r="AS119" s="360"/>
      <c r="AT119" s="360"/>
      <c r="AV119" s="542"/>
      <c r="AW119" s="551"/>
      <c r="AX119" s="551"/>
      <c r="AY119" s="9"/>
      <c r="AZ119" s="48"/>
      <c r="BA119" s="360"/>
      <c r="BB119" s="360"/>
      <c r="BC119" s="360"/>
      <c r="BD119" s="360"/>
      <c r="BE119" s="360"/>
    </row>
    <row r="120" spans="8:57" x14ac:dyDescent="0.2">
      <c r="H120" s="548"/>
      <c r="I120" s="4"/>
      <c r="J120" s="4"/>
      <c r="L120" s="4"/>
      <c r="R120" s="360"/>
      <c r="S120" s="360"/>
      <c r="T120" s="360"/>
      <c r="U120" s="360"/>
      <c r="W120" s="360"/>
      <c r="X120" s="360"/>
      <c r="Y120" s="360"/>
      <c r="Z120" s="360"/>
      <c r="AA120" s="541"/>
      <c r="AB120" s="360"/>
      <c r="AC120" s="360"/>
      <c r="AD120" s="360"/>
      <c r="AE120" s="360"/>
      <c r="AG120" s="360"/>
      <c r="AH120" s="360"/>
      <c r="AI120" s="360"/>
      <c r="AJ120" s="360"/>
      <c r="AK120" s="360"/>
      <c r="AL120" s="360"/>
      <c r="AM120" s="360"/>
      <c r="AN120" s="360"/>
      <c r="AO120" s="360"/>
      <c r="AP120" s="360"/>
      <c r="AQ120" s="360"/>
      <c r="AR120" s="360"/>
      <c r="AS120" s="360"/>
      <c r="AT120" s="360"/>
      <c r="AV120" s="542"/>
      <c r="AW120" s="551"/>
      <c r="AX120" s="551"/>
      <c r="AY120" s="9"/>
      <c r="AZ120" s="48"/>
      <c r="BA120" s="360"/>
      <c r="BB120" s="360"/>
      <c r="BC120" s="360"/>
      <c r="BD120" s="360"/>
      <c r="BE120" s="360"/>
    </row>
    <row r="121" spans="8:57" x14ac:dyDescent="0.2">
      <c r="H121" s="548"/>
      <c r="I121" s="4"/>
      <c r="J121" s="4"/>
      <c r="L121" s="4"/>
      <c r="R121" s="360"/>
      <c r="S121" s="360"/>
      <c r="T121" s="360"/>
      <c r="U121" s="360"/>
      <c r="W121" s="360"/>
      <c r="X121" s="360"/>
      <c r="Y121" s="360"/>
      <c r="Z121" s="360"/>
      <c r="AA121" s="541"/>
      <c r="AB121" s="360"/>
      <c r="AC121" s="360"/>
      <c r="AD121" s="360"/>
      <c r="AE121" s="360"/>
      <c r="AG121" s="360"/>
      <c r="AH121" s="360"/>
      <c r="AI121" s="360"/>
      <c r="AJ121" s="360"/>
      <c r="AK121" s="360"/>
      <c r="AL121" s="360"/>
      <c r="AM121" s="360"/>
      <c r="AN121" s="360"/>
      <c r="AO121" s="360"/>
      <c r="AP121" s="360"/>
      <c r="AQ121" s="360"/>
      <c r="AR121" s="360"/>
      <c r="AS121" s="360"/>
      <c r="AT121" s="360"/>
      <c r="AV121" s="542"/>
      <c r="AW121" s="551"/>
      <c r="AX121" s="551"/>
      <c r="AY121" s="9"/>
      <c r="AZ121" s="48"/>
      <c r="BA121" s="360"/>
      <c r="BB121" s="360"/>
      <c r="BC121" s="360"/>
      <c r="BD121" s="360"/>
      <c r="BE121" s="360"/>
    </row>
    <row r="122" spans="8:57" x14ac:dyDescent="0.2">
      <c r="H122" s="548"/>
      <c r="I122" s="4"/>
      <c r="J122" s="4"/>
      <c r="L122" s="4"/>
      <c r="R122" s="360"/>
      <c r="S122" s="360"/>
      <c r="T122" s="360"/>
      <c r="U122" s="360"/>
      <c r="W122" s="360"/>
      <c r="X122" s="360"/>
      <c r="Y122" s="360"/>
      <c r="Z122" s="360"/>
      <c r="AA122" s="541"/>
      <c r="AB122" s="360"/>
      <c r="AC122" s="360"/>
      <c r="AD122" s="360"/>
      <c r="AE122" s="360"/>
      <c r="AG122" s="360"/>
      <c r="AH122" s="360"/>
      <c r="AI122" s="360"/>
      <c r="AJ122" s="360"/>
      <c r="AK122" s="360"/>
      <c r="AL122" s="360"/>
      <c r="AM122" s="360"/>
      <c r="AN122" s="360"/>
      <c r="AO122" s="360"/>
      <c r="AP122" s="360"/>
      <c r="AQ122" s="360"/>
      <c r="AR122" s="360"/>
      <c r="AS122" s="360"/>
      <c r="AT122" s="360"/>
      <c r="AV122" s="542"/>
      <c r="AW122" s="551"/>
      <c r="AX122" s="551"/>
      <c r="AY122" s="9"/>
      <c r="AZ122" s="48"/>
      <c r="BA122" s="360"/>
      <c r="BB122" s="360"/>
      <c r="BC122" s="360"/>
      <c r="BD122" s="360"/>
      <c r="BE122" s="360"/>
    </row>
    <row r="123" spans="8:57" x14ac:dyDescent="0.2">
      <c r="H123" s="548"/>
      <c r="I123" s="4"/>
      <c r="J123" s="4"/>
      <c r="L123" s="4"/>
      <c r="R123" s="360"/>
      <c r="S123" s="360"/>
      <c r="T123" s="360"/>
      <c r="U123" s="360"/>
      <c r="W123" s="360"/>
      <c r="X123" s="360"/>
      <c r="Y123" s="360"/>
      <c r="Z123" s="360"/>
      <c r="AA123" s="541"/>
      <c r="AB123" s="360"/>
      <c r="AC123" s="360"/>
      <c r="AD123" s="360"/>
      <c r="AE123" s="360"/>
      <c r="AG123" s="360"/>
      <c r="AH123" s="360"/>
      <c r="AI123" s="360"/>
      <c r="AJ123" s="360"/>
      <c r="AK123" s="360"/>
      <c r="AL123" s="360"/>
      <c r="AM123" s="360"/>
      <c r="AN123" s="360"/>
      <c r="AO123" s="360"/>
      <c r="AP123" s="360"/>
      <c r="AQ123" s="360"/>
      <c r="AR123" s="360"/>
      <c r="AS123" s="360"/>
      <c r="AT123" s="360"/>
      <c r="AV123" s="542"/>
      <c r="AW123" s="551"/>
      <c r="AX123" s="551"/>
      <c r="AY123" s="9"/>
      <c r="AZ123" s="48"/>
      <c r="BA123" s="360"/>
      <c r="BB123" s="360"/>
      <c r="BC123" s="360"/>
      <c r="BD123" s="360"/>
      <c r="BE123" s="360"/>
    </row>
    <row r="124" spans="8:57" x14ac:dyDescent="0.2">
      <c r="H124" s="548"/>
      <c r="I124" s="4"/>
      <c r="J124" s="4"/>
      <c r="L124" s="4"/>
      <c r="R124" s="360"/>
      <c r="S124" s="360"/>
      <c r="T124" s="360"/>
      <c r="U124" s="360"/>
      <c r="W124" s="360"/>
      <c r="X124" s="360"/>
      <c r="Y124" s="360"/>
      <c r="Z124" s="360"/>
      <c r="AA124" s="541"/>
      <c r="AB124" s="360"/>
      <c r="AC124" s="360"/>
      <c r="AD124" s="360"/>
      <c r="AE124" s="360"/>
      <c r="AG124" s="360"/>
      <c r="AH124" s="360"/>
      <c r="AI124" s="360"/>
      <c r="AJ124" s="360"/>
      <c r="AK124" s="360"/>
      <c r="AL124" s="360"/>
      <c r="AM124" s="360"/>
      <c r="AN124" s="360"/>
      <c r="AO124" s="360"/>
      <c r="AP124" s="360"/>
      <c r="AQ124" s="360"/>
      <c r="AR124" s="360"/>
      <c r="AS124" s="360"/>
      <c r="AT124" s="360"/>
      <c r="AV124" s="542"/>
      <c r="AW124" s="551"/>
      <c r="AX124" s="551"/>
      <c r="AY124" s="9"/>
      <c r="AZ124" s="48"/>
      <c r="BA124" s="360"/>
      <c r="BB124" s="360"/>
      <c r="BC124" s="360"/>
      <c r="BD124" s="360"/>
      <c r="BE124" s="360"/>
    </row>
    <row r="125" spans="8:57" x14ac:dyDescent="0.2">
      <c r="H125" s="548"/>
      <c r="I125" s="4"/>
      <c r="J125" s="4"/>
      <c r="L125" s="4"/>
      <c r="R125" s="360"/>
      <c r="S125" s="360"/>
      <c r="T125" s="360"/>
      <c r="U125" s="360"/>
      <c r="W125" s="360"/>
      <c r="X125" s="360"/>
      <c r="Y125" s="360"/>
      <c r="Z125" s="360"/>
      <c r="AA125" s="541"/>
      <c r="AB125" s="360"/>
      <c r="AC125" s="360"/>
      <c r="AD125" s="360"/>
      <c r="AE125" s="360"/>
      <c r="AG125" s="360"/>
      <c r="AH125" s="360"/>
      <c r="AI125" s="360"/>
      <c r="AJ125" s="360"/>
      <c r="AK125" s="360"/>
      <c r="AL125" s="360"/>
      <c r="AM125" s="360"/>
      <c r="AN125" s="360"/>
      <c r="AO125" s="360"/>
      <c r="AP125" s="360"/>
      <c r="AQ125" s="360"/>
      <c r="AR125" s="360"/>
      <c r="AS125" s="360"/>
      <c r="AT125" s="360"/>
      <c r="AV125" s="542"/>
      <c r="AW125" s="551"/>
      <c r="AX125" s="551"/>
      <c r="AY125" s="9"/>
      <c r="AZ125" s="48"/>
      <c r="BA125" s="360"/>
      <c r="BB125" s="360"/>
      <c r="BC125" s="360"/>
      <c r="BD125" s="360"/>
      <c r="BE125" s="360"/>
    </row>
    <row r="126" spans="8:57" x14ac:dyDescent="0.2">
      <c r="H126" s="548"/>
      <c r="I126" s="4"/>
      <c r="J126" s="4"/>
      <c r="L126" s="4"/>
      <c r="R126" s="360"/>
      <c r="S126" s="360"/>
      <c r="T126" s="360"/>
      <c r="U126" s="360"/>
      <c r="W126" s="360"/>
      <c r="X126" s="360"/>
      <c r="Y126" s="360"/>
      <c r="Z126" s="360"/>
      <c r="AA126" s="541"/>
      <c r="AB126" s="360"/>
      <c r="AC126" s="360"/>
      <c r="AD126" s="360"/>
      <c r="AE126" s="360"/>
      <c r="AG126" s="360"/>
      <c r="AH126" s="360"/>
      <c r="AI126" s="360"/>
      <c r="AJ126" s="360"/>
      <c r="AK126" s="360"/>
      <c r="AL126" s="360"/>
      <c r="AM126" s="360"/>
      <c r="AN126" s="360"/>
      <c r="AO126" s="360"/>
      <c r="AP126" s="360"/>
      <c r="AQ126" s="360"/>
      <c r="AR126" s="360"/>
      <c r="AS126" s="360"/>
      <c r="AT126" s="360"/>
      <c r="AV126" s="542"/>
      <c r="AW126" s="551"/>
      <c r="AX126" s="551"/>
      <c r="AY126" s="9"/>
      <c r="AZ126" s="48"/>
      <c r="BA126" s="360"/>
      <c r="BB126" s="360"/>
      <c r="BC126" s="360"/>
      <c r="BD126" s="360"/>
      <c r="BE126" s="360"/>
    </row>
    <row r="127" spans="8:57" x14ac:dyDescent="0.2">
      <c r="H127" s="548"/>
      <c r="I127" s="4"/>
      <c r="J127" s="4"/>
      <c r="L127" s="4"/>
      <c r="R127" s="360"/>
      <c r="S127" s="360"/>
      <c r="T127" s="360"/>
      <c r="U127" s="360"/>
      <c r="W127" s="360"/>
      <c r="X127" s="360"/>
      <c r="Y127" s="360"/>
      <c r="Z127" s="360"/>
      <c r="AA127" s="541"/>
      <c r="AB127" s="360"/>
      <c r="AC127" s="360"/>
      <c r="AD127" s="360"/>
      <c r="AE127" s="360"/>
      <c r="AG127" s="360"/>
      <c r="AH127" s="360"/>
      <c r="AI127" s="360"/>
      <c r="AJ127" s="360"/>
      <c r="AK127" s="360"/>
      <c r="AL127" s="360"/>
      <c r="AM127" s="360"/>
      <c r="AN127" s="360"/>
      <c r="AO127" s="360"/>
      <c r="AP127" s="360"/>
      <c r="AQ127" s="360"/>
      <c r="AR127" s="360"/>
      <c r="AS127" s="360"/>
      <c r="AT127" s="360"/>
      <c r="AV127" s="542"/>
      <c r="AW127" s="551"/>
      <c r="AX127" s="551"/>
      <c r="AY127" s="9"/>
      <c r="AZ127" s="48"/>
      <c r="BA127" s="360"/>
      <c r="BB127" s="360"/>
      <c r="BC127" s="360"/>
      <c r="BD127" s="360"/>
      <c r="BE127" s="360"/>
    </row>
    <row r="128" spans="8:57" x14ac:dyDescent="0.2">
      <c r="H128" s="548"/>
      <c r="I128" s="4"/>
      <c r="J128" s="4"/>
      <c r="L128" s="4"/>
      <c r="R128" s="360"/>
      <c r="S128" s="360"/>
      <c r="T128" s="360"/>
      <c r="U128" s="360"/>
      <c r="W128" s="360"/>
      <c r="X128" s="360"/>
      <c r="Y128" s="360"/>
      <c r="Z128" s="360"/>
      <c r="AA128" s="541"/>
      <c r="AB128" s="360"/>
      <c r="AC128" s="360"/>
      <c r="AD128" s="360"/>
      <c r="AE128" s="360"/>
      <c r="AG128" s="360"/>
      <c r="AH128" s="360"/>
      <c r="AI128" s="360"/>
      <c r="AJ128" s="360"/>
      <c r="AK128" s="360"/>
      <c r="AL128" s="360"/>
      <c r="AM128" s="360"/>
      <c r="AN128" s="360"/>
      <c r="AO128" s="360"/>
      <c r="AP128" s="360"/>
      <c r="AQ128" s="360"/>
      <c r="AR128" s="360"/>
      <c r="AS128" s="360"/>
      <c r="AT128" s="360"/>
      <c r="AV128" s="542"/>
      <c r="AW128" s="551"/>
      <c r="AX128" s="551"/>
      <c r="AY128" s="9"/>
      <c r="AZ128" s="48"/>
      <c r="BA128" s="360"/>
      <c r="BB128" s="360"/>
      <c r="BC128" s="360"/>
      <c r="BD128" s="360"/>
      <c r="BE128" s="360"/>
    </row>
    <row r="129" spans="8:57" x14ac:dyDescent="0.2">
      <c r="H129" s="548"/>
      <c r="I129" s="4"/>
      <c r="J129" s="4"/>
      <c r="L129" s="4"/>
      <c r="R129" s="360"/>
      <c r="S129" s="360"/>
      <c r="T129" s="360"/>
      <c r="U129" s="360"/>
      <c r="W129" s="360"/>
      <c r="X129" s="360"/>
      <c r="Y129" s="360"/>
      <c r="Z129" s="360"/>
      <c r="AA129" s="541"/>
      <c r="AB129" s="360"/>
      <c r="AC129" s="360"/>
      <c r="AD129" s="360"/>
      <c r="AE129" s="360"/>
      <c r="AG129" s="360"/>
      <c r="AH129" s="360"/>
      <c r="AI129" s="360"/>
      <c r="AJ129" s="360"/>
      <c r="AK129" s="360"/>
      <c r="AL129" s="360"/>
      <c r="AM129" s="360"/>
      <c r="AN129" s="360"/>
      <c r="AO129" s="360"/>
      <c r="AP129" s="360"/>
      <c r="AQ129" s="360"/>
      <c r="AR129" s="360"/>
      <c r="AS129" s="360"/>
      <c r="AT129" s="360"/>
      <c r="AV129" s="542"/>
      <c r="AW129" s="551"/>
      <c r="AX129" s="551"/>
      <c r="AY129" s="9"/>
      <c r="AZ129" s="48"/>
      <c r="BA129" s="360"/>
      <c r="BB129" s="360"/>
      <c r="BC129" s="360"/>
      <c r="BD129" s="360"/>
      <c r="BE129" s="360"/>
    </row>
    <row r="130" spans="8:57" x14ac:dyDescent="0.2">
      <c r="H130" s="548"/>
      <c r="I130" s="4"/>
      <c r="J130" s="4"/>
      <c r="L130" s="4"/>
      <c r="R130" s="360"/>
      <c r="S130" s="360"/>
      <c r="T130" s="360"/>
      <c r="U130" s="360"/>
      <c r="W130" s="360"/>
      <c r="X130" s="360"/>
      <c r="Y130" s="360"/>
      <c r="Z130" s="360"/>
      <c r="AA130" s="541"/>
      <c r="AB130" s="360"/>
      <c r="AC130" s="360"/>
      <c r="AD130" s="360"/>
      <c r="AE130" s="360"/>
      <c r="AG130" s="360"/>
      <c r="AH130" s="360"/>
      <c r="AI130" s="360"/>
      <c r="AJ130" s="360"/>
      <c r="AK130" s="360"/>
      <c r="AL130" s="360"/>
      <c r="AM130" s="360"/>
      <c r="AN130" s="360"/>
      <c r="AO130" s="360"/>
      <c r="AP130" s="360"/>
      <c r="AQ130" s="360"/>
      <c r="AR130" s="360"/>
      <c r="AS130" s="360"/>
      <c r="AT130" s="360"/>
      <c r="AV130" s="542"/>
      <c r="AW130" s="551"/>
      <c r="AX130" s="551"/>
      <c r="AY130" s="9"/>
      <c r="AZ130" s="48"/>
      <c r="BA130" s="360"/>
      <c r="BB130" s="360"/>
      <c r="BC130" s="360"/>
      <c r="BD130" s="360"/>
      <c r="BE130" s="360"/>
    </row>
    <row r="131" spans="8:57" x14ac:dyDescent="0.2">
      <c r="H131" s="548"/>
      <c r="I131" s="4"/>
      <c r="J131" s="4"/>
      <c r="L131" s="4"/>
      <c r="R131" s="360"/>
      <c r="S131" s="360"/>
      <c r="T131" s="360"/>
      <c r="U131" s="360"/>
      <c r="W131" s="360"/>
      <c r="X131" s="360"/>
      <c r="Y131" s="360"/>
      <c r="Z131" s="360"/>
      <c r="AA131" s="541"/>
      <c r="AB131" s="360"/>
      <c r="AC131" s="360"/>
      <c r="AD131" s="360"/>
      <c r="AE131" s="360"/>
      <c r="AG131" s="360"/>
      <c r="AH131" s="360"/>
      <c r="AI131" s="360"/>
      <c r="AJ131" s="360"/>
      <c r="AK131" s="360"/>
      <c r="AL131" s="360"/>
      <c r="AM131" s="360"/>
      <c r="AN131" s="360"/>
      <c r="AO131" s="360"/>
      <c r="AP131" s="360"/>
      <c r="AQ131" s="360"/>
      <c r="AR131" s="360"/>
      <c r="AS131" s="360"/>
      <c r="AT131" s="360"/>
      <c r="AV131" s="542"/>
      <c r="AW131" s="551"/>
      <c r="AX131" s="551"/>
      <c r="AY131" s="9"/>
      <c r="AZ131" s="48"/>
      <c r="BA131" s="360"/>
      <c r="BB131" s="360"/>
      <c r="BC131" s="360"/>
      <c r="BD131" s="360"/>
      <c r="BE131" s="360"/>
    </row>
    <row r="132" spans="8:57" x14ac:dyDescent="0.2">
      <c r="H132" s="548"/>
      <c r="I132" s="4"/>
      <c r="J132" s="4"/>
      <c r="L132" s="4"/>
      <c r="R132" s="360"/>
      <c r="S132" s="360"/>
      <c r="T132" s="360"/>
      <c r="U132" s="360"/>
      <c r="W132" s="360"/>
      <c r="X132" s="360"/>
      <c r="Y132" s="360"/>
      <c r="Z132" s="360"/>
      <c r="AA132" s="541"/>
      <c r="AB132" s="360"/>
      <c r="AC132" s="360"/>
      <c r="AD132" s="360"/>
      <c r="AE132" s="360"/>
      <c r="AG132" s="360"/>
      <c r="AH132" s="360"/>
      <c r="AI132" s="360"/>
      <c r="AJ132" s="360"/>
      <c r="AK132" s="360"/>
      <c r="AL132" s="360"/>
      <c r="AM132" s="360"/>
      <c r="AN132" s="360"/>
      <c r="AO132" s="360"/>
      <c r="AP132" s="360"/>
      <c r="AQ132" s="360"/>
      <c r="AR132" s="360"/>
      <c r="AS132" s="360"/>
      <c r="AT132" s="360"/>
      <c r="AV132" s="542"/>
      <c r="AW132" s="551"/>
      <c r="AX132" s="551"/>
      <c r="AY132" s="9"/>
      <c r="AZ132" s="48"/>
      <c r="BA132" s="360"/>
      <c r="BB132" s="360"/>
      <c r="BC132" s="360"/>
      <c r="BD132" s="360"/>
      <c r="BE132" s="360"/>
    </row>
    <row r="133" spans="8:57" x14ac:dyDescent="0.2">
      <c r="H133" s="548"/>
      <c r="I133" s="4"/>
      <c r="J133" s="4"/>
      <c r="L133" s="4"/>
      <c r="R133" s="360"/>
      <c r="S133" s="360"/>
      <c r="T133" s="360"/>
      <c r="U133" s="360"/>
      <c r="W133" s="360"/>
      <c r="X133" s="360"/>
      <c r="Y133" s="360"/>
      <c r="Z133" s="360"/>
      <c r="AA133" s="541"/>
      <c r="AB133" s="360"/>
      <c r="AC133" s="360"/>
      <c r="AD133" s="360"/>
      <c r="AE133" s="360"/>
      <c r="AG133" s="360"/>
      <c r="AH133" s="360"/>
      <c r="AI133" s="360"/>
      <c r="AJ133" s="360"/>
      <c r="AK133" s="360"/>
      <c r="AL133" s="360"/>
      <c r="AM133" s="360"/>
      <c r="AN133" s="360"/>
      <c r="AO133" s="360"/>
      <c r="AP133" s="360"/>
      <c r="AQ133" s="360"/>
      <c r="AR133" s="360"/>
      <c r="AS133" s="360"/>
      <c r="AT133" s="360"/>
      <c r="AV133" s="542"/>
      <c r="AW133" s="551"/>
      <c r="AX133" s="551"/>
      <c r="AY133" s="9"/>
      <c r="AZ133" s="48"/>
      <c r="BA133" s="360"/>
      <c r="BB133" s="360"/>
      <c r="BC133" s="360"/>
      <c r="BD133" s="360"/>
      <c r="BE133" s="360"/>
    </row>
    <row r="134" spans="8:57" x14ac:dyDescent="0.2">
      <c r="H134" s="548"/>
      <c r="I134" s="4"/>
      <c r="J134" s="4"/>
      <c r="L134" s="4"/>
      <c r="R134" s="360"/>
      <c r="S134" s="360"/>
      <c r="T134" s="360"/>
      <c r="U134" s="360"/>
      <c r="W134" s="360"/>
      <c r="X134" s="360"/>
      <c r="Y134" s="360"/>
      <c r="Z134" s="360"/>
      <c r="AA134" s="541"/>
      <c r="AB134" s="360"/>
      <c r="AC134" s="360"/>
      <c r="AD134" s="360"/>
      <c r="AE134" s="360"/>
      <c r="AG134" s="360"/>
      <c r="AH134" s="360"/>
      <c r="AI134" s="360"/>
      <c r="AJ134" s="360"/>
      <c r="AK134" s="360"/>
      <c r="AL134" s="360"/>
      <c r="AM134" s="360"/>
      <c r="AN134" s="360"/>
      <c r="AO134" s="360"/>
      <c r="AP134" s="360"/>
      <c r="AQ134" s="360"/>
      <c r="AR134" s="360"/>
      <c r="AS134" s="360"/>
      <c r="AT134" s="360"/>
      <c r="AV134" s="542"/>
      <c r="AW134" s="551"/>
      <c r="AX134" s="551"/>
      <c r="AY134" s="9"/>
      <c r="AZ134" s="48"/>
      <c r="BA134" s="360"/>
      <c r="BB134" s="360"/>
      <c r="BC134" s="360"/>
      <c r="BD134" s="360"/>
      <c r="BE134" s="360"/>
    </row>
    <row r="135" spans="8:57" x14ac:dyDescent="0.2">
      <c r="H135" s="548"/>
      <c r="I135" s="4"/>
      <c r="J135" s="4"/>
      <c r="L135" s="4"/>
      <c r="R135" s="360"/>
      <c r="S135" s="360"/>
      <c r="T135" s="360"/>
      <c r="U135" s="360"/>
      <c r="W135" s="360"/>
      <c r="X135" s="360"/>
      <c r="Y135" s="360"/>
      <c r="Z135" s="360"/>
      <c r="AA135" s="541"/>
      <c r="AB135" s="360"/>
      <c r="AC135" s="360"/>
      <c r="AD135" s="360"/>
      <c r="AE135" s="360"/>
      <c r="AG135" s="360"/>
      <c r="AH135" s="360"/>
      <c r="AI135" s="360"/>
      <c r="AJ135" s="360"/>
      <c r="AK135" s="360"/>
      <c r="AL135" s="360"/>
      <c r="AM135" s="360"/>
      <c r="AN135" s="360"/>
      <c r="AO135" s="360"/>
      <c r="AP135" s="360"/>
      <c r="AQ135" s="360"/>
      <c r="AR135" s="360"/>
      <c r="AS135" s="360"/>
      <c r="AT135" s="360"/>
      <c r="AV135" s="542"/>
      <c r="AW135" s="551"/>
      <c r="AX135" s="551"/>
      <c r="AY135" s="9"/>
      <c r="AZ135" s="48"/>
      <c r="BA135" s="360"/>
      <c r="BB135" s="360"/>
      <c r="BC135" s="360"/>
      <c r="BD135" s="360"/>
      <c r="BE135" s="360"/>
    </row>
    <row r="136" spans="8:57" x14ac:dyDescent="0.2">
      <c r="H136" s="548"/>
      <c r="I136" s="4"/>
      <c r="J136" s="4"/>
      <c r="L136" s="4"/>
      <c r="R136" s="360"/>
      <c r="S136" s="360"/>
      <c r="T136" s="360"/>
      <c r="U136" s="360"/>
      <c r="W136" s="360"/>
      <c r="X136" s="360"/>
      <c r="Y136" s="360"/>
      <c r="Z136" s="360"/>
      <c r="AA136" s="541"/>
      <c r="AB136" s="360"/>
      <c r="AC136" s="360"/>
      <c r="AD136" s="360"/>
      <c r="AE136" s="360"/>
      <c r="AG136" s="360"/>
      <c r="AH136" s="360"/>
      <c r="AI136" s="360"/>
      <c r="AJ136" s="360"/>
      <c r="AK136" s="360"/>
      <c r="AL136" s="360"/>
      <c r="AM136" s="360"/>
      <c r="AN136" s="360"/>
      <c r="AO136" s="360"/>
      <c r="AP136" s="360"/>
      <c r="AQ136" s="360"/>
      <c r="AR136" s="360"/>
      <c r="AS136" s="360"/>
      <c r="AT136" s="360"/>
      <c r="AV136" s="542"/>
      <c r="AW136" s="551"/>
      <c r="AX136" s="551"/>
      <c r="AY136" s="9"/>
      <c r="AZ136" s="48"/>
      <c r="BA136" s="360"/>
      <c r="BB136" s="360"/>
      <c r="BC136" s="360"/>
      <c r="BD136" s="360"/>
      <c r="BE136" s="360"/>
    </row>
    <row r="137" spans="8:57" x14ac:dyDescent="0.2">
      <c r="H137" s="548"/>
      <c r="I137" s="4"/>
      <c r="J137" s="4"/>
      <c r="L137" s="4"/>
      <c r="R137" s="360"/>
      <c r="S137" s="360"/>
      <c r="T137" s="360"/>
      <c r="U137" s="360"/>
      <c r="W137" s="360"/>
      <c r="X137" s="360"/>
      <c r="Y137" s="360"/>
      <c r="Z137" s="360"/>
      <c r="AA137" s="541"/>
      <c r="AB137" s="360"/>
      <c r="AC137" s="360"/>
      <c r="AD137" s="360"/>
      <c r="AE137" s="360"/>
      <c r="AG137" s="360"/>
      <c r="AH137" s="360"/>
      <c r="AI137" s="360"/>
      <c r="AJ137" s="360"/>
      <c r="AK137" s="360"/>
      <c r="AL137" s="360"/>
      <c r="AM137" s="360"/>
      <c r="AN137" s="360"/>
      <c r="AO137" s="360"/>
      <c r="AP137" s="360"/>
      <c r="AQ137" s="360"/>
      <c r="AR137" s="360"/>
      <c r="AS137" s="360"/>
      <c r="AT137" s="360"/>
      <c r="AV137" s="542"/>
      <c r="AW137" s="551"/>
      <c r="AX137" s="551"/>
      <c r="AY137" s="9"/>
      <c r="AZ137" s="48"/>
      <c r="BA137" s="360"/>
      <c r="BB137" s="360"/>
      <c r="BC137" s="360"/>
      <c r="BD137" s="360"/>
      <c r="BE137" s="360"/>
    </row>
    <row r="138" spans="8:57" x14ac:dyDescent="0.2">
      <c r="H138" s="548"/>
      <c r="I138" s="4"/>
      <c r="J138" s="4"/>
      <c r="L138" s="4"/>
      <c r="R138" s="360"/>
      <c r="S138" s="360"/>
      <c r="T138" s="360"/>
      <c r="U138" s="360"/>
      <c r="W138" s="360"/>
      <c r="X138" s="360"/>
      <c r="Y138" s="360"/>
      <c r="Z138" s="360"/>
      <c r="AA138" s="541"/>
      <c r="AB138" s="360"/>
      <c r="AC138" s="360"/>
      <c r="AD138" s="360"/>
      <c r="AE138" s="360"/>
      <c r="AG138" s="360"/>
      <c r="AH138" s="360"/>
      <c r="AI138" s="360"/>
      <c r="AJ138" s="360"/>
      <c r="AK138" s="360"/>
      <c r="AL138" s="360"/>
      <c r="AM138" s="360"/>
      <c r="AN138" s="360"/>
      <c r="AO138" s="360"/>
      <c r="AP138" s="360"/>
      <c r="AQ138" s="360"/>
      <c r="AR138" s="360"/>
      <c r="AS138" s="360"/>
      <c r="AT138" s="360"/>
      <c r="AV138" s="542"/>
      <c r="AW138" s="551"/>
      <c r="AX138" s="551"/>
      <c r="AY138" s="9"/>
      <c r="AZ138" s="48"/>
      <c r="BA138" s="360"/>
      <c r="BB138" s="360"/>
      <c r="BC138" s="360"/>
      <c r="BD138" s="360"/>
      <c r="BE138" s="360"/>
    </row>
    <row r="139" spans="8:57" x14ac:dyDescent="0.2">
      <c r="H139" s="548"/>
      <c r="I139" s="4"/>
      <c r="J139" s="4"/>
      <c r="L139" s="4"/>
      <c r="R139" s="360"/>
      <c r="S139" s="360"/>
      <c r="T139" s="360"/>
      <c r="U139" s="360"/>
      <c r="W139" s="360"/>
      <c r="X139" s="360"/>
      <c r="Y139" s="360"/>
      <c r="Z139" s="360"/>
      <c r="AA139" s="541"/>
      <c r="AB139" s="360"/>
      <c r="AC139" s="360"/>
      <c r="AD139" s="360"/>
      <c r="AE139" s="360"/>
      <c r="AG139" s="360"/>
      <c r="AH139" s="360"/>
      <c r="AI139" s="360"/>
      <c r="AJ139" s="360"/>
      <c r="AK139" s="360"/>
      <c r="AL139" s="360"/>
      <c r="AM139" s="360"/>
      <c r="AN139" s="360"/>
      <c r="AO139" s="360"/>
      <c r="AP139" s="360"/>
      <c r="AQ139" s="360"/>
      <c r="AR139" s="360"/>
      <c r="AS139" s="360"/>
      <c r="AT139" s="360"/>
      <c r="AV139" s="542"/>
      <c r="AW139" s="551"/>
      <c r="AX139" s="551"/>
      <c r="AY139" s="9"/>
      <c r="AZ139" s="48"/>
      <c r="BA139" s="360"/>
      <c r="BB139" s="360"/>
      <c r="BC139" s="360"/>
      <c r="BD139" s="360"/>
      <c r="BE139" s="360"/>
    </row>
    <row r="140" spans="8:57" x14ac:dyDescent="0.2">
      <c r="H140" s="548"/>
      <c r="I140" s="4"/>
      <c r="J140" s="4"/>
      <c r="L140" s="4"/>
      <c r="R140" s="360"/>
      <c r="S140" s="360"/>
      <c r="T140" s="360"/>
      <c r="U140" s="360"/>
      <c r="W140" s="360"/>
      <c r="X140" s="360"/>
      <c r="Y140" s="360"/>
      <c r="Z140" s="360"/>
      <c r="AA140" s="541"/>
      <c r="AB140" s="360"/>
      <c r="AC140" s="360"/>
      <c r="AD140" s="360"/>
      <c r="AE140" s="360"/>
      <c r="AG140" s="360"/>
      <c r="AH140" s="360"/>
      <c r="AI140" s="360"/>
      <c r="AJ140" s="360"/>
      <c r="AK140" s="360"/>
      <c r="AL140" s="360"/>
      <c r="AM140" s="360"/>
      <c r="AN140" s="360"/>
      <c r="AO140" s="360"/>
      <c r="AP140" s="360"/>
      <c r="AQ140" s="360"/>
      <c r="AR140" s="360"/>
      <c r="AS140" s="360"/>
      <c r="AT140" s="360"/>
      <c r="AV140" s="542"/>
      <c r="AW140" s="551"/>
      <c r="AX140" s="551"/>
      <c r="AY140" s="9"/>
      <c r="AZ140" s="48"/>
      <c r="BA140" s="360"/>
      <c r="BB140" s="360"/>
      <c r="BC140" s="360"/>
      <c r="BD140" s="360"/>
      <c r="BE140" s="360"/>
    </row>
    <row r="141" spans="8:57" x14ac:dyDescent="0.2">
      <c r="H141" s="548"/>
      <c r="I141" s="4"/>
      <c r="J141" s="4"/>
      <c r="L141" s="4"/>
      <c r="R141" s="360"/>
      <c r="S141" s="360"/>
      <c r="T141" s="360"/>
      <c r="U141" s="360"/>
      <c r="W141" s="360"/>
      <c r="X141" s="360"/>
      <c r="Y141" s="360"/>
      <c r="Z141" s="360"/>
      <c r="AA141" s="541"/>
      <c r="AB141" s="360"/>
      <c r="AC141" s="360"/>
      <c r="AD141" s="360"/>
      <c r="AE141" s="360"/>
      <c r="AG141" s="360"/>
      <c r="AH141" s="360"/>
      <c r="AI141" s="360"/>
      <c r="AJ141" s="360"/>
      <c r="AK141" s="360"/>
      <c r="AL141" s="360"/>
      <c r="AM141" s="360"/>
      <c r="AN141" s="360"/>
      <c r="AO141" s="360"/>
      <c r="AP141" s="360"/>
      <c r="AQ141" s="360"/>
      <c r="AR141" s="360"/>
      <c r="AS141" s="360"/>
      <c r="AT141" s="360"/>
      <c r="AV141" s="542"/>
      <c r="AW141" s="551"/>
      <c r="AX141" s="551"/>
      <c r="AY141" s="9"/>
      <c r="AZ141" s="48"/>
      <c r="BA141" s="360"/>
      <c r="BB141" s="360"/>
      <c r="BC141" s="360"/>
      <c r="BD141" s="360"/>
      <c r="BE141" s="360"/>
    </row>
    <row r="142" spans="8:57" x14ac:dyDescent="0.2">
      <c r="H142" s="548"/>
      <c r="I142" s="4"/>
      <c r="J142" s="4"/>
      <c r="L142" s="4"/>
      <c r="R142" s="360"/>
      <c r="S142" s="360"/>
      <c r="T142" s="360"/>
      <c r="U142" s="360"/>
      <c r="W142" s="360"/>
      <c r="X142" s="360"/>
      <c r="Y142" s="360"/>
      <c r="Z142" s="360"/>
      <c r="AA142" s="541"/>
      <c r="AB142" s="360"/>
      <c r="AC142" s="360"/>
      <c r="AD142" s="360"/>
      <c r="AE142" s="360"/>
      <c r="AG142" s="360"/>
      <c r="AH142" s="360"/>
      <c r="AI142" s="360"/>
      <c r="AJ142" s="360"/>
      <c r="AK142" s="360"/>
      <c r="AL142" s="360"/>
      <c r="AM142" s="360"/>
      <c r="AN142" s="360"/>
      <c r="AO142" s="360"/>
      <c r="AP142" s="360"/>
      <c r="AQ142" s="360"/>
      <c r="AR142" s="360"/>
      <c r="AS142" s="360"/>
      <c r="AT142" s="360"/>
      <c r="AV142" s="542"/>
      <c r="AW142" s="551"/>
      <c r="AX142" s="551"/>
      <c r="AY142" s="9"/>
      <c r="AZ142" s="48"/>
      <c r="BA142" s="360"/>
      <c r="BB142" s="360"/>
      <c r="BC142" s="360"/>
      <c r="BD142" s="360"/>
      <c r="BE142" s="360"/>
    </row>
    <row r="143" spans="8:57" x14ac:dyDescent="0.2">
      <c r="H143" s="548"/>
      <c r="I143" s="4"/>
      <c r="J143" s="4"/>
      <c r="L143" s="4"/>
      <c r="R143" s="360"/>
      <c r="S143" s="360"/>
      <c r="T143" s="360"/>
      <c r="U143" s="360"/>
      <c r="W143" s="360"/>
      <c r="X143" s="360"/>
      <c r="Y143" s="360"/>
      <c r="Z143" s="360"/>
      <c r="AA143" s="541"/>
      <c r="AB143" s="360"/>
      <c r="AC143" s="360"/>
      <c r="AD143" s="360"/>
      <c r="AE143" s="360"/>
      <c r="AG143" s="360"/>
      <c r="AH143" s="360"/>
      <c r="AI143" s="360"/>
      <c r="AJ143" s="360"/>
      <c r="AK143" s="360"/>
      <c r="AL143" s="360"/>
      <c r="AM143" s="360"/>
      <c r="AN143" s="360"/>
      <c r="AO143" s="360"/>
      <c r="AP143" s="360"/>
      <c r="AQ143" s="360"/>
      <c r="AR143" s="360"/>
      <c r="AS143" s="360"/>
      <c r="AT143" s="360"/>
      <c r="AV143" s="542"/>
      <c r="AW143" s="551"/>
      <c r="AX143" s="551"/>
      <c r="AY143" s="9"/>
      <c r="AZ143" s="48"/>
      <c r="BA143" s="360"/>
      <c r="BB143" s="360"/>
      <c r="BC143" s="360"/>
      <c r="BD143" s="360"/>
      <c r="BE143" s="360"/>
    </row>
    <row r="144" spans="8:57" x14ac:dyDescent="0.2">
      <c r="H144" s="548"/>
      <c r="I144" s="4"/>
      <c r="J144" s="4"/>
      <c r="L144" s="4"/>
      <c r="R144" s="360"/>
      <c r="S144" s="360"/>
      <c r="T144" s="360"/>
      <c r="U144" s="360"/>
      <c r="W144" s="360"/>
      <c r="X144" s="360"/>
      <c r="Y144" s="360"/>
      <c r="Z144" s="360"/>
      <c r="AA144" s="541"/>
      <c r="AB144" s="360"/>
      <c r="AC144" s="360"/>
      <c r="AD144" s="360"/>
      <c r="AE144" s="360"/>
      <c r="AG144" s="360"/>
      <c r="AH144" s="360"/>
      <c r="AI144" s="360"/>
      <c r="AJ144" s="360"/>
      <c r="AK144" s="360"/>
      <c r="AL144" s="360"/>
      <c r="AM144" s="360"/>
      <c r="AN144" s="360"/>
      <c r="AO144" s="360"/>
      <c r="AP144" s="360"/>
      <c r="AQ144" s="360"/>
      <c r="AR144" s="360"/>
      <c r="AS144" s="360"/>
      <c r="AT144" s="360"/>
      <c r="AV144" s="542"/>
      <c r="AW144" s="551"/>
      <c r="AX144" s="551"/>
      <c r="AY144" s="9"/>
      <c r="AZ144" s="48"/>
      <c r="BA144" s="360"/>
      <c r="BB144" s="360"/>
      <c r="BC144" s="360"/>
      <c r="BD144" s="360"/>
      <c r="BE144" s="360"/>
    </row>
    <row r="145" spans="8:57" x14ac:dyDescent="0.2">
      <c r="H145" s="548"/>
      <c r="I145" s="4"/>
      <c r="J145" s="4"/>
      <c r="L145" s="4"/>
      <c r="R145" s="360"/>
      <c r="S145" s="360"/>
      <c r="T145" s="360"/>
      <c r="U145" s="360"/>
      <c r="W145" s="360"/>
      <c r="X145" s="360"/>
      <c r="Y145" s="360"/>
      <c r="Z145" s="360"/>
      <c r="AA145" s="541"/>
      <c r="AB145" s="360"/>
      <c r="AC145" s="360"/>
      <c r="AD145" s="360"/>
      <c r="AE145" s="360"/>
      <c r="AG145" s="360"/>
      <c r="AH145" s="360"/>
      <c r="AI145" s="360"/>
      <c r="AJ145" s="360"/>
      <c r="AK145" s="360"/>
      <c r="AL145" s="360"/>
      <c r="AM145" s="360"/>
      <c r="AN145" s="360"/>
      <c r="AO145" s="360"/>
      <c r="AP145" s="360"/>
      <c r="AQ145" s="360"/>
      <c r="AR145" s="360"/>
      <c r="AS145" s="360"/>
      <c r="AT145" s="360"/>
      <c r="AV145" s="542"/>
      <c r="AW145" s="551"/>
      <c r="AX145" s="551"/>
      <c r="AY145" s="9"/>
      <c r="AZ145" s="48"/>
      <c r="BA145" s="360"/>
      <c r="BB145" s="360"/>
      <c r="BC145" s="360"/>
      <c r="BD145" s="360"/>
      <c r="BE145" s="360"/>
    </row>
    <row r="146" spans="8:57" x14ac:dyDescent="0.2">
      <c r="H146" s="548"/>
      <c r="I146" s="4"/>
      <c r="J146" s="4"/>
      <c r="L146" s="4"/>
      <c r="R146" s="360"/>
      <c r="S146" s="360"/>
      <c r="T146" s="360"/>
      <c r="U146" s="360"/>
      <c r="W146" s="360"/>
      <c r="X146" s="360"/>
      <c r="Y146" s="360"/>
      <c r="Z146" s="360"/>
      <c r="AA146" s="541"/>
      <c r="AB146" s="360"/>
      <c r="AC146" s="360"/>
      <c r="AD146" s="360"/>
      <c r="AE146" s="360"/>
      <c r="AG146" s="360"/>
      <c r="AH146" s="360"/>
      <c r="AI146" s="360"/>
      <c r="AJ146" s="360"/>
      <c r="AK146" s="360"/>
      <c r="AL146" s="360"/>
      <c r="AM146" s="360"/>
      <c r="AN146" s="360"/>
      <c r="AO146" s="360"/>
      <c r="AP146" s="360"/>
      <c r="AQ146" s="360"/>
      <c r="AR146" s="360"/>
      <c r="AS146" s="360"/>
      <c r="AT146" s="360"/>
      <c r="AV146" s="542"/>
      <c r="AW146" s="551"/>
      <c r="AX146" s="551"/>
      <c r="AY146" s="9"/>
      <c r="AZ146" s="48"/>
      <c r="BA146" s="360"/>
      <c r="BB146" s="360"/>
      <c r="BC146" s="360"/>
      <c r="BD146" s="360"/>
      <c r="BE146" s="360"/>
    </row>
    <row r="147" spans="8:57" x14ac:dyDescent="0.2">
      <c r="H147" s="548"/>
      <c r="I147" s="4"/>
      <c r="J147" s="4"/>
      <c r="L147" s="4"/>
      <c r="R147" s="360"/>
      <c r="S147" s="360"/>
      <c r="T147" s="360"/>
      <c r="U147" s="360"/>
      <c r="W147" s="360"/>
      <c r="X147" s="360"/>
      <c r="Y147" s="360"/>
      <c r="Z147" s="360"/>
      <c r="AA147" s="541"/>
      <c r="AB147" s="360"/>
      <c r="AC147" s="360"/>
      <c r="AD147" s="360"/>
      <c r="AE147" s="360"/>
      <c r="AG147" s="360"/>
      <c r="AH147" s="360"/>
      <c r="AI147" s="360"/>
      <c r="AJ147" s="360"/>
      <c r="AK147" s="360"/>
      <c r="AL147" s="360"/>
      <c r="AM147" s="360"/>
      <c r="AN147" s="360"/>
      <c r="AO147" s="360"/>
      <c r="AP147" s="360"/>
      <c r="AQ147" s="360"/>
      <c r="AR147" s="360"/>
      <c r="AS147" s="360"/>
      <c r="AT147" s="360"/>
      <c r="AV147" s="542"/>
      <c r="AW147" s="551"/>
      <c r="AX147" s="551"/>
      <c r="AY147" s="9"/>
      <c r="AZ147" s="48"/>
      <c r="BA147" s="360"/>
      <c r="BB147" s="360"/>
      <c r="BC147" s="360"/>
      <c r="BD147" s="360"/>
      <c r="BE147" s="360"/>
    </row>
    <row r="148" spans="8:57" x14ac:dyDescent="0.2">
      <c r="H148" s="548"/>
      <c r="I148" s="4"/>
      <c r="J148" s="4"/>
      <c r="L148" s="4"/>
      <c r="R148" s="360"/>
      <c r="S148" s="360"/>
      <c r="T148" s="360"/>
      <c r="U148" s="360"/>
      <c r="W148" s="360"/>
      <c r="X148" s="360"/>
      <c r="Y148" s="360"/>
      <c r="Z148" s="360"/>
      <c r="AA148" s="541"/>
      <c r="AB148" s="360"/>
      <c r="AC148" s="360"/>
      <c r="AD148" s="360"/>
      <c r="AE148" s="360"/>
      <c r="AG148" s="360"/>
      <c r="AH148" s="360"/>
      <c r="AI148" s="360"/>
      <c r="AJ148" s="360"/>
      <c r="AK148" s="360"/>
      <c r="AL148" s="360"/>
      <c r="AM148" s="360"/>
      <c r="AN148" s="360"/>
      <c r="AO148" s="360"/>
      <c r="AP148" s="360"/>
      <c r="AQ148" s="360"/>
      <c r="AR148" s="360"/>
      <c r="AS148" s="360"/>
      <c r="AT148" s="360"/>
      <c r="AV148" s="542"/>
      <c r="AW148" s="551"/>
      <c r="AX148" s="551"/>
      <c r="AY148" s="9"/>
      <c r="AZ148" s="48"/>
      <c r="BA148" s="360"/>
      <c r="BB148" s="360"/>
      <c r="BC148" s="360"/>
      <c r="BD148" s="360"/>
      <c r="BE148" s="360"/>
    </row>
    <row r="149" spans="8:57" x14ac:dyDescent="0.2">
      <c r="H149" s="548"/>
      <c r="I149" s="4"/>
      <c r="J149" s="4"/>
      <c r="L149" s="4"/>
      <c r="R149" s="360"/>
      <c r="S149" s="360"/>
      <c r="T149" s="360"/>
      <c r="U149" s="360"/>
      <c r="W149" s="360"/>
      <c r="X149" s="360"/>
      <c r="Y149" s="360"/>
      <c r="Z149" s="360"/>
      <c r="AA149" s="541"/>
      <c r="AB149" s="360"/>
      <c r="AC149" s="360"/>
      <c r="AD149" s="360"/>
      <c r="AE149" s="360"/>
      <c r="AG149" s="360"/>
      <c r="AH149" s="360"/>
      <c r="AI149" s="360"/>
      <c r="AJ149" s="360"/>
      <c r="AK149" s="360"/>
      <c r="AL149" s="360"/>
      <c r="AM149" s="360"/>
      <c r="AN149" s="360"/>
      <c r="AO149" s="360"/>
      <c r="AP149" s="360"/>
      <c r="AQ149" s="360"/>
      <c r="AR149" s="360"/>
      <c r="AS149" s="360"/>
      <c r="AT149" s="360"/>
      <c r="AV149" s="542"/>
      <c r="AW149" s="551"/>
      <c r="AX149" s="551"/>
      <c r="AY149" s="9"/>
      <c r="AZ149" s="48"/>
      <c r="BA149" s="360"/>
      <c r="BB149" s="360"/>
      <c r="BC149" s="360"/>
      <c r="BD149" s="360"/>
      <c r="BE149" s="360"/>
    </row>
    <row r="150" spans="8:57" x14ac:dyDescent="0.2">
      <c r="H150" s="548"/>
      <c r="I150" s="4"/>
      <c r="J150" s="4"/>
      <c r="L150" s="4"/>
      <c r="R150" s="360"/>
      <c r="S150" s="360"/>
      <c r="T150" s="360"/>
      <c r="U150" s="360"/>
      <c r="W150" s="360"/>
      <c r="X150" s="360"/>
      <c r="Y150" s="360"/>
      <c r="Z150" s="360"/>
      <c r="AA150" s="541"/>
      <c r="AB150" s="360"/>
      <c r="AC150" s="360"/>
      <c r="AD150" s="360"/>
      <c r="AE150" s="360"/>
      <c r="AG150" s="360"/>
      <c r="AH150" s="360"/>
      <c r="AI150" s="360"/>
      <c r="AJ150" s="360"/>
      <c r="AK150" s="360"/>
      <c r="AL150" s="360"/>
      <c r="AM150" s="360"/>
      <c r="AN150" s="360"/>
      <c r="AO150" s="360"/>
      <c r="AP150" s="360"/>
      <c r="AQ150" s="360"/>
      <c r="AR150" s="360"/>
      <c r="AS150" s="360"/>
      <c r="AT150" s="360"/>
      <c r="AV150" s="542"/>
      <c r="AW150" s="551"/>
      <c r="AX150" s="551"/>
      <c r="AY150" s="9"/>
      <c r="AZ150" s="48"/>
      <c r="BA150" s="360"/>
      <c r="BB150" s="360"/>
      <c r="BC150" s="360"/>
      <c r="BD150" s="360"/>
      <c r="BE150" s="360"/>
    </row>
    <row r="151" spans="8:57" x14ac:dyDescent="0.2">
      <c r="H151" s="548"/>
      <c r="I151" s="4"/>
      <c r="J151" s="4"/>
      <c r="L151" s="4"/>
      <c r="R151" s="360"/>
      <c r="S151" s="360"/>
      <c r="T151" s="360"/>
      <c r="U151" s="360"/>
      <c r="W151" s="360"/>
      <c r="X151" s="360"/>
      <c r="Y151" s="360"/>
      <c r="Z151" s="360"/>
      <c r="AA151" s="541"/>
      <c r="AB151" s="360"/>
      <c r="AC151" s="360"/>
      <c r="AD151" s="360"/>
      <c r="AE151" s="360"/>
      <c r="AG151" s="360"/>
      <c r="AH151" s="360"/>
      <c r="AI151" s="360"/>
      <c r="AJ151" s="360"/>
      <c r="AK151" s="360"/>
      <c r="AL151" s="360"/>
      <c r="AM151" s="360"/>
      <c r="AN151" s="360"/>
      <c r="AO151" s="360"/>
      <c r="AP151" s="360"/>
      <c r="AQ151" s="360"/>
      <c r="AR151" s="360"/>
      <c r="AS151" s="360"/>
      <c r="AT151" s="360"/>
      <c r="AV151" s="542"/>
      <c r="AW151" s="551"/>
      <c r="AX151" s="551"/>
      <c r="AY151" s="9"/>
      <c r="AZ151" s="48"/>
      <c r="BA151" s="360"/>
      <c r="BB151" s="360"/>
      <c r="BC151" s="360"/>
      <c r="BD151" s="360"/>
      <c r="BE151" s="360"/>
    </row>
    <row r="152" spans="8:57" x14ac:dyDescent="0.2">
      <c r="H152" s="548"/>
      <c r="I152" s="4"/>
      <c r="J152" s="4"/>
      <c r="L152" s="4"/>
      <c r="R152" s="360"/>
      <c r="S152" s="360"/>
      <c r="T152" s="360"/>
      <c r="U152" s="360"/>
      <c r="W152" s="360"/>
      <c r="X152" s="360"/>
      <c r="Y152" s="360"/>
      <c r="Z152" s="360"/>
      <c r="AA152" s="541"/>
      <c r="AB152" s="360"/>
      <c r="AC152" s="360"/>
      <c r="AD152" s="360"/>
      <c r="AE152" s="360"/>
      <c r="AG152" s="360"/>
      <c r="AH152" s="360"/>
      <c r="AI152" s="360"/>
      <c r="AJ152" s="360"/>
      <c r="AK152" s="360"/>
      <c r="AL152" s="360"/>
      <c r="AM152" s="360"/>
      <c r="AN152" s="360"/>
      <c r="AO152" s="360"/>
      <c r="AP152" s="360"/>
      <c r="AQ152" s="360"/>
      <c r="AR152" s="360"/>
      <c r="AS152" s="360"/>
      <c r="AT152" s="360"/>
      <c r="AV152" s="542"/>
      <c r="AW152" s="551"/>
      <c r="AX152" s="551"/>
      <c r="AY152" s="9"/>
      <c r="AZ152" s="48"/>
      <c r="BA152" s="360"/>
      <c r="BB152" s="360"/>
      <c r="BC152" s="360"/>
      <c r="BD152" s="360"/>
      <c r="BE152" s="360"/>
    </row>
    <row r="153" spans="8:57" x14ac:dyDescent="0.2">
      <c r="H153" s="548"/>
      <c r="I153" s="4"/>
      <c r="J153" s="4"/>
      <c r="L153" s="4"/>
      <c r="R153" s="360"/>
      <c r="S153" s="360"/>
      <c r="T153" s="360"/>
      <c r="U153" s="360"/>
      <c r="W153" s="360"/>
      <c r="X153" s="360"/>
      <c r="Y153" s="360"/>
      <c r="Z153" s="360"/>
      <c r="AA153" s="541"/>
      <c r="AB153" s="360"/>
      <c r="AC153" s="360"/>
      <c r="AD153" s="360"/>
      <c r="AE153" s="360"/>
      <c r="AG153" s="360"/>
      <c r="AH153" s="360"/>
      <c r="AI153" s="360"/>
      <c r="AJ153" s="360"/>
      <c r="AK153" s="360"/>
      <c r="AL153" s="360"/>
      <c r="AM153" s="360"/>
      <c r="AN153" s="360"/>
      <c r="AO153" s="360"/>
      <c r="AP153" s="360"/>
      <c r="AQ153" s="360"/>
      <c r="AR153" s="360"/>
      <c r="AS153" s="360"/>
      <c r="AT153" s="360"/>
      <c r="AV153" s="542"/>
      <c r="AW153" s="551"/>
      <c r="AX153" s="551"/>
      <c r="AY153" s="9"/>
      <c r="AZ153" s="48"/>
      <c r="BA153" s="360"/>
      <c r="BB153" s="360"/>
      <c r="BC153" s="360"/>
      <c r="BD153" s="360"/>
      <c r="BE153" s="360"/>
    </row>
    <row r="154" spans="8:57" x14ac:dyDescent="0.2">
      <c r="H154" s="548"/>
      <c r="I154" s="4"/>
      <c r="J154" s="4"/>
      <c r="L154" s="4"/>
      <c r="R154" s="360"/>
      <c r="S154" s="360"/>
      <c r="T154" s="360"/>
      <c r="U154" s="360"/>
      <c r="W154" s="360"/>
      <c r="X154" s="360"/>
      <c r="Y154" s="360"/>
      <c r="Z154" s="360"/>
      <c r="AA154" s="541"/>
      <c r="AB154" s="360"/>
      <c r="AC154" s="360"/>
      <c r="AD154" s="360"/>
      <c r="AE154" s="360"/>
      <c r="AG154" s="360"/>
      <c r="AH154" s="360"/>
      <c r="AI154" s="360"/>
      <c r="AJ154" s="360"/>
      <c r="AK154" s="360"/>
      <c r="AL154" s="360"/>
      <c r="AM154" s="360"/>
      <c r="AN154" s="360"/>
      <c r="AO154" s="360"/>
      <c r="AP154" s="360"/>
      <c r="AQ154" s="360"/>
      <c r="AR154" s="360"/>
      <c r="AS154" s="360"/>
      <c r="AT154" s="360"/>
      <c r="AV154" s="542"/>
      <c r="AW154" s="551"/>
      <c r="AX154" s="551"/>
      <c r="AY154" s="9"/>
      <c r="AZ154" s="48"/>
      <c r="BA154" s="360"/>
      <c r="BB154" s="360"/>
      <c r="BC154" s="360"/>
      <c r="BD154" s="360"/>
      <c r="BE154" s="360"/>
    </row>
    <row r="155" spans="8:57" x14ac:dyDescent="0.2">
      <c r="H155" s="548"/>
      <c r="I155" s="4"/>
      <c r="J155" s="4"/>
      <c r="L155" s="4"/>
      <c r="R155" s="360"/>
      <c r="S155" s="360"/>
      <c r="T155" s="360"/>
      <c r="U155" s="360"/>
      <c r="W155" s="360"/>
      <c r="X155" s="360"/>
      <c r="Y155" s="360"/>
      <c r="Z155" s="360"/>
      <c r="AA155" s="541"/>
      <c r="AB155" s="360"/>
      <c r="AC155" s="360"/>
      <c r="AD155" s="360"/>
      <c r="AE155" s="360"/>
      <c r="AG155" s="360"/>
      <c r="AH155" s="360"/>
      <c r="AI155" s="360"/>
      <c r="AJ155" s="360"/>
      <c r="AK155" s="360"/>
      <c r="AL155" s="360"/>
      <c r="AM155" s="360"/>
      <c r="AN155" s="360"/>
      <c r="AO155" s="360"/>
      <c r="AP155" s="360"/>
      <c r="AQ155" s="360"/>
      <c r="AR155" s="360"/>
      <c r="AS155" s="360"/>
      <c r="AT155" s="360"/>
      <c r="AV155" s="542"/>
      <c r="AW155" s="551"/>
      <c r="AX155" s="551"/>
      <c r="AY155" s="9"/>
      <c r="AZ155" s="48"/>
      <c r="BA155" s="360"/>
      <c r="BB155" s="360"/>
      <c r="BC155" s="360"/>
      <c r="BD155" s="360"/>
      <c r="BE155" s="360"/>
    </row>
    <row r="156" spans="8:57" x14ac:dyDescent="0.2">
      <c r="H156" s="548"/>
      <c r="I156" s="4"/>
      <c r="J156" s="4"/>
      <c r="L156" s="4"/>
      <c r="R156" s="360"/>
      <c r="S156" s="360"/>
      <c r="T156" s="360"/>
      <c r="U156" s="360"/>
      <c r="W156" s="360"/>
      <c r="X156" s="360"/>
      <c r="Y156" s="360"/>
      <c r="Z156" s="360"/>
      <c r="AA156" s="541"/>
      <c r="AB156" s="360"/>
      <c r="AC156" s="360"/>
      <c r="AD156" s="360"/>
      <c r="AE156" s="360"/>
      <c r="AG156" s="360"/>
      <c r="AH156" s="360"/>
      <c r="AI156" s="360"/>
      <c r="AJ156" s="360"/>
      <c r="AK156" s="360"/>
      <c r="AL156" s="360"/>
      <c r="AM156" s="360"/>
      <c r="AN156" s="360"/>
      <c r="AO156" s="360"/>
      <c r="AP156" s="360"/>
      <c r="AQ156" s="360"/>
      <c r="AR156" s="360"/>
      <c r="AS156" s="360"/>
      <c r="AT156" s="360"/>
      <c r="AV156" s="542"/>
      <c r="AW156" s="551"/>
      <c r="AX156" s="551"/>
      <c r="AY156" s="9"/>
      <c r="AZ156" s="48"/>
      <c r="BA156" s="360"/>
      <c r="BB156" s="360"/>
      <c r="BC156" s="360"/>
      <c r="BD156" s="360"/>
      <c r="BE156" s="360"/>
    </row>
    <row r="157" spans="8:57" x14ac:dyDescent="0.2">
      <c r="H157" s="548"/>
      <c r="I157" s="4"/>
      <c r="J157" s="4"/>
      <c r="L157" s="4"/>
      <c r="R157" s="360"/>
      <c r="S157" s="360"/>
      <c r="T157" s="360"/>
      <c r="U157" s="360"/>
      <c r="W157" s="360"/>
      <c r="X157" s="360"/>
      <c r="Y157" s="360"/>
      <c r="Z157" s="360"/>
      <c r="AA157" s="541"/>
      <c r="AB157" s="360"/>
      <c r="AC157" s="360"/>
      <c r="AD157" s="360"/>
      <c r="AE157" s="360"/>
      <c r="AG157" s="360"/>
      <c r="AH157" s="360"/>
      <c r="AI157" s="360"/>
      <c r="AJ157" s="360"/>
      <c r="AK157" s="360"/>
      <c r="AL157" s="360"/>
      <c r="AM157" s="360"/>
      <c r="AN157" s="360"/>
      <c r="AO157" s="360"/>
      <c r="AP157" s="360"/>
      <c r="AQ157" s="360"/>
      <c r="AR157" s="360"/>
      <c r="AS157" s="360"/>
      <c r="AT157" s="360"/>
      <c r="AV157" s="542"/>
      <c r="AW157" s="551"/>
      <c r="AX157" s="551"/>
      <c r="AY157" s="9"/>
      <c r="AZ157" s="48"/>
      <c r="BA157" s="360"/>
      <c r="BB157" s="360"/>
      <c r="BC157" s="360"/>
      <c r="BD157" s="360"/>
      <c r="BE157" s="360"/>
    </row>
    <row r="158" spans="8:57" x14ac:dyDescent="0.2">
      <c r="H158" s="548"/>
      <c r="I158" s="4"/>
      <c r="J158" s="4"/>
      <c r="L158" s="4"/>
      <c r="R158" s="360"/>
      <c r="S158" s="360"/>
      <c r="T158" s="360"/>
      <c r="U158" s="360"/>
      <c r="W158" s="360"/>
      <c r="X158" s="360"/>
      <c r="Y158" s="360"/>
      <c r="Z158" s="360"/>
      <c r="AA158" s="541"/>
      <c r="AB158" s="360"/>
      <c r="AC158" s="360"/>
      <c r="AD158" s="360"/>
      <c r="AE158" s="360"/>
      <c r="AG158" s="360"/>
      <c r="AH158" s="360"/>
      <c r="AI158" s="360"/>
      <c r="AJ158" s="360"/>
      <c r="AK158" s="360"/>
      <c r="AL158" s="360"/>
      <c r="AM158" s="360"/>
      <c r="AN158" s="360"/>
      <c r="AO158" s="360"/>
      <c r="AP158" s="360"/>
      <c r="AQ158" s="360"/>
      <c r="AR158" s="360"/>
      <c r="AS158" s="360"/>
      <c r="AT158" s="360"/>
      <c r="AV158" s="542"/>
      <c r="AW158" s="551"/>
      <c r="AX158" s="551"/>
      <c r="AY158" s="9"/>
      <c r="AZ158" s="48"/>
      <c r="BA158" s="360"/>
      <c r="BB158" s="360"/>
      <c r="BC158" s="360"/>
      <c r="BD158" s="360"/>
      <c r="BE158" s="360"/>
    </row>
    <row r="159" spans="8:57" x14ac:dyDescent="0.2">
      <c r="H159" s="548"/>
      <c r="I159" s="4"/>
      <c r="J159" s="4"/>
      <c r="L159" s="4"/>
      <c r="R159" s="360"/>
      <c r="S159" s="360"/>
      <c r="T159" s="360"/>
      <c r="U159" s="360"/>
      <c r="W159" s="360"/>
      <c r="X159" s="360"/>
      <c r="Y159" s="360"/>
      <c r="Z159" s="360"/>
      <c r="AA159" s="541"/>
      <c r="AB159" s="360"/>
      <c r="AC159" s="360"/>
      <c r="AD159" s="360"/>
      <c r="AE159" s="360"/>
      <c r="AG159" s="360"/>
      <c r="AH159" s="360"/>
      <c r="AI159" s="360"/>
      <c r="AJ159" s="360"/>
      <c r="AK159" s="360"/>
      <c r="AL159" s="360"/>
      <c r="AM159" s="360"/>
      <c r="AN159" s="360"/>
      <c r="AO159" s="360"/>
      <c r="AP159" s="360"/>
      <c r="AQ159" s="360"/>
      <c r="AR159" s="360"/>
      <c r="AS159" s="360"/>
      <c r="AT159" s="360"/>
      <c r="AV159" s="542"/>
      <c r="AW159" s="551"/>
      <c r="AX159" s="551"/>
      <c r="AY159" s="9"/>
      <c r="AZ159" s="48"/>
      <c r="BA159" s="360"/>
      <c r="BB159" s="360"/>
      <c r="BC159" s="360"/>
      <c r="BD159" s="360"/>
      <c r="BE159" s="360"/>
    </row>
    <row r="160" spans="8:57" x14ac:dyDescent="0.2">
      <c r="H160" s="548"/>
      <c r="I160" s="4"/>
      <c r="J160" s="4"/>
      <c r="L160" s="4"/>
      <c r="R160" s="360"/>
      <c r="S160" s="360"/>
      <c r="T160" s="360"/>
      <c r="U160" s="360"/>
      <c r="W160" s="360"/>
      <c r="X160" s="360"/>
      <c r="Y160" s="360"/>
      <c r="Z160" s="360"/>
      <c r="AA160" s="541"/>
      <c r="AB160" s="360"/>
      <c r="AC160" s="360"/>
      <c r="AD160" s="360"/>
      <c r="AE160" s="360"/>
      <c r="AG160" s="360"/>
      <c r="AH160" s="360"/>
      <c r="AI160" s="360"/>
      <c r="AJ160" s="360"/>
      <c r="AK160" s="360"/>
      <c r="AL160" s="360"/>
      <c r="AM160" s="360"/>
      <c r="AN160" s="360"/>
      <c r="AO160" s="360"/>
      <c r="AP160" s="360"/>
      <c r="AQ160" s="360"/>
      <c r="AR160" s="360"/>
      <c r="AS160" s="360"/>
      <c r="AT160" s="360"/>
      <c r="AV160" s="542"/>
      <c r="AW160" s="551"/>
      <c r="AX160" s="551"/>
      <c r="AY160" s="9"/>
      <c r="AZ160" s="48"/>
      <c r="BA160" s="360"/>
      <c r="BB160" s="360"/>
      <c r="BC160" s="360"/>
      <c r="BD160" s="360"/>
      <c r="BE160" s="360"/>
    </row>
    <row r="161" spans="8:57" x14ac:dyDescent="0.2">
      <c r="H161" s="548"/>
      <c r="I161" s="4"/>
      <c r="J161" s="4"/>
      <c r="L161" s="4"/>
      <c r="R161" s="360"/>
      <c r="S161" s="360"/>
      <c r="T161" s="360"/>
      <c r="U161" s="360"/>
      <c r="W161" s="360"/>
      <c r="X161" s="360"/>
      <c r="Y161" s="360"/>
      <c r="Z161" s="360"/>
      <c r="AA161" s="541"/>
      <c r="AB161" s="360"/>
      <c r="AC161" s="360"/>
      <c r="AD161" s="360"/>
      <c r="AE161" s="360"/>
      <c r="AG161" s="360"/>
      <c r="AH161" s="360"/>
      <c r="AI161" s="360"/>
      <c r="AJ161" s="360"/>
      <c r="AK161" s="360"/>
      <c r="AL161" s="360"/>
      <c r="AM161" s="360"/>
      <c r="AN161" s="360"/>
      <c r="AO161" s="360"/>
      <c r="AP161" s="360"/>
      <c r="AQ161" s="360"/>
      <c r="AR161" s="360"/>
      <c r="AS161" s="360"/>
      <c r="AT161" s="360"/>
      <c r="AV161" s="542"/>
      <c r="AW161" s="551"/>
      <c r="AX161" s="551"/>
      <c r="AY161" s="9"/>
      <c r="AZ161" s="48"/>
      <c r="BA161" s="360"/>
      <c r="BB161" s="360"/>
      <c r="BC161" s="360"/>
      <c r="BD161" s="360"/>
      <c r="BE161" s="360"/>
    </row>
    <row r="162" spans="8:57" x14ac:dyDescent="0.2">
      <c r="H162" s="548"/>
      <c r="I162" s="4"/>
      <c r="J162" s="4"/>
      <c r="L162" s="4"/>
      <c r="R162" s="360"/>
      <c r="S162" s="360"/>
      <c r="T162" s="360"/>
      <c r="U162" s="360"/>
      <c r="W162" s="360"/>
      <c r="X162" s="360"/>
      <c r="Y162" s="360"/>
      <c r="Z162" s="360"/>
      <c r="AA162" s="541"/>
      <c r="AB162" s="360"/>
      <c r="AC162" s="360"/>
      <c r="AD162" s="360"/>
      <c r="AE162" s="360"/>
      <c r="AG162" s="360"/>
      <c r="AH162" s="360"/>
      <c r="AI162" s="360"/>
      <c r="AJ162" s="360"/>
      <c r="AK162" s="360"/>
      <c r="AL162" s="360"/>
      <c r="AM162" s="360"/>
      <c r="AN162" s="360"/>
      <c r="AO162" s="360"/>
      <c r="AP162" s="360"/>
      <c r="AQ162" s="360"/>
      <c r="AR162" s="360"/>
      <c r="AS162" s="360"/>
      <c r="AT162" s="360"/>
      <c r="AV162" s="542"/>
      <c r="AW162" s="551"/>
      <c r="AX162" s="551"/>
      <c r="AY162" s="9"/>
      <c r="AZ162" s="48"/>
      <c r="BA162" s="360"/>
      <c r="BB162" s="360"/>
      <c r="BC162" s="360"/>
      <c r="BD162" s="360"/>
      <c r="BE162" s="360"/>
    </row>
    <row r="163" spans="8:57" x14ac:dyDescent="0.2">
      <c r="H163" s="548"/>
      <c r="I163" s="4"/>
      <c r="J163" s="4"/>
      <c r="L163" s="4"/>
      <c r="R163" s="360"/>
      <c r="S163" s="360"/>
      <c r="T163" s="360"/>
      <c r="U163" s="360"/>
      <c r="W163" s="360"/>
      <c r="X163" s="360"/>
      <c r="Y163" s="360"/>
      <c r="Z163" s="360"/>
      <c r="AA163" s="541"/>
      <c r="AB163" s="360"/>
      <c r="AC163" s="360"/>
      <c r="AD163" s="360"/>
      <c r="AE163" s="360"/>
      <c r="AG163" s="360"/>
      <c r="AH163" s="360"/>
      <c r="AI163" s="360"/>
      <c r="AJ163" s="360"/>
      <c r="AK163" s="360"/>
      <c r="AL163" s="360"/>
      <c r="AM163" s="360"/>
      <c r="AN163" s="360"/>
      <c r="AO163" s="360"/>
      <c r="AP163" s="360"/>
      <c r="AQ163" s="360"/>
      <c r="AR163" s="360"/>
      <c r="AS163" s="360"/>
      <c r="AT163" s="360"/>
      <c r="AV163" s="542"/>
      <c r="AW163" s="551"/>
      <c r="AX163" s="551"/>
      <c r="AY163" s="9"/>
      <c r="AZ163" s="48"/>
      <c r="BA163" s="360"/>
      <c r="BB163" s="360"/>
      <c r="BC163" s="360"/>
      <c r="BD163" s="360"/>
      <c r="BE163" s="360"/>
    </row>
    <row r="164" spans="8:57" x14ac:dyDescent="0.2">
      <c r="H164" s="548"/>
      <c r="I164" s="4"/>
      <c r="J164" s="4"/>
      <c r="L164" s="4"/>
      <c r="R164" s="360"/>
      <c r="S164" s="360"/>
      <c r="T164" s="360"/>
      <c r="U164" s="360"/>
      <c r="W164" s="360"/>
      <c r="X164" s="360"/>
      <c r="Y164" s="360"/>
      <c r="Z164" s="360"/>
      <c r="AA164" s="541"/>
      <c r="AB164" s="360"/>
      <c r="AC164" s="360"/>
      <c r="AD164" s="360"/>
      <c r="AE164" s="360"/>
      <c r="AG164" s="360"/>
      <c r="AH164" s="360"/>
      <c r="AI164" s="360"/>
      <c r="AJ164" s="360"/>
      <c r="AK164" s="360"/>
      <c r="AL164" s="360"/>
      <c r="AM164" s="360"/>
      <c r="AN164" s="360"/>
      <c r="AO164" s="360"/>
      <c r="AP164" s="360"/>
      <c r="AQ164" s="360"/>
      <c r="AR164" s="360"/>
      <c r="AS164" s="360"/>
      <c r="AT164" s="360"/>
      <c r="AV164" s="542"/>
      <c r="AW164" s="551"/>
      <c r="AX164" s="551"/>
      <c r="AY164" s="9"/>
      <c r="AZ164" s="48"/>
      <c r="BA164" s="360"/>
      <c r="BB164" s="360"/>
      <c r="BC164" s="360"/>
      <c r="BD164" s="360"/>
      <c r="BE164" s="360"/>
    </row>
    <row r="165" spans="8:57" x14ac:dyDescent="0.2">
      <c r="H165" s="548"/>
      <c r="I165" s="4"/>
      <c r="J165" s="4"/>
      <c r="L165" s="4"/>
      <c r="R165" s="360"/>
      <c r="S165" s="360"/>
      <c r="T165" s="360"/>
      <c r="U165" s="360"/>
      <c r="W165" s="360"/>
      <c r="X165" s="360"/>
      <c r="Y165" s="360"/>
      <c r="Z165" s="360"/>
      <c r="AA165" s="541"/>
      <c r="AB165" s="360"/>
      <c r="AC165" s="360"/>
      <c r="AD165" s="360"/>
      <c r="AE165" s="360"/>
      <c r="AG165" s="360"/>
      <c r="AH165" s="360"/>
      <c r="AI165" s="360"/>
      <c r="AJ165" s="360"/>
      <c r="AK165" s="360"/>
      <c r="AL165" s="360"/>
      <c r="AM165" s="360"/>
      <c r="AN165" s="360"/>
      <c r="AO165" s="360"/>
      <c r="AP165" s="360"/>
      <c r="AQ165" s="360"/>
      <c r="AR165" s="360"/>
      <c r="AS165" s="360"/>
      <c r="AT165" s="360"/>
      <c r="AV165" s="542"/>
      <c r="AW165" s="551"/>
      <c r="AX165" s="551"/>
      <c r="AY165" s="9"/>
      <c r="AZ165" s="48"/>
      <c r="BA165" s="360"/>
      <c r="BB165" s="360"/>
      <c r="BC165" s="360"/>
      <c r="BD165" s="360"/>
      <c r="BE165" s="360"/>
    </row>
    <row r="166" spans="8:57" x14ac:dyDescent="0.2">
      <c r="H166" s="548"/>
      <c r="I166" s="4"/>
      <c r="J166" s="4"/>
      <c r="L166" s="4"/>
      <c r="R166" s="360"/>
      <c r="S166" s="360"/>
      <c r="T166" s="360"/>
      <c r="U166" s="360"/>
      <c r="W166" s="360"/>
      <c r="X166" s="360"/>
      <c r="Y166" s="360"/>
      <c r="Z166" s="360"/>
      <c r="AA166" s="541"/>
      <c r="AB166" s="360"/>
      <c r="AC166" s="360"/>
      <c r="AD166" s="360"/>
      <c r="AE166" s="360"/>
      <c r="AG166" s="360"/>
      <c r="AH166" s="360"/>
      <c r="AI166" s="360"/>
      <c r="AJ166" s="360"/>
      <c r="AK166" s="360"/>
      <c r="AL166" s="360"/>
      <c r="AM166" s="360"/>
      <c r="AN166" s="360"/>
      <c r="AO166" s="360"/>
      <c r="AP166" s="360"/>
      <c r="AQ166" s="360"/>
      <c r="AR166" s="360"/>
      <c r="AS166" s="360"/>
      <c r="AT166" s="360"/>
      <c r="AV166" s="542"/>
      <c r="AW166" s="551"/>
      <c r="AX166" s="551"/>
      <c r="AY166" s="9"/>
      <c r="AZ166" s="48"/>
      <c r="BA166" s="360"/>
      <c r="BB166" s="360"/>
      <c r="BC166" s="360"/>
      <c r="BD166" s="360"/>
      <c r="BE166" s="360"/>
    </row>
    <row r="167" spans="8:57" x14ac:dyDescent="0.2">
      <c r="H167" s="548"/>
      <c r="I167" s="4"/>
      <c r="J167" s="4"/>
      <c r="L167" s="4"/>
      <c r="R167" s="360"/>
      <c r="S167" s="360"/>
      <c r="T167" s="360"/>
      <c r="U167" s="360"/>
      <c r="W167" s="360"/>
      <c r="X167" s="360"/>
      <c r="Y167" s="360"/>
      <c r="Z167" s="360"/>
      <c r="AA167" s="541"/>
      <c r="AB167" s="360"/>
      <c r="AC167" s="360"/>
      <c r="AD167" s="360"/>
      <c r="AE167" s="360"/>
      <c r="AG167" s="360"/>
      <c r="AH167" s="360"/>
      <c r="AI167" s="360"/>
      <c r="AJ167" s="360"/>
      <c r="AK167" s="360"/>
      <c r="AL167" s="360"/>
      <c r="AM167" s="360"/>
      <c r="AN167" s="360"/>
      <c r="AO167" s="360"/>
      <c r="AP167" s="360"/>
      <c r="AQ167" s="360"/>
      <c r="AR167" s="360"/>
      <c r="AS167" s="360"/>
      <c r="AT167" s="360"/>
      <c r="AV167" s="542"/>
      <c r="AW167" s="551"/>
      <c r="AX167" s="551"/>
      <c r="AY167" s="9"/>
      <c r="AZ167" s="48"/>
      <c r="BA167" s="360"/>
      <c r="BB167" s="360"/>
      <c r="BC167" s="360"/>
      <c r="BD167" s="360"/>
      <c r="BE167" s="360"/>
    </row>
    <row r="168" spans="8:57" x14ac:dyDescent="0.2">
      <c r="H168" s="548"/>
      <c r="I168" s="4"/>
      <c r="J168" s="4"/>
      <c r="L168" s="4"/>
      <c r="R168" s="360"/>
      <c r="S168" s="360"/>
      <c r="T168" s="360"/>
      <c r="U168" s="360"/>
      <c r="W168" s="360"/>
      <c r="X168" s="360"/>
      <c r="Y168" s="360"/>
      <c r="Z168" s="360"/>
      <c r="AA168" s="541"/>
      <c r="AB168" s="360"/>
      <c r="AC168" s="360"/>
      <c r="AD168" s="360"/>
      <c r="AE168" s="360"/>
      <c r="AG168" s="360"/>
      <c r="AH168" s="360"/>
      <c r="AI168" s="360"/>
      <c r="AJ168" s="360"/>
      <c r="AK168" s="360"/>
      <c r="AL168" s="360"/>
      <c r="AM168" s="360"/>
      <c r="AN168" s="360"/>
      <c r="AO168" s="360"/>
      <c r="AP168" s="360"/>
      <c r="AQ168" s="360"/>
      <c r="AR168" s="360"/>
      <c r="AS168" s="360"/>
      <c r="AT168" s="360"/>
      <c r="AV168" s="542"/>
      <c r="AW168" s="551"/>
      <c r="AX168" s="551"/>
      <c r="AY168" s="9"/>
      <c r="AZ168" s="48"/>
      <c r="BA168" s="360"/>
      <c r="BB168" s="360"/>
      <c r="BC168" s="360"/>
      <c r="BD168" s="360"/>
      <c r="BE168" s="360"/>
    </row>
    <row r="169" spans="8:57" x14ac:dyDescent="0.2">
      <c r="H169" s="548"/>
      <c r="I169" s="4"/>
      <c r="J169" s="4"/>
      <c r="L169" s="4"/>
      <c r="R169" s="360"/>
      <c r="S169" s="360"/>
      <c r="T169" s="360"/>
      <c r="U169" s="360"/>
      <c r="W169" s="360"/>
      <c r="X169" s="360"/>
      <c r="Y169" s="360"/>
      <c r="Z169" s="360"/>
      <c r="AA169" s="541"/>
      <c r="AB169" s="360"/>
      <c r="AC169" s="360"/>
      <c r="AD169" s="360"/>
      <c r="AE169" s="360"/>
      <c r="AG169" s="360"/>
      <c r="AH169" s="360"/>
      <c r="AI169" s="360"/>
      <c r="AJ169" s="360"/>
      <c r="AK169" s="360"/>
      <c r="AL169" s="360"/>
      <c r="AM169" s="360"/>
      <c r="AN169" s="360"/>
      <c r="AO169" s="360"/>
      <c r="AP169" s="360"/>
      <c r="AQ169" s="360"/>
      <c r="AR169" s="360"/>
      <c r="AS169" s="360"/>
      <c r="AT169" s="360"/>
      <c r="AV169" s="542"/>
      <c r="AW169" s="551"/>
      <c r="AX169" s="551"/>
      <c r="AY169" s="9"/>
      <c r="AZ169" s="48"/>
      <c r="BA169" s="360"/>
      <c r="BB169" s="360"/>
      <c r="BC169" s="360"/>
      <c r="BD169" s="360"/>
      <c r="BE169" s="360"/>
    </row>
    <row r="170" spans="8:57" x14ac:dyDescent="0.2">
      <c r="H170" s="548"/>
      <c r="I170" s="4"/>
      <c r="J170" s="4"/>
      <c r="L170" s="4"/>
      <c r="R170" s="360"/>
      <c r="S170" s="360"/>
      <c r="T170" s="360"/>
      <c r="U170" s="360"/>
      <c r="W170" s="360"/>
      <c r="X170" s="360"/>
      <c r="Y170" s="360"/>
      <c r="Z170" s="360"/>
      <c r="AA170" s="541"/>
      <c r="AB170" s="360"/>
      <c r="AC170" s="360"/>
      <c r="AD170" s="360"/>
      <c r="AE170" s="360"/>
      <c r="AG170" s="360"/>
      <c r="AH170" s="360"/>
      <c r="AI170" s="360"/>
      <c r="AJ170" s="360"/>
      <c r="AK170" s="360"/>
      <c r="AL170" s="360"/>
      <c r="AM170" s="360"/>
      <c r="AN170" s="360"/>
      <c r="AO170" s="360"/>
      <c r="AP170" s="360"/>
      <c r="AQ170" s="360"/>
      <c r="AR170" s="360"/>
      <c r="AS170" s="360"/>
      <c r="AT170" s="360"/>
      <c r="AV170" s="542"/>
      <c r="AW170" s="551"/>
      <c r="AX170" s="551"/>
      <c r="AY170" s="9"/>
      <c r="AZ170" s="48"/>
      <c r="BA170" s="360"/>
      <c r="BB170" s="360"/>
      <c r="BC170" s="360"/>
      <c r="BD170" s="360"/>
      <c r="BE170" s="360"/>
    </row>
    <row r="171" spans="8:57" x14ac:dyDescent="0.2">
      <c r="H171" s="548"/>
      <c r="I171" s="4"/>
      <c r="J171" s="4"/>
      <c r="L171" s="4"/>
      <c r="R171" s="360"/>
      <c r="S171" s="360"/>
      <c r="T171" s="360"/>
      <c r="U171" s="360"/>
      <c r="W171" s="360"/>
      <c r="X171" s="360"/>
      <c r="Y171" s="360"/>
      <c r="Z171" s="360"/>
      <c r="AA171" s="541"/>
      <c r="AB171" s="360"/>
      <c r="AC171" s="360"/>
      <c r="AD171" s="360"/>
      <c r="AE171" s="360"/>
      <c r="AG171" s="360"/>
      <c r="AH171" s="360"/>
      <c r="AI171" s="360"/>
      <c r="AJ171" s="360"/>
      <c r="AK171" s="360"/>
      <c r="AL171" s="360"/>
      <c r="AM171" s="360"/>
      <c r="AN171" s="360"/>
      <c r="AO171" s="360"/>
      <c r="AP171" s="360"/>
      <c r="AQ171" s="360"/>
      <c r="AR171" s="360"/>
      <c r="AS171" s="360"/>
      <c r="AT171" s="360"/>
      <c r="AV171" s="542"/>
      <c r="AW171" s="551"/>
      <c r="AX171" s="551"/>
      <c r="AY171" s="9"/>
      <c r="AZ171" s="48"/>
      <c r="BA171" s="360"/>
      <c r="BB171" s="360"/>
      <c r="BC171" s="360"/>
      <c r="BD171" s="360"/>
      <c r="BE171" s="360"/>
    </row>
    <row r="172" spans="8:57" x14ac:dyDescent="0.2">
      <c r="H172" s="548"/>
      <c r="I172" s="4"/>
      <c r="J172" s="4"/>
      <c r="L172" s="4"/>
      <c r="R172" s="360"/>
      <c r="S172" s="360"/>
      <c r="T172" s="360"/>
      <c r="U172" s="360"/>
      <c r="W172" s="360"/>
      <c r="X172" s="360"/>
      <c r="Y172" s="360"/>
      <c r="Z172" s="360"/>
      <c r="AA172" s="541"/>
      <c r="AB172" s="360"/>
      <c r="AC172" s="360"/>
      <c r="AD172" s="360"/>
      <c r="AE172" s="360"/>
      <c r="AG172" s="360"/>
      <c r="AH172" s="360"/>
      <c r="AI172" s="360"/>
      <c r="AJ172" s="360"/>
      <c r="AK172" s="360"/>
      <c r="AL172" s="360"/>
      <c r="AM172" s="360"/>
      <c r="AN172" s="360"/>
      <c r="AO172" s="360"/>
      <c r="AP172" s="360"/>
      <c r="AQ172" s="360"/>
      <c r="AR172" s="360"/>
      <c r="AS172" s="360"/>
      <c r="AT172" s="360"/>
      <c r="AV172" s="542"/>
      <c r="AW172" s="551"/>
      <c r="AX172" s="551"/>
      <c r="AY172" s="9"/>
      <c r="AZ172" s="48"/>
      <c r="BA172" s="360"/>
      <c r="BB172" s="360"/>
      <c r="BC172" s="360"/>
      <c r="BD172" s="360"/>
      <c r="BE172" s="360"/>
    </row>
    <row r="173" spans="8:57" x14ac:dyDescent="0.2">
      <c r="H173" s="548"/>
      <c r="I173" s="4"/>
      <c r="J173" s="4"/>
      <c r="L173" s="4"/>
      <c r="R173" s="360"/>
      <c r="S173" s="360"/>
      <c r="T173" s="360"/>
      <c r="U173" s="360"/>
      <c r="W173" s="360"/>
      <c r="X173" s="360"/>
      <c r="Y173" s="360"/>
      <c r="Z173" s="360"/>
      <c r="AA173" s="541"/>
      <c r="AB173" s="360"/>
      <c r="AC173" s="360"/>
      <c r="AD173" s="360"/>
      <c r="AE173" s="360"/>
      <c r="AG173" s="360"/>
      <c r="AH173" s="360"/>
      <c r="AI173" s="360"/>
      <c r="AJ173" s="360"/>
      <c r="AK173" s="360"/>
      <c r="AL173" s="360"/>
      <c r="AM173" s="360"/>
      <c r="AN173" s="360"/>
      <c r="AO173" s="360"/>
      <c r="AP173" s="360"/>
      <c r="AQ173" s="360"/>
      <c r="AR173" s="360"/>
      <c r="AS173" s="360"/>
      <c r="AT173" s="360"/>
      <c r="AV173" s="542"/>
      <c r="AW173" s="551"/>
      <c r="AX173" s="551"/>
      <c r="AY173" s="9"/>
      <c r="AZ173" s="48"/>
      <c r="BA173" s="360"/>
      <c r="BB173" s="360"/>
      <c r="BC173" s="360"/>
      <c r="BD173" s="360"/>
      <c r="BE173" s="360"/>
    </row>
    <row r="174" spans="8:57" x14ac:dyDescent="0.2">
      <c r="H174" s="548"/>
      <c r="I174" s="4"/>
      <c r="J174" s="4"/>
      <c r="L174" s="4"/>
      <c r="R174" s="360"/>
      <c r="S174" s="360"/>
      <c r="T174" s="360"/>
      <c r="U174" s="360"/>
      <c r="W174" s="360"/>
      <c r="X174" s="360"/>
      <c r="Y174" s="360"/>
      <c r="Z174" s="360"/>
      <c r="AA174" s="541"/>
      <c r="AB174" s="360"/>
      <c r="AC174" s="360"/>
      <c r="AD174" s="360"/>
      <c r="AE174" s="360"/>
      <c r="AG174" s="360"/>
      <c r="AH174" s="360"/>
      <c r="AI174" s="360"/>
      <c r="AJ174" s="360"/>
      <c r="AK174" s="360"/>
      <c r="AL174" s="360"/>
      <c r="AM174" s="360"/>
      <c r="AN174" s="360"/>
      <c r="AO174" s="360"/>
      <c r="AP174" s="360"/>
      <c r="AQ174" s="360"/>
      <c r="AR174" s="360"/>
      <c r="AS174" s="360"/>
      <c r="AT174" s="360"/>
      <c r="AV174" s="542"/>
      <c r="AW174" s="551"/>
      <c r="AX174" s="551"/>
      <c r="AY174" s="9"/>
      <c r="AZ174" s="48"/>
      <c r="BA174" s="360"/>
      <c r="BB174" s="360"/>
      <c r="BC174" s="360"/>
      <c r="BD174" s="360"/>
      <c r="BE174" s="360"/>
    </row>
    <row r="175" spans="8:57" x14ac:dyDescent="0.2">
      <c r="H175" s="548"/>
      <c r="I175" s="4"/>
      <c r="J175" s="4"/>
      <c r="L175" s="4"/>
      <c r="R175" s="360"/>
      <c r="S175" s="360"/>
      <c r="T175" s="360"/>
      <c r="U175" s="360"/>
      <c r="W175" s="360"/>
      <c r="X175" s="360"/>
      <c r="Y175" s="360"/>
      <c r="Z175" s="360"/>
      <c r="AA175" s="541"/>
      <c r="AB175" s="360"/>
      <c r="AC175" s="360"/>
      <c r="AD175" s="360"/>
      <c r="AE175" s="360"/>
      <c r="AG175" s="360"/>
      <c r="AH175" s="360"/>
      <c r="AI175" s="360"/>
      <c r="AJ175" s="360"/>
      <c r="AK175" s="360"/>
      <c r="AL175" s="360"/>
      <c r="AM175" s="360"/>
      <c r="AN175" s="360"/>
      <c r="AO175" s="360"/>
      <c r="AP175" s="360"/>
      <c r="AQ175" s="360"/>
      <c r="AR175" s="360"/>
      <c r="AS175" s="360"/>
      <c r="AT175" s="360"/>
      <c r="AV175" s="542"/>
      <c r="AW175" s="551"/>
      <c r="AX175" s="551"/>
      <c r="AY175" s="9"/>
      <c r="AZ175" s="48"/>
      <c r="BA175" s="360"/>
      <c r="BB175" s="360"/>
      <c r="BC175" s="360"/>
      <c r="BD175" s="360"/>
      <c r="BE175" s="360"/>
    </row>
    <row r="176" spans="8:57" x14ac:dyDescent="0.2">
      <c r="H176" s="548"/>
      <c r="I176" s="4"/>
      <c r="J176" s="4"/>
      <c r="L176" s="4"/>
      <c r="R176" s="360"/>
      <c r="S176" s="360"/>
      <c r="T176" s="360"/>
      <c r="U176" s="360"/>
      <c r="W176" s="360"/>
      <c r="X176" s="360"/>
      <c r="Y176" s="360"/>
      <c r="Z176" s="360"/>
      <c r="AA176" s="541"/>
      <c r="AB176" s="360"/>
      <c r="AC176" s="360"/>
      <c r="AD176" s="360"/>
      <c r="AE176" s="360"/>
      <c r="AG176" s="360"/>
      <c r="AH176" s="360"/>
      <c r="AI176" s="360"/>
      <c r="AJ176" s="360"/>
      <c r="AK176" s="360"/>
      <c r="AL176" s="360"/>
      <c r="AM176" s="360"/>
      <c r="AN176" s="360"/>
      <c r="AO176" s="360"/>
      <c r="AP176" s="360"/>
      <c r="AQ176" s="360"/>
      <c r="AR176" s="360"/>
      <c r="AS176" s="360"/>
      <c r="AT176" s="360"/>
      <c r="AV176" s="542"/>
      <c r="AW176" s="551"/>
      <c r="AX176" s="551"/>
      <c r="AY176" s="9"/>
      <c r="AZ176" s="48"/>
      <c r="BA176" s="360"/>
      <c r="BB176" s="360"/>
      <c r="BC176" s="360"/>
      <c r="BD176" s="360"/>
      <c r="BE176" s="360"/>
    </row>
    <row r="177" spans="8:57" x14ac:dyDescent="0.2">
      <c r="H177" s="548"/>
      <c r="I177" s="4"/>
      <c r="J177" s="4"/>
      <c r="L177" s="4"/>
      <c r="R177" s="360"/>
      <c r="S177" s="360"/>
      <c r="T177" s="360"/>
      <c r="U177" s="360"/>
      <c r="W177" s="360"/>
      <c r="X177" s="360"/>
      <c r="Y177" s="360"/>
      <c r="Z177" s="360"/>
      <c r="AA177" s="541"/>
      <c r="AB177" s="360"/>
      <c r="AC177" s="360"/>
      <c r="AD177" s="360"/>
      <c r="AE177" s="360"/>
      <c r="AG177" s="360"/>
      <c r="AH177" s="360"/>
      <c r="AI177" s="360"/>
      <c r="AJ177" s="360"/>
      <c r="AK177" s="360"/>
      <c r="AL177" s="360"/>
      <c r="AM177" s="360"/>
      <c r="AN177" s="360"/>
      <c r="AO177" s="360"/>
      <c r="AP177" s="360"/>
      <c r="AQ177" s="360"/>
      <c r="AR177" s="360"/>
      <c r="AS177" s="360"/>
      <c r="AT177" s="360"/>
      <c r="AV177" s="542"/>
      <c r="AW177" s="551"/>
      <c r="AX177" s="551"/>
      <c r="AY177" s="9"/>
      <c r="AZ177" s="48"/>
      <c r="BA177" s="360"/>
      <c r="BB177" s="360"/>
      <c r="BC177" s="360"/>
      <c r="BD177" s="360"/>
      <c r="BE177" s="360"/>
    </row>
    <row r="178" spans="8:57" x14ac:dyDescent="0.2">
      <c r="H178" s="548"/>
      <c r="I178" s="4"/>
      <c r="J178" s="4"/>
      <c r="L178" s="4"/>
      <c r="R178" s="360"/>
      <c r="S178" s="360"/>
      <c r="T178" s="360"/>
      <c r="U178" s="360"/>
      <c r="W178" s="360"/>
      <c r="X178" s="360"/>
      <c r="Y178" s="360"/>
      <c r="Z178" s="360"/>
      <c r="AA178" s="541"/>
      <c r="AB178" s="360"/>
      <c r="AC178" s="360"/>
      <c r="AD178" s="360"/>
      <c r="AE178" s="360"/>
      <c r="AG178" s="360"/>
      <c r="AH178" s="360"/>
      <c r="AI178" s="360"/>
      <c r="AJ178" s="360"/>
      <c r="AK178" s="360"/>
      <c r="AL178" s="360"/>
      <c r="AM178" s="360"/>
      <c r="AN178" s="360"/>
      <c r="AO178" s="360"/>
      <c r="AP178" s="360"/>
      <c r="AQ178" s="360"/>
      <c r="AR178" s="360"/>
      <c r="AS178" s="360"/>
      <c r="AT178" s="360"/>
      <c r="AV178" s="542"/>
      <c r="AW178" s="551"/>
      <c r="AX178" s="551"/>
      <c r="AY178" s="9"/>
      <c r="AZ178" s="48"/>
      <c r="BA178" s="360"/>
      <c r="BB178" s="360"/>
      <c r="BC178" s="360"/>
      <c r="BD178" s="360"/>
      <c r="BE178" s="360"/>
    </row>
    <row r="179" spans="8:57" x14ac:dyDescent="0.2">
      <c r="H179" s="548"/>
      <c r="I179" s="4"/>
      <c r="J179" s="4"/>
      <c r="L179" s="4"/>
      <c r="R179" s="360"/>
      <c r="S179" s="360"/>
      <c r="T179" s="360"/>
      <c r="U179" s="360"/>
      <c r="W179" s="360"/>
      <c r="X179" s="360"/>
      <c r="Y179" s="360"/>
      <c r="Z179" s="360"/>
      <c r="AA179" s="541"/>
      <c r="AB179" s="360"/>
      <c r="AC179" s="360"/>
      <c r="AD179" s="360"/>
      <c r="AE179" s="360"/>
      <c r="AG179" s="360"/>
      <c r="AH179" s="360"/>
      <c r="AI179" s="360"/>
      <c r="AJ179" s="360"/>
      <c r="AK179" s="360"/>
      <c r="AL179" s="360"/>
      <c r="AM179" s="360"/>
      <c r="AN179" s="360"/>
      <c r="AO179" s="360"/>
      <c r="AP179" s="360"/>
      <c r="AQ179" s="360"/>
      <c r="AR179" s="360"/>
      <c r="AS179" s="360"/>
      <c r="AT179" s="360"/>
      <c r="AV179" s="542"/>
      <c r="AW179" s="551"/>
      <c r="AX179" s="551"/>
      <c r="AY179" s="9"/>
      <c r="AZ179" s="48"/>
      <c r="BA179" s="360"/>
      <c r="BB179" s="360"/>
      <c r="BC179" s="360"/>
      <c r="BD179" s="360"/>
      <c r="BE179" s="360"/>
    </row>
    <row r="180" spans="8:57" x14ac:dyDescent="0.2">
      <c r="H180" s="548"/>
      <c r="I180" s="4"/>
      <c r="J180" s="4"/>
      <c r="L180" s="4"/>
      <c r="R180" s="360"/>
      <c r="S180" s="360"/>
      <c r="T180" s="360"/>
      <c r="U180" s="360"/>
      <c r="W180" s="360"/>
      <c r="X180" s="360"/>
      <c r="Y180" s="360"/>
      <c r="Z180" s="360"/>
      <c r="AA180" s="541"/>
      <c r="AB180" s="360"/>
      <c r="AC180" s="360"/>
      <c r="AD180" s="360"/>
      <c r="AE180" s="360"/>
      <c r="AG180" s="360"/>
      <c r="AH180" s="360"/>
      <c r="AI180" s="360"/>
      <c r="AJ180" s="360"/>
      <c r="AK180" s="360"/>
      <c r="AL180" s="360"/>
      <c r="AM180" s="360"/>
      <c r="AN180" s="360"/>
      <c r="AO180" s="360"/>
      <c r="AP180" s="360"/>
      <c r="AQ180" s="360"/>
      <c r="AR180" s="360"/>
      <c r="AS180" s="360"/>
      <c r="AT180" s="360"/>
      <c r="AV180" s="542"/>
      <c r="AW180" s="551"/>
      <c r="AX180" s="551"/>
      <c r="AY180" s="9"/>
      <c r="AZ180" s="48"/>
      <c r="BA180" s="360"/>
      <c r="BB180" s="360"/>
      <c r="BC180" s="360"/>
      <c r="BD180" s="360"/>
      <c r="BE180" s="360"/>
    </row>
    <row r="181" spans="8:57" x14ac:dyDescent="0.2">
      <c r="H181" s="548"/>
      <c r="I181" s="4"/>
      <c r="J181" s="4"/>
      <c r="L181" s="4"/>
      <c r="R181" s="360"/>
      <c r="S181" s="360"/>
      <c r="T181" s="360"/>
      <c r="U181" s="360"/>
      <c r="W181" s="360"/>
      <c r="X181" s="360"/>
      <c r="Y181" s="360"/>
      <c r="Z181" s="360"/>
      <c r="AA181" s="541"/>
      <c r="AB181" s="360"/>
      <c r="AC181" s="360"/>
      <c r="AD181" s="360"/>
      <c r="AE181" s="360"/>
      <c r="AG181" s="360"/>
      <c r="AH181" s="360"/>
      <c r="AI181" s="360"/>
      <c r="AJ181" s="360"/>
      <c r="AK181" s="360"/>
      <c r="AL181" s="360"/>
      <c r="AM181" s="360"/>
      <c r="AN181" s="360"/>
      <c r="AO181" s="360"/>
      <c r="AP181" s="360"/>
      <c r="AQ181" s="360"/>
      <c r="AR181" s="360"/>
      <c r="AS181" s="360"/>
      <c r="AT181" s="360"/>
      <c r="AV181" s="542"/>
      <c r="AW181" s="551"/>
      <c r="AX181" s="551"/>
      <c r="AY181" s="9"/>
      <c r="AZ181" s="48"/>
      <c r="BA181" s="360"/>
      <c r="BB181" s="360"/>
      <c r="BC181" s="360"/>
      <c r="BD181" s="360"/>
      <c r="BE181" s="360"/>
    </row>
    <row r="182" spans="8:57" x14ac:dyDescent="0.2">
      <c r="H182" s="548"/>
      <c r="I182" s="4"/>
      <c r="J182" s="4"/>
      <c r="L182" s="4"/>
      <c r="R182" s="360"/>
      <c r="S182" s="360"/>
      <c r="T182" s="360"/>
      <c r="U182" s="360"/>
      <c r="W182" s="360"/>
      <c r="X182" s="360"/>
      <c r="Y182" s="360"/>
      <c r="Z182" s="360"/>
      <c r="AA182" s="541"/>
      <c r="AB182" s="360"/>
      <c r="AC182" s="360"/>
      <c r="AD182" s="360"/>
      <c r="AE182" s="360"/>
      <c r="AG182" s="360"/>
      <c r="AH182" s="360"/>
      <c r="AI182" s="360"/>
      <c r="AJ182" s="360"/>
      <c r="AK182" s="360"/>
      <c r="AL182" s="360"/>
      <c r="AM182" s="360"/>
      <c r="AN182" s="360"/>
      <c r="AO182" s="360"/>
      <c r="AP182" s="360"/>
      <c r="AQ182" s="360"/>
      <c r="AR182" s="360"/>
      <c r="AS182" s="360"/>
      <c r="AT182" s="360"/>
      <c r="AV182" s="542"/>
      <c r="AW182" s="551"/>
      <c r="AX182" s="551"/>
      <c r="AY182" s="9"/>
      <c r="AZ182" s="48"/>
      <c r="BA182" s="360"/>
      <c r="BB182" s="360"/>
      <c r="BC182" s="360"/>
      <c r="BD182" s="360"/>
      <c r="BE182" s="360"/>
    </row>
    <row r="183" spans="8:57" x14ac:dyDescent="0.2">
      <c r="H183" s="548"/>
      <c r="I183" s="4"/>
      <c r="J183" s="4"/>
      <c r="L183" s="4"/>
      <c r="R183" s="360"/>
      <c r="S183" s="360"/>
      <c r="T183" s="360"/>
      <c r="U183" s="360"/>
      <c r="W183" s="360"/>
      <c r="X183" s="360"/>
      <c r="Y183" s="360"/>
      <c r="Z183" s="360"/>
      <c r="AA183" s="541"/>
      <c r="AB183" s="360"/>
      <c r="AC183" s="360"/>
      <c r="AD183" s="360"/>
      <c r="AE183" s="360"/>
      <c r="AG183" s="360"/>
      <c r="AH183" s="360"/>
      <c r="AI183" s="360"/>
      <c r="AJ183" s="360"/>
      <c r="AK183" s="360"/>
      <c r="AL183" s="360"/>
      <c r="AM183" s="360"/>
      <c r="AN183" s="360"/>
      <c r="AO183" s="360"/>
      <c r="AP183" s="360"/>
      <c r="AQ183" s="360"/>
      <c r="AR183" s="360"/>
      <c r="AS183" s="360"/>
      <c r="AT183" s="360"/>
      <c r="AV183" s="542"/>
      <c r="AW183" s="551"/>
      <c r="AX183" s="551"/>
      <c r="AY183" s="9"/>
      <c r="AZ183" s="48"/>
      <c r="BA183" s="360"/>
      <c r="BB183" s="360"/>
      <c r="BC183" s="360"/>
      <c r="BD183" s="360"/>
      <c r="BE183" s="360"/>
    </row>
    <row r="184" spans="8:57" x14ac:dyDescent="0.2">
      <c r="H184" s="548"/>
      <c r="I184" s="4"/>
      <c r="J184" s="4"/>
      <c r="L184" s="4"/>
      <c r="R184" s="360"/>
      <c r="S184" s="360"/>
      <c r="T184" s="360"/>
      <c r="U184" s="360"/>
      <c r="W184" s="360"/>
      <c r="X184" s="360"/>
      <c r="Y184" s="360"/>
      <c r="Z184" s="360"/>
      <c r="AA184" s="541"/>
      <c r="AB184" s="360"/>
      <c r="AC184" s="360"/>
      <c r="AD184" s="360"/>
      <c r="AE184" s="360"/>
      <c r="AG184" s="360"/>
      <c r="AH184" s="360"/>
      <c r="AI184" s="360"/>
      <c r="AJ184" s="360"/>
      <c r="AK184" s="360"/>
      <c r="AL184" s="360"/>
      <c r="AM184" s="360"/>
      <c r="AN184" s="360"/>
      <c r="AO184" s="360"/>
      <c r="AP184" s="360"/>
      <c r="AQ184" s="360"/>
      <c r="AR184" s="360"/>
      <c r="AS184" s="360"/>
      <c r="AT184" s="360"/>
      <c r="AV184" s="542"/>
      <c r="AW184" s="551"/>
      <c r="AX184" s="551"/>
      <c r="AY184" s="9"/>
      <c r="AZ184" s="48"/>
      <c r="BA184" s="360"/>
      <c r="BB184" s="360"/>
      <c r="BC184" s="360"/>
      <c r="BD184" s="360"/>
      <c r="BE184" s="360"/>
    </row>
    <row r="185" spans="8:57" x14ac:dyDescent="0.2">
      <c r="H185" s="548"/>
      <c r="I185" s="4"/>
      <c r="J185" s="4"/>
      <c r="L185" s="4"/>
      <c r="R185" s="360"/>
      <c r="S185" s="360"/>
      <c r="T185" s="360"/>
      <c r="U185" s="360"/>
      <c r="W185" s="360"/>
      <c r="X185" s="360"/>
      <c r="Y185" s="360"/>
      <c r="Z185" s="360"/>
      <c r="AA185" s="541"/>
      <c r="AB185" s="360"/>
      <c r="AC185" s="360"/>
      <c r="AD185" s="360"/>
      <c r="AE185" s="360"/>
      <c r="AG185" s="360"/>
      <c r="AH185" s="360"/>
      <c r="AI185" s="360"/>
      <c r="AJ185" s="360"/>
      <c r="AK185" s="360"/>
      <c r="AL185" s="360"/>
      <c r="AM185" s="360"/>
      <c r="AN185" s="360"/>
      <c r="AO185" s="360"/>
      <c r="AP185" s="360"/>
      <c r="AQ185" s="360"/>
      <c r="AR185" s="360"/>
      <c r="AS185" s="360"/>
      <c r="AT185" s="360"/>
      <c r="AV185" s="542"/>
      <c r="AW185" s="551"/>
      <c r="AX185" s="551"/>
      <c r="AY185" s="9"/>
      <c r="AZ185" s="48"/>
      <c r="BA185" s="360"/>
      <c r="BB185" s="360"/>
      <c r="BC185" s="360"/>
      <c r="BD185" s="360"/>
      <c r="BE185" s="360"/>
    </row>
    <row r="186" spans="8:57" x14ac:dyDescent="0.2">
      <c r="H186" s="548"/>
      <c r="I186" s="4"/>
      <c r="J186" s="4"/>
      <c r="L186" s="4"/>
      <c r="R186" s="360"/>
      <c r="S186" s="360"/>
      <c r="T186" s="360"/>
      <c r="U186" s="360"/>
      <c r="W186" s="360"/>
      <c r="X186" s="360"/>
      <c r="Y186" s="360"/>
      <c r="Z186" s="360"/>
      <c r="AA186" s="541"/>
      <c r="AB186" s="360"/>
      <c r="AC186" s="360"/>
      <c r="AD186" s="360"/>
      <c r="AE186" s="360"/>
      <c r="AG186" s="360"/>
      <c r="AH186" s="360"/>
      <c r="AI186" s="360"/>
      <c r="AJ186" s="360"/>
      <c r="AK186" s="360"/>
      <c r="AL186" s="360"/>
      <c r="AM186" s="360"/>
      <c r="AN186" s="360"/>
      <c r="AO186" s="360"/>
      <c r="AP186" s="360"/>
      <c r="AQ186" s="360"/>
      <c r="AR186" s="360"/>
      <c r="AS186" s="360"/>
      <c r="AT186" s="360"/>
      <c r="AV186" s="542"/>
      <c r="AW186" s="551"/>
      <c r="AX186" s="551"/>
      <c r="AY186" s="9"/>
      <c r="AZ186" s="48"/>
      <c r="BA186" s="360"/>
      <c r="BB186" s="360"/>
      <c r="BC186" s="360"/>
      <c r="BD186" s="360"/>
      <c r="BE186" s="360"/>
    </row>
    <row r="187" spans="8:57" x14ac:dyDescent="0.2">
      <c r="H187" s="548"/>
      <c r="I187" s="4"/>
      <c r="J187" s="4"/>
      <c r="L187" s="4"/>
      <c r="R187" s="360"/>
      <c r="S187" s="360"/>
      <c r="T187" s="360"/>
      <c r="U187" s="360"/>
      <c r="W187" s="360"/>
      <c r="X187" s="360"/>
      <c r="Y187" s="360"/>
      <c r="Z187" s="360"/>
      <c r="AA187" s="541"/>
      <c r="AB187" s="360"/>
      <c r="AC187" s="360"/>
      <c r="AD187" s="360"/>
      <c r="AE187" s="360"/>
      <c r="AG187" s="360"/>
      <c r="AH187" s="360"/>
      <c r="AI187" s="360"/>
      <c r="AJ187" s="360"/>
      <c r="AK187" s="360"/>
      <c r="AL187" s="360"/>
      <c r="AM187" s="360"/>
      <c r="AN187" s="360"/>
      <c r="AO187" s="360"/>
      <c r="AP187" s="360"/>
      <c r="AQ187" s="360"/>
      <c r="AR187" s="360"/>
      <c r="AS187" s="360"/>
      <c r="AT187" s="360"/>
      <c r="AV187" s="542"/>
      <c r="AW187" s="551"/>
      <c r="AX187" s="551"/>
      <c r="AY187" s="9"/>
      <c r="AZ187" s="48"/>
      <c r="BA187" s="360"/>
      <c r="BB187" s="360"/>
      <c r="BC187" s="360"/>
      <c r="BD187" s="360"/>
      <c r="BE187" s="360"/>
    </row>
    <row r="188" spans="8:57" x14ac:dyDescent="0.2">
      <c r="H188" s="548"/>
      <c r="I188" s="4"/>
      <c r="J188" s="4"/>
      <c r="L188" s="4"/>
      <c r="R188" s="360"/>
      <c r="S188" s="360"/>
      <c r="T188" s="360"/>
      <c r="U188" s="360"/>
      <c r="W188" s="360"/>
      <c r="X188" s="360"/>
      <c r="Y188" s="360"/>
      <c r="Z188" s="360"/>
      <c r="AA188" s="541"/>
      <c r="AB188" s="360"/>
      <c r="AC188" s="360"/>
      <c r="AD188" s="360"/>
      <c r="AE188" s="360"/>
      <c r="AG188" s="360"/>
      <c r="AH188" s="360"/>
      <c r="AI188" s="360"/>
      <c r="AJ188" s="360"/>
      <c r="AK188" s="360"/>
      <c r="AL188" s="360"/>
      <c r="AM188" s="360"/>
      <c r="AN188" s="360"/>
      <c r="AO188" s="360"/>
      <c r="AP188" s="360"/>
      <c r="AQ188" s="360"/>
      <c r="AR188" s="360"/>
      <c r="AS188" s="360"/>
      <c r="AT188" s="360"/>
      <c r="AV188" s="542"/>
      <c r="AW188" s="551"/>
      <c r="AX188" s="551"/>
      <c r="AY188" s="9"/>
      <c r="AZ188" s="48"/>
      <c r="BA188" s="360"/>
      <c r="BB188" s="360"/>
      <c r="BC188" s="360"/>
      <c r="BD188" s="360"/>
      <c r="BE188" s="360"/>
    </row>
    <row r="189" spans="8:57" x14ac:dyDescent="0.2">
      <c r="H189" s="548"/>
      <c r="I189" s="4"/>
      <c r="J189" s="4"/>
      <c r="L189" s="4"/>
      <c r="R189" s="360"/>
      <c r="S189" s="360"/>
      <c r="T189" s="360"/>
      <c r="U189" s="360"/>
      <c r="W189" s="360"/>
      <c r="X189" s="360"/>
      <c r="Y189" s="360"/>
      <c r="Z189" s="360"/>
      <c r="AA189" s="541"/>
      <c r="AB189" s="360"/>
      <c r="AC189" s="360"/>
      <c r="AD189" s="360"/>
      <c r="AE189" s="360"/>
      <c r="AG189" s="360"/>
      <c r="AH189" s="360"/>
      <c r="AI189" s="360"/>
      <c r="AJ189" s="360"/>
      <c r="AK189" s="360"/>
      <c r="AL189" s="360"/>
      <c r="AM189" s="360"/>
      <c r="AN189" s="360"/>
      <c r="AO189" s="360"/>
      <c r="AP189" s="360"/>
      <c r="AQ189" s="360"/>
      <c r="AR189" s="360"/>
      <c r="AS189" s="360"/>
      <c r="AT189" s="360"/>
      <c r="AV189" s="542"/>
      <c r="AW189" s="551"/>
      <c r="AX189" s="551"/>
      <c r="AY189" s="9"/>
      <c r="AZ189" s="48"/>
      <c r="BA189" s="360"/>
      <c r="BB189" s="360"/>
      <c r="BC189" s="360"/>
      <c r="BD189" s="360"/>
      <c r="BE189" s="360"/>
    </row>
    <row r="190" spans="8:57" x14ac:dyDescent="0.2">
      <c r="H190" s="548"/>
      <c r="I190" s="4"/>
      <c r="J190" s="4"/>
      <c r="L190" s="4"/>
      <c r="R190" s="360"/>
      <c r="S190" s="360"/>
      <c r="T190" s="360"/>
      <c r="U190" s="360"/>
      <c r="W190" s="360"/>
      <c r="X190" s="360"/>
      <c r="Y190" s="360"/>
      <c r="Z190" s="360"/>
      <c r="AA190" s="541"/>
      <c r="AB190" s="360"/>
      <c r="AC190" s="360"/>
      <c r="AD190" s="360"/>
      <c r="AE190" s="360"/>
      <c r="AG190" s="360"/>
      <c r="AH190" s="360"/>
      <c r="AI190" s="360"/>
      <c r="AJ190" s="360"/>
      <c r="AK190" s="360"/>
      <c r="AL190" s="360"/>
      <c r="AM190" s="360"/>
      <c r="AN190" s="360"/>
      <c r="AO190" s="360"/>
      <c r="AP190" s="360"/>
      <c r="AQ190" s="360"/>
      <c r="AR190" s="360"/>
      <c r="AS190" s="360"/>
      <c r="AT190" s="360"/>
      <c r="AV190" s="542"/>
      <c r="AW190" s="551"/>
      <c r="AX190" s="551"/>
      <c r="AY190" s="9"/>
      <c r="AZ190" s="48"/>
      <c r="BA190" s="360"/>
      <c r="BB190" s="360"/>
      <c r="BC190" s="360"/>
      <c r="BD190" s="360"/>
      <c r="BE190" s="360"/>
    </row>
    <row r="191" spans="8:57" x14ac:dyDescent="0.2">
      <c r="H191" s="548"/>
      <c r="I191" s="4"/>
      <c r="J191" s="4"/>
      <c r="L191" s="4"/>
      <c r="R191" s="360"/>
      <c r="S191" s="360"/>
      <c r="T191" s="360"/>
      <c r="U191" s="360"/>
      <c r="W191" s="360"/>
      <c r="X191" s="360"/>
      <c r="Y191" s="360"/>
      <c r="Z191" s="360"/>
      <c r="AA191" s="541"/>
      <c r="AB191" s="360"/>
      <c r="AC191" s="360"/>
      <c r="AD191" s="360"/>
      <c r="AE191" s="360"/>
      <c r="AG191" s="360"/>
      <c r="AH191" s="360"/>
      <c r="AI191" s="360"/>
      <c r="AJ191" s="360"/>
      <c r="AK191" s="360"/>
      <c r="AL191" s="360"/>
      <c r="AM191" s="360"/>
      <c r="AN191" s="360"/>
      <c r="AO191" s="360"/>
      <c r="AP191" s="360"/>
      <c r="AQ191" s="360"/>
      <c r="AR191" s="360"/>
      <c r="AS191" s="360"/>
      <c r="AT191" s="360"/>
      <c r="AV191" s="542"/>
      <c r="AW191" s="551"/>
      <c r="AX191" s="551"/>
      <c r="AY191" s="9"/>
      <c r="AZ191" s="48"/>
      <c r="BA191" s="360"/>
      <c r="BB191" s="360"/>
      <c r="BC191" s="360"/>
      <c r="BD191" s="360"/>
      <c r="BE191" s="360"/>
    </row>
    <row r="192" spans="8:57" x14ac:dyDescent="0.2">
      <c r="H192" s="548"/>
      <c r="I192" s="4"/>
      <c r="J192" s="4"/>
      <c r="L192" s="4"/>
      <c r="R192" s="360"/>
      <c r="S192" s="360"/>
      <c r="T192" s="360"/>
      <c r="U192" s="360"/>
      <c r="W192" s="360"/>
      <c r="X192" s="360"/>
      <c r="Y192" s="360"/>
      <c r="Z192" s="360"/>
      <c r="AA192" s="541"/>
      <c r="AB192" s="360"/>
      <c r="AC192" s="360"/>
      <c r="AD192" s="360"/>
      <c r="AE192" s="360"/>
      <c r="AG192" s="360"/>
      <c r="AH192" s="360"/>
      <c r="AI192" s="360"/>
      <c r="AJ192" s="360"/>
      <c r="AK192" s="360"/>
      <c r="AL192" s="360"/>
      <c r="AM192" s="360"/>
      <c r="AN192" s="360"/>
      <c r="AO192" s="360"/>
      <c r="AP192" s="360"/>
      <c r="AQ192" s="360"/>
      <c r="AR192" s="360"/>
      <c r="AS192" s="360"/>
      <c r="AT192" s="360"/>
      <c r="AV192" s="542"/>
      <c r="AW192" s="551"/>
      <c r="AX192" s="551"/>
      <c r="AY192" s="9"/>
      <c r="AZ192" s="48"/>
      <c r="BA192" s="360"/>
      <c r="BB192" s="360"/>
      <c r="BC192" s="360"/>
      <c r="BD192" s="360"/>
      <c r="BE192" s="360"/>
    </row>
    <row r="193" spans="8:57" x14ac:dyDescent="0.2">
      <c r="H193" s="548"/>
      <c r="I193" s="4"/>
      <c r="J193" s="4"/>
      <c r="L193" s="4"/>
      <c r="R193" s="360"/>
      <c r="S193" s="360"/>
      <c r="T193" s="360"/>
      <c r="U193" s="360"/>
      <c r="W193" s="360"/>
      <c r="X193" s="360"/>
      <c r="Y193" s="360"/>
      <c r="Z193" s="360"/>
      <c r="AA193" s="541"/>
      <c r="AB193" s="360"/>
      <c r="AC193" s="360"/>
      <c r="AD193" s="360"/>
      <c r="AE193" s="360"/>
      <c r="AG193" s="360"/>
      <c r="AH193" s="360"/>
      <c r="AI193" s="360"/>
      <c r="AJ193" s="360"/>
      <c r="AK193" s="360"/>
      <c r="AL193" s="360"/>
      <c r="AM193" s="360"/>
      <c r="AN193" s="360"/>
      <c r="AO193" s="360"/>
      <c r="AP193" s="360"/>
      <c r="AQ193" s="360"/>
      <c r="AR193" s="360"/>
      <c r="AS193" s="360"/>
      <c r="AT193" s="360"/>
      <c r="AV193" s="542"/>
      <c r="AW193" s="551"/>
      <c r="AX193" s="551"/>
      <c r="AY193" s="9"/>
      <c r="AZ193" s="48"/>
      <c r="BA193" s="360"/>
      <c r="BB193" s="360"/>
      <c r="BC193" s="360"/>
      <c r="BD193" s="360"/>
      <c r="BE193" s="360"/>
    </row>
    <row r="194" spans="8:57" x14ac:dyDescent="0.2">
      <c r="H194" s="548"/>
      <c r="I194" s="4"/>
      <c r="J194" s="4"/>
      <c r="L194" s="4"/>
      <c r="R194" s="360"/>
      <c r="S194" s="360"/>
      <c r="T194" s="360"/>
      <c r="U194" s="360"/>
      <c r="W194" s="360"/>
      <c r="X194" s="360"/>
      <c r="Y194" s="360"/>
      <c r="Z194" s="360"/>
      <c r="AA194" s="541"/>
      <c r="AB194" s="360"/>
      <c r="AC194" s="360"/>
      <c r="AD194" s="360"/>
      <c r="AE194" s="360"/>
      <c r="AG194" s="360"/>
      <c r="AH194" s="360"/>
      <c r="AI194" s="360"/>
      <c r="AJ194" s="360"/>
      <c r="AK194" s="360"/>
      <c r="AL194" s="360"/>
      <c r="AM194" s="360"/>
      <c r="AN194" s="360"/>
      <c r="AO194" s="360"/>
      <c r="AP194" s="360"/>
      <c r="AQ194" s="360"/>
      <c r="AR194" s="360"/>
      <c r="AS194" s="360"/>
      <c r="AT194" s="360"/>
      <c r="AV194" s="542"/>
      <c r="AW194" s="551"/>
      <c r="AX194" s="551"/>
      <c r="AY194" s="9"/>
      <c r="AZ194" s="48"/>
      <c r="BA194" s="360"/>
      <c r="BB194" s="360"/>
      <c r="BC194" s="360"/>
      <c r="BD194" s="360"/>
      <c r="BE194" s="360"/>
    </row>
    <row r="195" spans="8:57" x14ac:dyDescent="0.2">
      <c r="H195" s="548"/>
      <c r="I195" s="4"/>
      <c r="J195" s="4"/>
      <c r="L195" s="4"/>
      <c r="R195" s="360"/>
      <c r="S195" s="360"/>
      <c r="T195" s="360"/>
      <c r="U195" s="360"/>
      <c r="W195" s="360"/>
      <c r="X195" s="360"/>
      <c r="Y195" s="360"/>
      <c r="Z195" s="360"/>
      <c r="AA195" s="541"/>
      <c r="AB195" s="360"/>
      <c r="AC195" s="360"/>
      <c r="AD195" s="360"/>
      <c r="AE195" s="360"/>
      <c r="AG195" s="360"/>
      <c r="AH195" s="360"/>
      <c r="AI195" s="360"/>
      <c r="AJ195" s="360"/>
      <c r="AK195" s="360"/>
      <c r="AL195" s="360"/>
      <c r="AM195" s="360"/>
      <c r="AN195" s="360"/>
      <c r="AO195" s="360"/>
      <c r="AP195" s="360"/>
      <c r="AQ195" s="360"/>
      <c r="AR195" s="360"/>
      <c r="AS195" s="360"/>
      <c r="AT195" s="360"/>
      <c r="AV195" s="542"/>
      <c r="AW195" s="551"/>
      <c r="AX195" s="551"/>
      <c r="AY195" s="9"/>
      <c r="AZ195" s="48"/>
      <c r="BA195" s="360"/>
      <c r="BB195" s="360"/>
      <c r="BC195" s="360"/>
      <c r="BD195" s="360"/>
      <c r="BE195" s="360"/>
    </row>
    <row r="196" spans="8:57" x14ac:dyDescent="0.2">
      <c r="H196" s="548"/>
      <c r="I196" s="4"/>
      <c r="J196" s="4"/>
      <c r="L196" s="4"/>
      <c r="R196" s="360"/>
      <c r="S196" s="360"/>
      <c r="T196" s="360"/>
      <c r="U196" s="360"/>
      <c r="W196" s="360"/>
      <c r="X196" s="360"/>
      <c r="Y196" s="360"/>
      <c r="Z196" s="360"/>
      <c r="AA196" s="541"/>
      <c r="AB196" s="360"/>
      <c r="AC196" s="360"/>
      <c r="AD196" s="360"/>
      <c r="AE196" s="360"/>
      <c r="AG196" s="360"/>
      <c r="AH196" s="360"/>
      <c r="AI196" s="360"/>
      <c r="AJ196" s="360"/>
      <c r="AK196" s="360"/>
      <c r="AL196" s="360"/>
      <c r="AM196" s="360"/>
      <c r="AN196" s="360"/>
      <c r="AO196" s="360"/>
      <c r="AP196" s="360"/>
      <c r="AQ196" s="360"/>
      <c r="AR196" s="360"/>
      <c r="AS196" s="360"/>
      <c r="AT196" s="360"/>
      <c r="AV196" s="542"/>
      <c r="AW196" s="551"/>
      <c r="AX196" s="551"/>
      <c r="AY196" s="9"/>
      <c r="AZ196" s="48"/>
      <c r="BA196" s="360"/>
      <c r="BB196" s="360"/>
      <c r="BC196" s="360"/>
      <c r="BD196" s="360"/>
      <c r="BE196" s="360"/>
    </row>
    <row r="197" spans="8:57" x14ac:dyDescent="0.2">
      <c r="H197" s="548"/>
      <c r="I197" s="4"/>
      <c r="J197" s="4"/>
      <c r="L197" s="4"/>
      <c r="R197" s="360"/>
      <c r="S197" s="360"/>
      <c r="T197" s="360"/>
      <c r="U197" s="360"/>
      <c r="W197" s="360"/>
      <c r="X197" s="360"/>
      <c r="Y197" s="360"/>
      <c r="Z197" s="360"/>
      <c r="AA197" s="541"/>
      <c r="AB197" s="360"/>
      <c r="AC197" s="360"/>
      <c r="AD197" s="360"/>
      <c r="AE197" s="360"/>
      <c r="AG197" s="360"/>
      <c r="AH197" s="360"/>
      <c r="AI197" s="360"/>
      <c r="AJ197" s="360"/>
      <c r="AK197" s="360"/>
      <c r="AL197" s="360"/>
      <c r="AM197" s="360"/>
      <c r="AN197" s="360"/>
      <c r="AO197" s="360"/>
      <c r="AP197" s="360"/>
      <c r="AQ197" s="360"/>
      <c r="AR197" s="360"/>
      <c r="AS197" s="360"/>
      <c r="AT197" s="360"/>
      <c r="AV197" s="542"/>
      <c r="AW197" s="551"/>
      <c r="AX197" s="551"/>
      <c r="AY197" s="9"/>
      <c r="AZ197" s="48"/>
      <c r="BA197" s="360"/>
      <c r="BB197" s="360"/>
      <c r="BC197" s="360"/>
      <c r="BD197" s="360"/>
      <c r="BE197" s="360"/>
    </row>
    <row r="198" spans="8:57" x14ac:dyDescent="0.2">
      <c r="H198" s="548"/>
      <c r="I198" s="4"/>
      <c r="J198" s="4"/>
      <c r="L198" s="4"/>
      <c r="R198" s="360"/>
      <c r="S198" s="360"/>
      <c r="T198" s="360"/>
      <c r="U198" s="360"/>
      <c r="W198" s="360"/>
      <c r="X198" s="360"/>
      <c r="Y198" s="360"/>
      <c r="Z198" s="360"/>
      <c r="AA198" s="541"/>
      <c r="AB198" s="360"/>
      <c r="AC198" s="360"/>
      <c r="AD198" s="360"/>
      <c r="AE198" s="360"/>
      <c r="AG198" s="360"/>
      <c r="AH198" s="360"/>
      <c r="AI198" s="360"/>
      <c r="AJ198" s="360"/>
      <c r="AK198" s="360"/>
      <c r="AL198" s="360"/>
      <c r="AM198" s="360"/>
      <c r="AN198" s="360"/>
      <c r="AO198" s="360"/>
      <c r="AP198" s="360"/>
      <c r="AQ198" s="360"/>
      <c r="AR198" s="360"/>
      <c r="AS198" s="360"/>
      <c r="AT198" s="360"/>
      <c r="AV198" s="542"/>
      <c r="AW198" s="551"/>
      <c r="AX198" s="551"/>
      <c r="AY198" s="9"/>
      <c r="AZ198" s="48"/>
      <c r="BA198" s="360"/>
      <c r="BB198" s="360"/>
      <c r="BC198" s="360"/>
      <c r="BD198" s="360"/>
      <c r="BE198" s="360"/>
    </row>
    <row r="199" spans="8:57" x14ac:dyDescent="0.2">
      <c r="H199" s="548"/>
      <c r="I199" s="4"/>
      <c r="J199" s="4"/>
      <c r="L199" s="4"/>
      <c r="R199" s="360"/>
      <c r="S199" s="360"/>
      <c r="T199" s="360"/>
      <c r="U199" s="360"/>
      <c r="W199" s="360"/>
      <c r="X199" s="360"/>
      <c r="Y199" s="360"/>
      <c r="Z199" s="360"/>
      <c r="AA199" s="541"/>
      <c r="AB199" s="360"/>
      <c r="AC199" s="360"/>
      <c r="AD199" s="360"/>
      <c r="AE199" s="360"/>
      <c r="AG199" s="360"/>
      <c r="AH199" s="360"/>
      <c r="AI199" s="360"/>
      <c r="AJ199" s="360"/>
      <c r="AK199" s="360"/>
      <c r="AL199" s="360"/>
      <c r="AM199" s="360"/>
      <c r="AN199" s="360"/>
      <c r="AO199" s="360"/>
      <c r="AP199" s="360"/>
      <c r="AQ199" s="360"/>
      <c r="AR199" s="360"/>
      <c r="AS199" s="360"/>
      <c r="AT199" s="360"/>
      <c r="AV199" s="542"/>
      <c r="AW199" s="551"/>
      <c r="AX199" s="551"/>
      <c r="AY199" s="9"/>
      <c r="AZ199" s="48"/>
      <c r="BA199" s="360"/>
      <c r="BB199" s="360"/>
      <c r="BC199" s="360"/>
      <c r="BD199" s="360"/>
      <c r="BE199" s="360"/>
    </row>
    <row r="200" spans="8:57" x14ac:dyDescent="0.2">
      <c r="H200" s="548"/>
      <c r="I200" s="4"/>
      <c r="J200" s="4"/>
      <c r="L200" s="4"/>
      <c r="R200" s="360"/>
      <c r="S200" s="360"/>
      <c r="T200" s="360"/>
      <c r="U200" s="360"/>
      <c r="W200" s="360"/>
      <c r="X200" s="360"/>
      <c r="Y200" s="360"/>
      <c r="Z200" s="360"/>
      <c r="AA200" s="541"/>
      <c r="AB200" s="360"/>
      <c r="AC200" s="360"/>
      <c r="AD200" s="360"/>
      <c r="AE200" s="360"/>
      <c r="AG200" s="360"/>
      <c r="AH200" s="360"/>
      <c r="AI200" s="360"/>
      <c r="AJ200" s="360"/>
      <c r="AK200" s="360"/>
      <c r="AL200" s="360"/>
      <c r="AM200" s="360"/>
      <c r="AN200" s="360"/>
      <c r="AO200" s="360"/>
      <c r="AP200" s="360"/>
      <c r="AQ200" s="360"/>
      <c r="AR200" s="360"/>
      <c r="AS200" s="360"/>
      <c r="AT200" s="360"/>
      <c r="AV200" s="542"/>
      <c r="AW200" s="551"/>
      <c r="AX200" s="551"/>
      <c r="AY200" s="9"/>
      <c r="AZ200" s="48"/>
      <c r="BA200" s="360"/>
      <c r="BB200" s="360"/>
      <c r="BC200" s="360"/>
      <c r="BD200" s="360"/>
      <c r="BE200" s="360"/>
    </row>
    <row r="201" spans="8:57" x14ac:dyDescent="0.2">
      <c r="H201" s="548"/>
      <c r="I201" s="4"/>
      <c r="J201" s="4"/>
      <c r="L201" s="4"/>
      <c r="R201" s="360"/>
      <c r="S201" s="360"/>
      <c r="T201" s="360"/>
      <c r="U201" s="360"/>
      <c r="W201" s="360"/>
      <c r="X201" s="360"/>
      <c r="Y201" s="360"/>
      <c r="Z201" s="360"/>
      <c r="AA201" s="541"/>
      <c r="AB201" s="360"/>
      <c r="AC201" s="360"/>
      <c r="AD201" s="360"/>
      <c r="AE201" s="360"/>
      <c r="AG201" s="360"/>
      <c r="AH201" s="360"/>
      <c r="AI201" s="360"/>
      <c r="AJ201" s="360"/>
      <c r="AK201" s="360"/>
      <c r="AL201" s="360"/>
      <c r="AM201" s="360"/>
      <c r="AN201" s="360"/>
      <c r="AO201" s="360"/>
      <c r="AP201" s="360"/>
      <c r="AQ201" s="360"/>
      <c r="AR201" s="360"/>
      <c r="AS201" s="360"/>
      <c r="AT201" s="360"/>
      <c r="AV201" s="542"/>
      <c r="AW201" s="551"/>
      <c r="AX201" s="551"/>
      <c r="AY201" s="9"/>
      <c r="AZ201" s="48"/>
      <c r="BA201" s="360"/>
      <c r="BB201" s="360"/>
      <c r="BC201" s="360"/>
      <c r="BD201" s="360"/>
      <c r="BE201" s="360"/>
    </row>
    <row r="202" spans="8:57" x14ac:dyDescent="0.2">
      <c r="H202" s="548"/>
      <c r="I202" s="4"/>
      <c r="J202" s="4"/>
      <c r="L202" s="4"/>
      <c r="R202" s="360"/>
      <c r="S202" s="360"/>
      <c r="T202" s="360"/>
      <c r="U202" s="360"/>
      <c r="W202" s="360"/>
      <c r="X202" s="360"/>
      <c r="Y202" s="360"/>
      <c r="Z202" s="360"/>
      <c r="AA202" s="541"/>
      <c r="AB202" s="360"/>
      <c r="AC202" s="360"/>
      <c r="AD202" s="360"/>
      <c r="AE202" s="360"/>
      <c r="AG202" s="360"/>
      <c r="AH202" s="360"/>
      <c r="AI202" s="360"/>
      <c r="AJ202" s="360"/>
      <c r="AK202" s="360"/>
      <c r="AL202" s="360"/>
      <c r="AM202" s="360"/>
      <c r="AN202" s="360"/>
      <c r="AO202" s="360"/>
      <c r="AP202" s="360"/>
      <c r="AQ202" s="360"/>
      <c r="AR202" s="360"/>
      <c r="AS202" s="360"/>
      <c r="AT202" s="360"/>
      <c r="AV202" s="542"/>
      <c r="AW202" s="551"/>
      <c r="AX202" s="551"/>
      <c r="AY202" s="9"/>
      <c r="AZ202" s="48"/>
      <c r="BA202" s="360"/>
      <c r="BB202" s="360"/>
      <c r="BC202" s="360"/>
      <c r="BD202" s="360"/>
      <c r="BE202" s="360"/>
    </row>
    <row r="203" spans="8:57" x14ac:dyDescent="0.2">
      <c r="H203" s="548"/>
      <c r="I203" s="4"/>
      <c r="J203" s="4"/>
      <c r="L203" s="4"/>
      <c r="R203" s="360"/>
      <c r="S203" s="360"/>
      <c r="T203" s="360"/>
      <c r="U203" s="360"/>
      <c r="W203" s="360"/>
      <c r="X203" s="360"/>
      <c r="Y203" s="360"/>
      <c r="Z203" s="360"/>
      <c r="AA203" s="541"/>
      <c r="AB203" s="360"/>
      <c r="AC203" s="360"/>
      <c r="AD203" s="360"/>
      <c r="AE203" s="360"/>
      <c r="AG203" s="360"/>
      <c r="AH203" s="360"/>
      <c r="AI203" s="360"/>
      <c r="AJ203" s="360"/>
      <c r="AK203" s="360"/>
      <c r="AL203" s="360"/>
      <c r="AM203" s="360"/>
      <c r="AN203" s="360"/>
      <c r="AO203" s="360"/>
      <c r="AP203" s="360"/>
      <c r="AQ203" s="360"/>
      <c r="AR203" s="360"/>
      <c r="AS203" s="360"/>
      <c r="AT203" s="360"/>
      <c r="AV203" s="542"/>
      <c r="AW203" s="551"/>
      <c r="AX203" s="551"/>
      <c r="AY203" s="9"/>
      <c r="AZ203" s="48"/>
      <c r="BA203" s="360"/>
      <c r="BB203" s="360"/>
      <c r="BC203" s="360"/>
      <c r="BD203" s="360"/>
      <c r="BE203" s="360"/>
    </row>
    <row r="204" spans="8:57" x14ac:dyDescent="0.2">
      <c r="H204" s="548"/>
      <c r="I204" s="4"/>
      <c r="J204" s="4"/>
      <c r="L204" s="4"/>
      <c r="R204" s="360"/>
      <c r="S204" s="360"/>
      <c r="T204" s="360"/>
      <c r="U204" s="360"/>
      <c r="W204" s="360"/>
      <c r="X204" s="360"/>
      <c r="Y204" s="360"/>
      <c r="Z204" s="360"/>
      <c r="AA204" s="541"/>
      <c r="AB204" s="360"/>
      <c r="AC204" s="360"/>
      <c r="AD204" s="360"/>
      <c r="AE204" s="360"/>
      <c r="AG204" s="360"/>
      <c r="AH204" s="360"/>
      <c r="AI204" s="360"/>
      <c r="AJ204" s="360"/>
      <c r="AK204" s="360"/>
      <c r="AL204" s="360"/>
      <c r="AM204" s="360"/>
      <c r="AN204" s="360"/>
      <c r="AO204" s="360"/>
      <c r="AP204" s="360"/>
      <c r="AQ204" s="360"/>
      <c r="AR204" s="360"/>
      <c r="AS204" s="360"/>
      <c r="AT204" s="360"/>
      <c r="AV204" s="542"/>
      <c r="AW204" s="551"/>
      <c r="AX204" s="551"/>
      <c r="AY204" s="9"/>
      <c r="AZ204" s="48"/>
      <c r="BA204" s="360"/>
      <c r="BB204" s="360"/>
      <c r="BC204" s="360"/>
      <c r="BD204" s="360"/>
      <c r="BE204" s="360"/>
    </row>
    <row r="205" spans="8:57" x14ac:dyDescent="0.2">
      <c r="H205" s="548"/>
      <c r="I205" s="4"/>
      <c r="J205" s="4"/>
      <c r="L205" s="4"/>
      <c r="R205" s="360"/>
      <c r="S205" s="360"/>
      <c r="T205" s="360"/>
      <c r="U205" s="360"/>
      <c r="W205" s="360"/>
      <c r="X205" s="360"/>
      <c r="Y205" s="360"/>
      <c r="Z205" s="360"/>
      <c r="AA205" s="541"/>
      <c r="AB205" s="360"/>
      <c r="AC205" s="360"/>
      <c r="AD205" s="360"/>
      <c r="AE205" s="360"/>
      <c r="AG205" s="360"/>
      <c r="AH205" s="360"/>
      <c r="AI205" s="360"/>
      <c r="AJ205" s="360"/>
      <c r="AK205" s="360"/>
      <c r="AL205" s="360"/>
      <c r="AM205" s="360"/>
      <c r="AN205" s="360"/>
      <c r="AO205" s="360"/>
      <c r="AP205" s="360"/>
      <c r="AQ205" s="360"/>
      <c r="AR205" s="360"/>
      <c r="AS205" s="360"/>
      <c r="AT205" s="360"/>
      <c r="AV205" s="542"/>
      <c r="AW205" s="551"/>
      <c r="AX205" s="551"/>
      <c r="AY205" s="9"/>
      <c r="AZ205" s="48"/>
      <c r="BA205" s="360"/>
      <c r="BB205" s="360"/>
      <c r="BC205" s="360"/>
      <c r="BD205" s="360"/>
      <c r="BE205" s="360"/>
    </row>
    <row r="206" spans="8:57" x14ac:dyDescent="0.2">
      <c r="H206" s="548"/>
      <c r="I206" s="4"/>
      <c r="J206" s="4"/>
      <c r="L206" s="4"/>
      <c r="R206" s="360"/>
      <c r="S206" s="360"/>
      <c r="T206" s="360"/>
      <c r="U206" s="360"/>
      <c r="W206" s="360"/>
      <c r="X206" s="360"/>
      <c r="Y206" s="360"/>
      <c r="Z206" s="360"/>
      <c r="AA206" s="541"/>
      <c r="AB206" s="360"/>
      <c r="AC206" s="360"/>
      <c r="AD206" s="360"/>
      <c r="AE206" s="360"/>
      <c r="AG206" s="360"/>
      <c r="AH206" s="360"/>
      <c r="AI206" s="360"/>
      <c r="AJ206" s="360"/>
      <c r="AK206" s="360"/>
      <c r="AL206" s="360"/>
      <c r="AM206" s="360"/>
      <c r="AN206" s="360"/>
      <c r="AO206" s="360"/>
      <c r="AP206" s="360"/>
      <c r="AQ206" s="360"/>
      <c r="AR206" s="360"/>
      <c r="AS206" s="360"/>
      <c r="AT206" s="360"/>
      <c r="AV206" s="542"/>
      <c r="AW206" s="551"/>
      <c r="AX206" s="551"/>
      <c r="AY206" s="9"/>
      <c r="AZ206" s="48"/>
      <c r="BA206" s="360"/>
      <c r="BB206" s="360"/>
      <c r="BC206" s="360"/>
      <c r="BD206" s="360"/>
      <c r="BE206" s="360"/>
    </row>
    <row r="207" spans="8:57" x14ac:dyDescent="0.2">
      <c r="H207" s="548"/>
      <c r="I207" s="4"/>
      <c r="J207" s="4"/>
      <c r="L207" s="4"/>
      <c r="R207" s="360"/>
      <c r="S207" s="360"/>
      <c r="T207" s="360"/>
      <c r="U207" s="360"/>
      <c r="W207" s="360"/>
      <c r="X207" s="360"/>
      <c r="Y207" s="360"/>
      <c r="Z207" s="360"/>
      <c r="AA207" s="541"/>
      <c r="AB207" s="360"/>
      <c r="AC207" s="360"/>
      <c r="AD207" s="360"/>
      <c r="AE207" s="360"/>
      <c r="AG207" s="360"/>
      <c r="AH207" s="360"/>
      <c r="AI207" s="360"/>
      <c r="AJ207" s="360"/>
      <c r="AK207" s="360"/>
      <c r="AL207" s="360"/>
      <c r="AM207" s="360"/>
      <c r="AN207" s="360"/>
      <c r="AO207" s="360"/>
      <c r="AP207" s="360"/>
      <c r="AQ207" s="360"/>
      <c r="AR207" s="360"/>
      <c r="AS207" s="360"/>
      <c r="AT207" s="360"/>
      <c r="AV207" s="542"/>
      <c r="AW207" s="551"/>
      <c r="AX207" s="551"/>
      <c r="AY207" s="9"/>
      <c r="AZ207" s="48"/>
      <c r="BA207" s="360"/>
      <c r="BB207" s="360"/>
      <c r="BC207" s="360"/>
      <c r="BD207" s="360"/>
      <c r="BE207" s="360"/>
    </row>
    <row r="208" spans="8:57" x14ac:dyDescent="0.2">
      <c r="H208" s="548"/>
      <c r="I208" s="4"/>
      <c r="J208" s="4"/>
      <c r="L208" s="4"/>
      <c r="R208" s="360"/>
      <c r="S208" s="360"/>
      <c r="T208" s="360"/>
      <c r="U208" s="360"/>
      <c r="W208" s="360"/>
      <c r="X208" s="360"/>
      <c r="Y208" s="360"/>
      <c r="Z208" s="360"/>
      <c r="AA208" s="541"/>
      <c r="AB208" s="360"/>
      <c r="AC208" s="360"/>
      <c r="AD208" s="360"/>
      <c r="AE208" s="360"/>
      <c r="AG208" s="360"/>
      <c r="AH208" s="360"/>
      <c r="AI208" s="360"/>
      <c r="AJ208" s="360"/>
      <c r="AK208" s="360"/>
      <c r="AL208" s="360"/>
      <c r="AM208" s="360"/>
      <c r="AN208" s="360"/>
      <c r="AO208" s="360"/>
      <c r="AP208" s="360"/>
      <c r="AQ208" s="360"/>
      <c r="AR208" s="360"/>
      <c r="AS208" s="360"/>
      <c r="AT208" s="360"/>
      <c r="AV208" s="542"/>
      <c r="AW208" s="551"/>
      <c r="AX208" s="551"/>
      <c r="AY208" s="9"/>
      <c r="AZ208" s="48"/>
      <c r="BA208" s="360"/>
      <c r="BB208" s="360"/>
      <c r="BC208" s="360"/>
      <c r="BD208" s="360"/>
      <c r="BE208" s="360"/>
    </row>
    <row r="209" spans="8:57" x14ac:dyDescent="0.2">
      <c r="H209" s="548"/>
      <c r="I209" s="4"/>
      <c r="J209" s="4"/>
      <c r="L209" s="4"/>
      <c r="R209" s="360"/>
      <c r="S209" s="360"/>
      <c r="T209" s="360"/>
      <c r="U209" s="360"/>
      <c r="W209" s="360"/>
      <c r="X209" s="360"/>
      <c r="Y209" s="360"/>
      <c r="Z209" s="360"/>
      <c r="AA209" s="541"/>
      <c r="AB209" s="360"/>
      <c r="AC209" s="360"/>
      <c r="AD209" s="360"/>
      <c r="AE209" s="360"/>
      <c r="AG209" s="360"/>
      <c r="AH209" s="360"/>
      <c r="AI209" s="360"/>
      <c r="AJ209" s="360"/>
      <c r="AK209" s="360"/>
      <c r="AL209" s="360"/>
      <c r="AM209" s="360"/>
      <c r="AN209" s="360"/>
      <c r="AO209" s="360"/>
      <c r="AP209" s="360"/>
      <c r="AQ209" s="360"/>
      <c r="AR209" s="360"/>
      <c r="AS209" s="360"/>
      <c r="AT209" s="360"/>
      <c r="AV209" s="542"/>
      <c r="AW209" s="551"/>
      <c r="AX209" s="551"/>
      <c r="AY209" s="9"/>
      <c r="AZ209" s="48"/>
      <c r="BA209" s="360"/>
      <c r="BB209" s="360"/>
      <c r="BC209" s="360"/>
      <c r="BD209" s="360"/>
      <c r="BE209" s="360"/>
    </row>
  </sheetData>
  <sheetProtection selectLockedCells="1"/>
  <mergeCells count="11">
    <mergeCell ref="AZ7:BE7"/>
    <mergeCell ref="AB7:AG7"/>
    <mergeCell ref="AH7:AK7"/>
    <mergeCell ref="AO7:AS7"/>
    <mergeCell ref="AT7:AX7"/>
    <mergeCell ref="Y7:AA7"/>
    <mergeCell ref="A1:D4"/>
    <mergeCell ref="A6:D7"/>
    <mergeCell ref="G7:N7"/>
    <mergeCell ref="R7:U7"/>
    <mergeCell ref="V7:X7"/>
  </mergeCells>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92D050"/>
  </sheetPr>
  <dimension ref="A1:BM209"/>
  <sheetViews>
    <sheetView topLeftCell="AA1" zoomScaleNormal="100" workbookViewId="0">
      <pane ySplit="8" topLeftCell="A95" activePane="bottomLeft" state="frozen"/>
      <selection activeCell="F1" sqref="F1"/>
      <selection pane="bottomLeft" activeCell="AN110" sqref="AN110"/>
    </sheetView>
  </sheetViews>
  <sheetFormatPr defaultRowHeight="12.75" x14ac:dyDescent="0.2"/>
  <cols>
    <col min="1" max="1" width="19.85546875" customWidth="1"/>
    <col min="2" max="2" width="13.140625" bestFit="1" customWidth="1"/>
    <col min="4" max="4" width="74.5703125" customWidth="1"/>
    <col min="6" max="6" width="9.140625" customWidth="1"/>
    <col min="7" max="7" width="6.85546875" customWidth="1"/>
    <col min="8" max="8" width="9.140625" style="547"/>
    <col min="9" max="9" width="9.85546875" customWidth="1"/>
    <col min="10" max="10" width="8.140625" customWidth="1"/>
    <col min="11" max="12" width="7.42578125" customWidth="1"/>
    <col min="13" max="13" width="10.7109375" style="360" customWidth="1"/>
    <col min="14" max="16" width="8.85546875" style="4" customWidth="1"/>
    <col min="17" max="17" width="11" style="4" customWidth="1"/>
    <col min="18" max="18" width="8" style="4" customWidth="1"/>
    <col min="19" max="19" width="9.42578125" style="311" customWidth="1"/>
    <col min="20" max="20" width="8" customWidth="1"/>
    <col min="21" max="21" width="9.28515625" customWidth="1"/>
    <col min="22" max="22" width="8.85546875" style="4" customWidth="1"/>
    <col min="23" max="23" width="9.85546875" customWidth="1"/>
    <col min="24" max="24" width="10.7109375" customWidth="1"/>
    <col min="25" max="25" width="9.7109375" style="311" customWidth="1"/>
    <col min="26" max="26" width="10.5703125" customWidth="1"/>
    <col min="28" max="29" width="8.5703125" customWidth="1"/>
    <col min="30" max="30" width="10" customWidth="1"/>
    <col min="31" max="31" width="12.28515625" customWidth="1"/>
    <col min="32" max="32" width="8" customWidth="1"/>
    <col min="33" max="33" width="9.85546875" customWidth="1"/>
    <col min="34" max="35" width="8.85546875" customWidth="1"/>
    <col min="36" max="36" width="10.5703125" customWidth="1"/>
    <col min="37" max="37" width="10.28515625" customWidth="1"/>
    <col min="38" max="38" width="13.7109375" customWidth="1"/>
    <col min="39" max="39" width="12" style="311" customWidth="1"/>
    <col min="40" max="40" width="11.5703125" customWidth="1"/>
    <col min="41" max="41" width="9.28515625" customWidth="1"/>
    <col min="42" max="44" width="10.42578125" customWidth="1"/>
    <col min="46" max="46" width="8.42578125" style="4" customWidth="1"/>
    <col min="47" max="47" width="7.28515625" customWidth="1"/>
    <col min="48" max="48" width="10.140625" style="9" customWidth="1"/>
    <col min="49" max="49" width="12.42578125" style="379" customWidth="1"/>
    <col min="50" max="50" width="11.42578125" style="379" customWidth="1"/>
    <col min="51" max="51" width="3.28515625" customWidth="1"/>
    <col min="52" max="52" width="7.85546875" style="360" customWidth="1"/>
    <col min="53" max="53" width="9.140625" style="311"/>
    <col min="54" max="54" width="10.28515625" style="311" customWidth="1"/>
    <col min="55" max="55" width="12.140625" style="311" customWidth="1"/>
    <col min="56" max="56" width="8.85546875" style="311" customWidth="1"/>
    <col min="57" max="57" width="7.85546875" customWidth="1"/>
    <col min="61" max="61" width="28.42578125" customWidth="1"/>
    <col min="64" max="64" width="12.42578125" bestFit="1" customWidth="1"/>
  </cols>
  <sheetData>
    <row r="1" spans="1:65" ht="12.75" customHeight="1" x14ac:dyDescent="0.2">
      <c r="A1" s="758" t="s">
        <v>753</v>
      </c>
      <c r="B1" s="758"/>
      <c r="C1" s="758"/>
      <c r="D1" s="758"/>
    </row>
    <row r="2" spans="1:65" ht="12.75" customHeight="1" x14ac:dyDescent="0.2">
      <c r="A2" s="758"/>
      <c r="B2" s="758"/>
      <c r="C2" s="758"/>
      <c r="D2" s="758"/>
      <c r="H2" s="552">
        <f>AV19</f>
        <v>0.85975800579531469</v>
      </c>
      <c r="I2" s="114" t="s">
        <v>602</v>
      </c>
      <c r="AK2" s="114"/>
    </row>
    <row r="3" spans="1:65" ht="12.75" customHeight="1" x14ac:dyDescent="0.2">
      <c r="A3" s="758"/>
      <c r="B3" s="758"/>
      <c r="C3" s="758"/>
      <c r="D3" s="758"/>
      <c r="H3" s="552">
        <f>AV59</f>
        <v>0.94127853538105366</v>
      </c>
      <c r="I3" s="114" t="s">
        <v>604</v>
      </c>
      <c r="AK3" s="114"/>
    </row>
    <row r="4" spans="1:65" ht="12.75" customHeight="1" x14ac:dyDescent="0.2">
      <c r="A4" s="758"/>
      <c r="B4" s="758"/>
      <c r="C4" s="758"/>
      <c r="D4" s="758"/>
      <c r="H4" s="552">
        <f>AV109</f>
        <v>0.95066703083621806</v>
      </c>
      <c r="I4" s="114" t="s">
        <v>603</v>
      </c>
      <c r="AK4" s="114"/>
      <c r="AM4" s="311">
        <f>QrrSky_Q4</f>
        <v>0</v>
      </c>
    </row>
    <row r="5" spans="1:65" x14ac:dyDescent="0.2">
      <c r="A5" s="10"/>
      <c r="B5" s="11"/>
      <c r="C5" s="6"/>
      <c r="D5" s="6"/>
    </row>
    <row r="6" spans="1:65" ht="13.5" customHeight="1" thickBot="1" x14ac:dyDescent="0.25">
      <c r="A6" s="759" t="s">
        <v>474</v>
      </c>
      <c r="B6" s="759"/>
      <c r="C6" s="759"/>
      <c r="D6" s="759"/>
    </row>
    <row r="7" spans="1:65" ht="13.5" thickBot="1" x14ac:dyDescent="0.25">
      <c r="A7" s="759"/>
      <c r="B7" s="759"/>
      <c r="C7" s="759"/>
      <c r="D7" s="759"/>
      <c r="G7" s="755" t="s">
        <v>595</v>
      </c>
      <c r="H7" s="756"/>
      <c r="I7" s="756"/>
      <c r="J7" s="756"/>
      <c r="K7" s="756"/>
      <c r="L7" s="768"/>
      <c r="M7" s="756"/>
      <c r="N7" s="757"/>
      <c r="O7" s="661"/>
      <c r="P7" s="661"/>
      <c r="Q7" s="661"/>
      <c r="R7" s="755" t="s">
        <v>485</v>
      </c>
      <c r="S7" s="756"/>
      <c r="T7" s="756"/>
      <c r="U7" s="757"/>
      <c r="V7" s="760" t="s">
        <v>25</v>
      </c>
      <c r="W7" s="761"/>
      <c r="X7" s="762"/>
      <c r="Y7" s="755" t="s">
        <v>57</v>
      </c>
      <c r="Z7" s="756"/>
      <c r="AA7" s="757"/>
      <c r="AB7" s="755" t="s">
        <v>592</v>
      </c>
      <c r="AC7" s="756"/>
      <c r="AD7" s="756"/>
      <c r="AE7" s="768"/>
      <c r="AF7" s="756"/>
      <c r="AG7" s="757"/>
      <c r="AH7" s="755" t="s">
        <v>593</v>
      </c>
      <c r="AI7" s="756"/>
      <c r="AJ7" s="756"/>
      <c r="AK7" s="757"/>
      <c r="AL7" s="466" t="s">
        <v>201</v>
      </c>
      <c r="AM7" s="468" t="s">
        <v>458</v>
      </c>
      <c r="AN7" s="467" t="s">
        <v>503</v>
      </c>
      <c r="AO7" s="764" t="s">
        <v>492</v>
      </c>
      <c r="AP7" s="765"/>
      <c r="AQ7" s="765"/>
      <c r="AR7" s="766"/>
      <c r="AS7" s="767"/>
      <c r="AT7" s="755" t="s">
        <v>500</v>
      </c>
      <c r="AU7" s="756"/>
      <c r="AV7" s="756"/>
      <c r="AW7" s="756"/>
      <c r="AX7" s="756"/>
      <c r="AY7" s="543"/>
      <c r="AZ7" s="763" t="s">
        <v>501</v>
      </c>
      <c r="BA7" s="763"/>
      <c r="BB7" s="763"/>
      <c r="BC7" s="763"/>
      <c r="BD7" s="763"/>
      <c r="BE7" s="763"/>
    </row>
    <row r="8" spans="1:65" ht="77.25" thickBot="1" x14ac:dyDescent="0.45">
      <c r="A8" s="606" t="s">
        <v>108</v>
      </c>
      <c r="B8" s="13"/>
      <c r="C8" s="13"/>
      <c r="D8" s="6"/>
      <c r="G8" s="451" t="s">
        <v>53</v>
      </c>
      <c r="H8" s="546" t="s">
        <v>3</v>
      </c>
      <c r="I8" s="538" t="s">
        <v>594</v>
      </c>
      <c r="J8" s="452" t="s">
        <v>5</v>
      </c>
      <c r="K8" s="452" t="s">
        <v>305</v>
      </c>
      <c r="L8" s="452"/>
      <c r="M8" s="463" t="s">
        <v>596</v>
      </c>
      <c r="N8" s="540" t="s">
        <v>486</v>
      </c>
      <c r="O8" s="662" t="s">
        <v>830</v>
      </c>
      <c r="P8" s="463" t="s">
        <v>843</v>
      </c>
      <c r="Q8" s="662" t="s">
        <v>844</v>
      </c>
      <c r="R8" s="539" t="s">
        <v>591</v>
      </c>
      <c r="S8" s="465" t="s">
        <v>87</v>
      </c>
      <c r="T8" s="452" t="s">
        <v>590</v>
      </c>
      <c r="U8" s="453" t="s">
        <v>521</v>
      </c>
      <c r="V8" s="539" t="s">
        <v>488</v>
      </c>
      <c r="W8" s="454" t="s">
        <v>487</v>
      </c>
      <c r="X8" s="453" t="s">
        <v>520</v>
      </c>
      <c r="Y8" s="464" t="s">
        <v>489</v>
      </c>
      <c r="Z8" s="452" t="s">
        <v>490</v>
      </c>
      <c r="AA8" s="453" t="s">
        <v>518</v>
      </c>
      <c r="AB8" s="451" t="s">
        <v>84</v>
      </c>
      <c r="AC8" s="452" t="s">
        <v>491</v>
      </c>
      <c r="AD8" s="452" t="s">
        <v>587</v>
      </c>
      <c r="AE8" s="653" t="s">
        <v>829</v>
      </c>
      <c r="AF8" s="455" t="s">
        <v>202</v>
      </c>
      <c r="AG8" s="453" t="s">
        <v>588</v>
      </c>
      <c r="AH8" s="451" t="s">
        <v>84</v>
      </c>
      <c r="AI8" s="452" t="s">
        <v>491</v>
      </c>
      <c r="AJ8" s="452" t="s">
        <v>494</v>
      </c>
      <c r="AK8" s="456" t="s">
        <v>589</v>
      </c>
      <c r="AL8" s="453" t="s">
        <v>494</v>
      </c>
      <c r="AM8" s="469" t="s">
        <v>93</v>
      </c>
      <c r="AN8" s="470" t="s">
        <v>502</v>
      </c>
      <c r="AO8" s="457" t="s">
        <v>495</v>
      </c>
      <c r="AP8" s="458" t="s">
        <v>135</v>
      </c>
      <c r="AQ8" s="459" t="s">
        <v>204</v>
      </c>
      <c r="AR8" s="458" t="s">
        <v>816</v>
      </c>
      <c r="AS8" s="460" t="s">
        <v>493</v>
      </c>
      <c r="AT8" s="461" t="s">
        <v>54</v>
      </c>
      <c r="AU8" s="452" t="s">
        <v>295</v>
      </c>
      <c r="AV8" s="462" t="s">
        <v>497</v>
      </c>
      <c r="AW8" s="550" t="str">
        <f>IF(Vin&gt;Vout, "Buck ''CONTROL'' MOSFET Temp Rise", "Boost ''CONTROL'' MOSFET Temp Rise")</f>
        <v>Buck ''CONTROL'' MOSFET Temp Rise</v>
      </c>
      <c r="AX8" s="550" t="str">
        <f>IF(Vin&gt;Vout, "Buck ''SYNC'' MOSFET Temp Rise", "Boost ''SYNC'' MOSFET Temp Rise")</f>
        <v>Buck ''SYNC'' MOSFET Temp Rise</v>
      </c>
      <c r="AZ8" s="544" t="s">
        <v>496</v>
      </c>
      <c r="BA8" s="545" t="s">
        <v>519</v>
      </c>
      <c r="BB8" s="545" t="s">
        <v>597</v>
      </c>
      <c r="BC8" s="545" t="s">
        <v>751</v>
      </c>
      <c r="BD8" s="545" t="s">
        <v>752</v>
      </c>
      <c r="BE8" s="545" t="s">
        <v>571</v>
      </c>
      <c r="BF8" s="545"/>
    </row>
    <row r="9" spans="1:65" x14ac:dyDescent="0.2">
      <c r="A9" s="14" t="s">
        <v>55</v>
      </c>
      <c r="B9" s="15" t="s">
        <v>111</v>
      </c>
      <c r="C9" s="16" t="s">
        <v>76</v>
      </c>
      <c r="D9" s="17" t="s">
        <v>107</v>
      </c>
      <c r="G9">
        <v>0</v>
      </c>
      <c r="H9" s="548">
        <f t="shared" ref="H9:H72" si="0">Vin</f>
        <v>21</v>
      </c>
      <c r="I9" s="4">
        <f t="shared" ref="I9:I40" si="1">MODE</f>
        <v>1</v>
      </c>
      <c r="J9">
        <v>0</v>
      </c>
      <c r="K9" s="4">
        <f t="shared" ref="K9:K40" si="2">Vout2*J9/(Vin*Efficiency)</f>
        <v>0</v>
      </c>
      <c r="L9" s="4"/>
      <c r="M9" s="360">
        <f t="shared" ref="M9:M40" si="3">(Vout2+(Rdson4+Rs+Rdcr)*J9)/(Vin+(Rs+Rdson2-Rdson1)*J9)</f>
        <v>0.95238095238095233</v>
      </c>
      <c r="N9" s="4">
        <f t="shared" ref="N9:N40" si="4">(Vin-(Rdson3+Rdcr2)*J9-Vout2)*M9/(Fsw*Lo_2)</f>
        <v>0.20614306328592041</v>
      </c>
      <c r="O9" s="4">
        <f>J9+N9/2</f>
        <v>0.10307153164296021</v>
      </c>
      <c r="P9" s="4">
        <f>J9-N9/2</f>
        <v>-0.10307153164296021</v>
      </c>
      <c r="Q9" s="4">
        <f t="shared" ref="Q9:Q40" si="5">IF(MIN(Vin, -P9/(Coss_Q3+Coss_Q4)*0.00000002)&lt;0, 0, MIN(Vin, -P9/(Coss_Q3+Coss_Q4)*0.00000002))</f>
        <v>1.077590503324205</v>
      </c>
      <c r="R9" s="4">
        <f t="shared" ref="R9:R40" si="6">SQRT(J9^2+(N9^2)/12)</f>
        <v>5.9508376539850104E-2</v>
      </c>
      <c r="S9" s="360">
        <f t="shared" ref="S9:S40" si="7">R9^2*Rdcr2</f>
        <v>4.7806832858515858E-6</v>
      </c>
      <c r="T9" s="360">
        <f t="shared" ref="T9:T40" si="8">Core_Loss_Ch1</f>
        <v>0.3</v>
      </c>
      <c r="U9" s="360">
        <f t="shared" ref="U9:U40" si="9">(T9+S9*(1+Ltc*(Ta-25)))/(1-S9*Ltc*ThetaCa)</f>
        <v>0.30000489542155695</v>
      </c>
      <c r="V9" s="4">
        <f>N9/SQRT(12)</f>
        <v>5.9508376539850111E-2</v>
      </c>
      <c r="W9" s="360">
        <f t="shared" ref="W9:W40" si="10">Cout2_ESR*V9^2</f>
        <v>7.0824937568171659E-6</v>
      </c>
      <c r="X9" s="360">
        <f>W9</f>
        <v>7.0824937568171659E-6</v>
      </c>
      <c r="Y9" s="4">
        <f t="shared" ref="Y9:Y40" si="11">SQRT(M9*(1-M9))*SQRT(J9^2+(N9^2)/12)</f>
        <v>1.2672835730834154E-2</v>
      </c>
      <c r="Z9" s="360">
        <f t="shared" ref="Z9:Z73" si="12">RCinEsr*Y9^2</f>
        <v>1.6060076546070685E-7</v>
      </c>
      <c r="AA9" s="541">
        <f>Z9</f>
        <v>1.6060076546070685E-7</v>
      </c>
      <c r="AB9" s="360">
        <f t="shared" ref="AB9:AB40" si="13">SQRT(M9)*SQRT(J9^2+(N9^2)/12)</f>
        <v>5.8074229006288496E-2</v>
      </c>
      <c r="AC9" s="360">
        <f t="shared" ref="AC9:AC40" si="14">Rdson3*AB9^2</f>
        <v>2.0235696448049041E-5</v>
      </c>
      <c r="AD9" s="360">
        <f t="shared" ref="AD9:AD40" si="15">(Vin*J9/2)*Fsw*(Tr_Ch2+Tf_Ch2)</f>
        <v>0</v>
      </c>
      <c r="AE9" s="360">
        <f t="shared" ref="AE9:AE40" si="16">(0.5*Coss_Q3*(Vin-Q9)^2-0.5*Coss_Q4*(Vin-Q9)^2+(Qoss_Q4*(Vin-Q9)/Vin)*Vin)*Fsw</f>
        <v>0.635408235811317</v>
      </c>
      <c r="AF9" s="360">
        <f t="shared" ref="AF9:AF40" si="17">IF(J9&gt;N9/2,0,ABS(J9-N9/2)*Vsd_Q3*Deadtime*Fsw)</f>
        <v>2.121212121212121E-3</v>
      </c>
      <c r="AG9" s="360">
        <f t="shared" ref="AG9:AG40" si="18">(AF9+AE9+AD9+AC9*(1+RdsonTopTc*Ta-RdsonTopTc*25))/(1-AC9*RdsonTopTc*ThetaJA_Q2)</f>
        <v>0.6375516446268128</v>
      </c>
      <c r="AH9" s="360">
        <f t="shared" ref="AH9:AH40" si="19">SQRT((1-M9))*SQRT(J9^2+(N9^2)/12)</f>
        <v>1.2985792379895122E-2</v>
      </c>
      <c r="AI9" s="360">
        <f t="shared" ref="AI9:AI40" si="20">Rdson4*AH9^2</f>
        <v>4.2157700933435551E-7</v>
      </c>
      <c r="AJ9" s="360">
        <f t="shared" ref="AJ9:AJ40" si="21">IF(J9&lt;N9/2,Deadtime*Fsw*IF(VfdSky_Q4&gt;0,0,Vsd_Q4)*(J9+N9/2),2*Deadtime*Fsw*IF(VfdSky_Q4&gt;0,0,Vsd_Q4)*J9)</f>
        <v>2.121212121212121E-3</v>
      </c>
      <c r="AK9" s="360">
        <f t="shared" ref="AK9:AK40" si="22">(AJ9+AI9*(1+RdsonBotTc*Ta-RdsonBotTc*25))/(1-AI9*RdsonBotTc*ThetaJA_Q3)</f>
        <v>2.1216338771078685E-3</v>
      </c>
      <c r="AL9" s="360">
        <f t="shared" ref="AL9:AL40" si="23">2*Deadtime*Fsw*IF(VfdSky_Q4&gt;0,VfdSky_Q4,Vsd_Q4)*J9</f>
        <v>0</v>
      </c>
      <c r="AM9" s="360">
        <f t="shared" ref="AM9:AM40" si="24">IF(QrrSky_Q4&gt;0,QrrSky_Q4,Qrr_Q4*J9/Iout2)*Fsw*Vin</f>
        <v>0</v>
      </c>
      <c r="AN9" s="360">
        <f t="shared" ref="AN9:AN40" si="25">CHOOSE(SENSING_TYPE, Rs_Ch2*R9^2, 0)</f>
        <v>3.5412468784085822E-5</v>
      </c>
      <c r="AO9" s="360">
        <f t="shared" ref="AO9:AO40" si="26">Iq*Vin</f>
        <v>7.3499999999999998E-4</v>
      </c>
      <c r="AP9" s="360">
        <f t="shared" ref="AP9:AP40" si="27">IF(Ext_VCC=1,  (Qg_Q3+Qg_Q4)*Fsw*VCC, (Qg_Q3+Qg_Q4)*Fsw*Vin)</f>
        <v>0.34650000000000003</v>
      </c>
      <c r="AQ9" s="360">
        <f t="shared" ref="AQ9:AQ40" si="28">(Vin-VCC)*Fsw*(Qg_Q3+Qg_Q4)+(RdsonDRT+RdsonDRT2)*Fsw*Qg_Q3*VCC/(RdsonDRT+2*Rgate3+RdsonDRT2)+(RdsonDRB+RdsonDRB2)*Fsw*Qg_Q4*VCC/(RdsonDRB+2*Rgate4+RdsonDRB2)</f>
        <v>1.3167</v>
      </c>
      <c r="AR9" s="360">
        <f t="shared" ref="AR9:AR40" si="29">(Qg_Q3+Qg_Q4)*Fsw*(Vin-VCC)</f>
        <v>1.1088</v>
      </c>
      <c r="AS9" s="360">
        <f>SUM(AO9:AP9)</f>
        <v>0.34723500000000002</v>
      </c>
      <c r="AT9" s="360">
        <f>SUM(U9,X9,AA9,AG9,AK9,AL9,AM9,AS9,AN9)</f>
        <v>1.286955829488784</v>
      </c>
      <c r="AU9">
        <f t="shared" ref="AU9:AU40" si="30">Vout2*J9</f>
        <v>0</v>
      </c>
      <c r="AV9" s="542">
        <f>AU9/(AU9+AT9)</f>
        <v>0</v>
      </c>
      <c r="AW9" s="551">
        <f t="shared" ref="AW9:AW40" si="31">ThetaJA_Q1*BC9</f>
        <v>31.877582231340639</v>
      </c>
      <c r="AX9" s="551">
        <f t="shared" ref="AX9:AX40" si="32">ThetaJA_Q2*BD9</f>
        <v>8.0622087330098999E-2</v>
      </c>
      <c r="AZ9" s="4">
        <f>AV9*100</f>
        <v>0</v>
      </c>
      <c r="BA9" s="360">
        <f t="shared" ref="BA9:BA40" si="33">U9</f>
        <v>0.30000489542155695</v>
      </c>
      <c r="BB9" s="360">
        <f>AG9+AK9+AM9</f>
        <v>0.63967327850392064</v>
      </c>
      <c r="BC9" s="360">
        <f>AG9+AM9*0.66</f>
        <v>0.6375516446268128</v>
      </c>
      <c r="BD9" s="360">
        <f>AK9+AM9*0.33</f>
        <v>2.1216338771078685E-3</v>
      </c>
      <c r="BE9" s="360">
        <f>AN9</f>
        <v>3.5412468784085822E-5</v>
      </c>
      <c r="BJ9" s="18"/>
      <c r="BK9" s="18"/>
      <c r="BL9" s="18"/>
      <c r="BM9" s="19"/>
    </row>
    <row r="10" spans="1:65" x14ac:dyDescent="0.2">
      <c r="A10" s="495"/>
      <c r="B10" s="24"/>
      <c r="C10" s="16"/>
      <c r="D10" s="17"/>
      <c r="G10">
        <v>1</v>
      </c>
      <c r="H10" s="548">
        <f t="shared" si="0"/>
        <v>21</v>
      </c>
      <c r="I10" s="4">
        <f t="shared" si="1"/>
        <v>1</v>
      </c>
      <c r="J10" s="360">
        <f t="shared" ref="J10:J41" si="34">Iout2*G10/100</f>
        <v>0.05</v>
      </c>
      <c r="K10" s="4">
        <f t="shared" si="2"/>
        <v>5.2910052910052907E-2</v>
      </c>
      <c r="L10" s="4"/>
      <c r="M10" s="360">
        <f t="shared" si="3"/>
        <v>0.95239918906016929</v>
      </c>
      <c r="N10" s="4">
        <f t="shared" si="4"/>
        <v>0.20607125159268186</v>
      </c>
      <c r="O10" s="4">
        <f t="shared" ref="O10:O73" si="35">J10+N10/2</f>
        <v>0.15303562579634095</v>
      </c>
      <c r="P10" s="4">
        <f t="shared" ref="P10:P73" si="36">J10-N10/2</f>
        <v>-5.3035625796340927E-2</v>
      </c>
      <c r="Q10" s="4">
        <f t="shared" si="5"/>
        <v>0.55447596232452612</v>
      </c>
      <c r="R10" s="4">
        <f t="shared" si="6"/>
        <v>7.7709587961082377E-2</v>
      </c>
      <c r="S10" s="360">
        <f t="shared" si="7"/>
        <v>8.1523530824596195E-6</v>
      </c>
      <c r="T10" s="360">
        <f t="shared" si="8"/>
        <v>0.3</v>
      </c>
      <c r="U10" s="360">
        <f t="shared" si="9"/>
        <v>0.30000834801500087</v>
      </c>
      <c r="V10" s="4">
        <f t="shared" ref="V10:V73" si="37">N10/SQRT(12)</f>
        <v>5.9487646289638985E-2</v>
      </c>
      <c r="W10" s="360">
        <f t="shared" si="10"/>
        <v>7.077560122162398E-6</v>
      </c>
      <c r="X10" s="360">
        <f t="shared" ref="X10:X73" si="38">W10</f>
        <v>7.077560122162398E-6</v>
      </c>
      <c r="Y10" s="4">
        <f t="shared" si="11"/>
        <v>1.6545934107111325E-2</v>
      </c>
      <c r="Z10" s="360">
        <f t="shared" si="12"/>
        <v>2.7376793547686988E-7</v>
      </c>
      <c r="AA10" s="541">
        <f t="shared" ref="AA10:AA73" si="39">Z10</f>
        <v>2.7376793547686988E-7</v>
      </c>
      <c r="AB10" s="360">
        <f t="shared" si="13"/>
        <v>7.5837518637455789E-2</v>
      </c>
      <c r="AC10" s="360">
        <f t="shared" si="14"/>
        <v>3.4507975398518723E-5</v>
      </c>
      <c r="AD10" s="360">
        <f t="shared" si="15"/>
        <v>3.9208233010212604E-3</v>
      </c>
      <c r="AE10" s="360">
        <f t="shared" si="16"/>
        <v>0.63539334115850998</v>
      </c>
      <c r="AF10" s="360">
        <f t="shared" si="17"/>
        <v>1.0914731788886963E-3</v>
      </c>
      <c r="AG10" s="360">
        <f t="shared" si="18"/>
        <v>0.64044350487594237</v>
      </c>
      <c r="AH10" s="360">
        <f t="shared" si="19"/>
        <v>1.6954374892479685E-2</v>
      </c>
      <c r="AI10" s="360">
        <f t="shared" si="20"/>
        <v>7.1862706998686383E-7</v>
      </c>
      <c r="AJ10" s="360">
        <f t="shared" si="21"/>
        <v>3.1494731788886962E-3</v>
      </c>
      <c r="AK10" s="360">
        <f t="shared" si="22"/>
        <v>3.1501922587213699E-3</v>
      </c>
      <c r="AL10" s="360">
        <f t="shared" si="23"/>
        <v>2.0579999999999999E-3</v>
      </c>
      <c r="AM10" s="360">
        <f t="shared" si="24"/>
        <v>2.6460000000000001E-2</v>
      </c>
      <c r="AN10" s="360">
        <f t="shared" si="25"/>
        <v>6.038780061081199E-5</v>
      </c>
      <c r="AO10" s="360">
        <f t="shared" si="26"/>
        <v>7.3499999999999998E-4</v>
      </c>
      <c r="AP10" s="360">
        <f t="shared" si="27"/>
        <v>0.34650000000000003</v>
      </c>
      <c r="AQ10" s="360">
        <f t="shared" si="28"/>
        <v>1.3167</v>
      </c>
      <c r="AR10" s="360">
        <f t="shared" si="29"/>
        <v>1.1088</v>
      </c>
      <c r="AS10" s="360">
        <f t="shared" ref="AS10" si="40">SUM(AO10:AP10)</f>
        <v>0.34723500000000002</v>
      </c>
      <c r="AT10" s="360">
        <f t="shared" ref="AT10:AT73" si="41">SUM(U10,X10,AA10,AG10,AK10,AL10,AM10,AS10,AN10)</f>
        <v>1.3194227842783333</v>
      </c>
      <c r="AU10">
        <f t="shared" si="30"/>
        <v>1</v>
      </c>
      <c r="AV10" s="542">
        <f t="shared" ref="AV10:AV73" si="42">AU10/(AU10+AT10)</f>
        <v>0.4311417507744888</v>
      </c>
      <c r="AW10" s="551">
        <f t="shared" si="31"/>
        <v>32.89535524379712</v>
      </c>
      <c r="AX10" s="551">
        <f t="shared" si="32"/>
        <v>0.4515157058314121</v>
      </c>
      <c r="AY10" s="9"/>
      <c r="AZ10" s="4">
        <f t="shared" ref="AZ10:AZ73" si="43">AV10*100</f>
        <v>43.114175077448877</v>
      </c>
      <c r="BA10" s="360">
        <f t="shared" si="33"/>
        <v>0.30000834801500087</v>
      </c>
      <c r="BB10" s="360">
        <f t="shared" ref="BB10:BB73" si="44">AG10+AK10+AM10</f>
        <v>0.67005369713466378</v>
      </c>
      <c r="BC10" s="360">
        <f t="shared" ref="BC10:BC73" si="45">AG10+AM10*0.66</f>
        <v>0.65790710487594239</v>
      </c>
      <c r="BD10" s="360">
        <f t="shared" ref="BD10:BD73" si="46">AK10+AM10*0.33</f>
        <v>1.1881992258721372E-2</v>
      </c>
      <c r="BE10" s="360">
        <f t="shared" ref="BE10:BE73" si="47">AN10</f>
        <v>6.038780061081199E-5</v>
      </c>
      <c r="BJ10" s="18"/>
      <c r="BK10" s="18"/>
      <c r="BL10" s="18"/>
      <c r="BM10" s="19"/>
    </row>
    <row r="11" spans="1:65" x14ac:dyDescent="0.2">
      <c r="A11" s="20" t="s">
        <v>3</v>
      </c>
      <c r="B11" s="5">
        <f>Vin</f>
        <v>21</v>
      </c>
      <c r="C11" s="440" t="s">
        <v>0</v>
      </c>
      <c r="D11" s="21" t="s">
        <v>3</v>
      </c>
      <c r="G11">
        <v>2</v>
      </c>
      <c r="H11" s="548">
        <f t="shared" si="0"/>
        <v>21</v>
      </c>
      <c r="I11" s="4">
        <f t="shared" si="1"/>
        <v>1</v>
      </c>
      <c r="J11" s="360">
        <f t="shared" si="34"/>
        <v>0.1</v>
      </c>
      <c r="K11" s="4">
        <f t="shared" si="2"/>
        <v>0.10582010582010581</v>
      </c>
      <c r="L11" s="4"/>
      <c r="M11" s="360">
        <f t="shared" si="3"/>
        <v>0.952417425174935</v>
      </c>
      <c r="N11" s="4">
        <f t="shared" si="4"/>
        <v>0.20599943687606764</v>
      </c>
      <c r="O11" s="4">
        <f t="shared" si="35"/>
        <v>0.20299971843803383</v>
      </c>
      <c r="P11" s="4">
        <f t="shared" si="36"/>
        <v>-2.999718438033816E-3</v>
      </c>
      <c r="Q11" s="4">
        <f t="shared" si="5"/>
        <v>3.1361405520479002E-2</v>
      </c>
      <c r="R11" s="4">
        <f t="shared" si="6"/>
        <v>0.11634566601054842</v>
      </c>
      <c r="S11" s="360">
        <f t="shared" si="7"/>
        <v>1.8274023899241413E-5</v>
      </c>
      <c r="T11" s="360">
        <f t="shared" si="8"/>
        <v>0.3</v>
      </c>
      <c r="U11" s="360">
        <f t="shared" si="9"/>
        <v>0.30001871262782925</v>
      </c>
      <c r="V11" s="4">
        <f t="shared" si="37"/>
        <v>5.9466915166654491E-2</v>
      </c>
      <c r="W11" s="360">
        <f t="shared" si="10"/>
        <v>7.0726279988761641E-6</v>
      </c>
      <c r="X11" s="360">
        <f t="shared" si="38"/>
        <v>7.0726279988761641E-6</v>
      </c>
      <c r="Y11" s="4">
        <f t="shared" si="11"/>
        <v>2.4767823600220125E-2</v>
      </c>
      <c r="Z11" s="360">
        <f t="shared" si="12"/>
        <v>6.1344508589162096E-7</v>
      </c>
      <c r="AA11" s="541">
        <f t="shared" si="39"/>
        <v>6.1344508589162096E-7</v>
      </c>
      <c r="AB11" s="360">
        <f t="shared" si="13"/>
        <v>0.11354391804805859</v>
      </c>
      <c r="AC11" s="360">
        <f t="shared" si="14"/>
        <v>7.7353327954225479E-5</v>
      </c>
      <c r="AD11" s="360">
        <f t="shared" si="15"/>
        <v>7.8416466020425207E-3</v>
      </c>
      <c r="AE11" s="360">
        <f t="shared" si="16"/>
        <v>0.63452392328692864</v>
      </c>
      <c r="AF11" s="360">
        <f t="shared" si="17"/>
        <v>6.1734205454735922E-5</v>
      </c>
      <c r="AG11" s="360">
        <f t="shared" si="18"/>
        <v>0.64251221189197205</v>
      </c>
      <c r="AH11" s="360">
        <f t="shared" si="19"/>
        <v>2.5378980943565041E-2</v>
      </c>
      <c r="AI11" s="360">
        <f t="shared" si="20"/>
        <v>1.6102316843345937E-6</v>
      </c>
      <c r="AJ11" s="360">
        <f t="shared" si="21"/>
        <v>4.1777342054547355E-3</v>
      </c>
      <c r="AK11" s="360">
        <f t="shared" si="22"/>
        <v>4.1793457830820698E-3</v>
      </c>
      <c r="AL11" s="360">
        <f t="shared" si="23"/>
        <v>4.1159999999999999E-3</v>
      </c>
      <c r="AM11" s="360">
        <f t="shared" si="24"/>
        <v>5.2920000000000002E-2</v>
      </c>
      <c r="AN11" s="360">
        <f t="shared" si="25"/>
        <v>1.3536313999438083E-4</v>
      </c>
      <c r="AO11" s="360">
        <f t="shared" si="26"/>
        <v>7.3499999999999998E-4</v>
      </c>
      <c r="AP11" s="360">
        <f t="shared" si="27"/>
        <v>0.34650000000000003</v>
      </c>
      <c r="AQ11" s="360">
        <f t="shared" si="28"/>
        <v>1.3167</v>
      </c>
      <c r="AR11" s="360">
        <f t="shared" si="29"/>
        <v>1.1088</v>
      </c>
      <c r="AS11" s="360">
        <f t="shared" ref="AS11:AS74" si="48">SUM(AO11:AP11)</f>
        <v>0.34723500000000002</v>
      </c>
      <c r="AT11" s="360">
        <f t="shared" si="41"/>
        <v>1.3511243195159626</v>
      </c>
      <c r="AU11">
        <f t="shared" si="30"/>
        <v>2</v>
      </c>
      <c r="AV11" s="542">
        <f t="shared" si="42"/>
        <v>0.59681462378240879</v>
      </c>
      <c r="AW11" s="551">
        <f t="shared" si="31"/>
        <v>33.871970594598608</v>
      </c>
      <c r="AX11" s="551">
        <f t="shared" si="32"/>
        <v>0.8224319397571187</v>
      </c>
      <c r="AY11" s="9"/>
      <c r="AZ11" s="4">
        <f t="shared" si="43"/>
        <v>59.68146237824088</v>
      </c>
      <c r="BA11" s="360">
        <f t="shared" si="33"/>
        <v>0.30001871262782925</v>
      </c>
      <c r="BB11" s="360">
        <f t="shared" si="44"/>
        <v>0.69961155767505412</v>
      </c>
      <c r="BC11" s="360">
        <f t="shared" si="45"/>
        <v>0.6774394118919721</v>
      </c>
      <c r="BD11" s="360">
        <f t="shared" si="46"/>
        <v>2.1642945783082072E-2</v>
      </c>
      <c r="BE11" s="360">
        <f t="shared" si="47"/>
        <v>1.3536313999438083E-4</v>
      </c>
      <c r="BJ11" s="18"/>
      <c r="BK11" s="18"/>
      <c r="BL11" s="18"/>
      <c r="BM11" s="19"/>
    </row>
    <row r="12" spans="1:65" x14ac:dyDescent="0.2">
      <c r="A12" s="22" t="s">
        <v>4</v>
      </c>
      <c r="B12" s="5">
        <f>Vout2</f>
        <v>20</v>
      </c>
      <c r="C12" s="440" t="s">
        <v>0</v>
      </c>
      <c r="D12" s="21" t="s">
        <v>4</v>
      </c>
      <c r="G12">
        <v>3</v>
      </c>
      <c r="H12" s="548">
        <f t="shared" si="0"/>
        <v>21</v>
      </c>
      <c r="I12" s="4">
        <f t="shared" si="1"/>
        <v>1</v>
      </c>
      <c r="J12" s="360">
        <f t="shared" si="34"/>
        <v>0.15</v>
      </c>
      <c r="K12" s="4">
        <f t="shared" si="2"/>
        <v>0.15873015873015872</v>
      </c>
      <c r="L12" s="4"/>
      <c r="M12" s="360">
        <f t="shared" si="3"/>
        <v>0.95243566072527575</v>
      </c>
      <c r="N12" s="4">
        <f t="shared" si="4"/>
        <v>0.20592761913621815</v>
      </c>
      <c r="O12" s="4">
        <f t="shared" si="35"/>
        <v>0.25296380956810904</v>
      </c>
      <c r="P12" s="4">
        <f t="shared" si="36"/>
        <v>4.7036190431890917E-2</v>
      </c>
      <c r="Q12" s="4">
        <f t="shared" si="5"/>
        <v>0</v>
      </c>
      <c r="R12" s="4">
        <f t="shared" si="6"/>
        <v>0.16135008117008373</v>
      </c>
      <c r="S12" s="360">
        <f t="shared" si="7"/>
        <v>3.5145695736350025E-5</v>
      </c>
      <c r="T12" s="360">
        <f t="shared" si="8"/>
        <v>0.3</v>
      </c>
      <c r="U12" s="360">
        <f t="shared" si="9"/>
        <v>0.30003598929362357</v>
      </c>
      <c r="V12" s="4">
        <f t="shared" si="37"/>
        <v>5.9446183170937146E-2</v>
      </c>
      <c r="W12" s="360">
        <f t="shared" si="10"/>
        <v>7.0676973871852216E-6</v>
      </c>
      <c r="X12" s="360">
        <f t="shared" si="38"/>
        <v>7.0676973871852216E-6</v>
      </c>
      <c r="Y12" s="4">
        <f t="shared" si="11"/>
        <v>3.4342170987084288E-2</v>
      </c>
      <c r="Z12" s="360">
        <f t="shared" si="12"/>
        <v>1.1793847081061338E-6</v>
      </c>
      <c r="AA12" s="541">
        <f t="shared" si="39"/>
        <v>1.1793847081061338E-6</v>
      </c>
      <c r="AB12" s="360">
        <f t="shared" si="13"/>
        <v>0.15746607851122646</v>
      </c>
      <c r="AC12" s="360">
        <f t="shared" si="14"/>
        <v>1.4877339529022242E-4</v>
      </c>
      <c r="AD12" s="360">
        <f t="shared" si="15"/>
        <v>1.1762469903063781E-2</v>
      </c>
      <c r="AE12" s="360">
        <f t="shared" si="16"/>
        <v>0.63444464999999983</v>
      </c>
      <c r="AF12" s="360">
        <f t="shared" si="17"/>
        <v>0</v>
      </c>
      <c r="AG12" s="360">
        <f t="shared" si="18"/>
        <v>0.64637051003413348</v>
      </c>
      <c r="AH12" s="360">
        <f t="shared" si="19"/>
        <v>3.518924284335876E-2</v>
      </c>
      <c r="AI12" s="360">
        <f t="shared" si="20"/>
        <v>3.095707029722189E-6</v>
      </c>
      <c r="AJ12" s="360">
        <f t="shared" si="21"/>
        <v>6.1739999999999989E-3</v>
      </c>
      <c r="AK12" s="360">
        <f t="shared" si="22"/>
        <v>6.1770995315278097E-3</v>
      </c>
      <c r="AL12" s="360">
        <f t="shared" si="23"/>
        <v>6.1739999999999989E-3</v>
      </c>
      <c r="AM12" s="360">
        <f t="shared" si="24"/>
        <v>7.9379999999999992E-2</v>
      </c>
      <c r="AN12" s="360">
        <f t="shared" si="25"/>
        <v>2.6033848693592608E-4</v>
      </c>
      <c r="AO12" s="360">
        <f t="shared" si="26"/>
        <v>7.3499999999999998E-4</v>
      </c>
      <c r="AP12" s="360">
        <f t="shared" si="27"/>
        <v>0.34650000000000003</v>
      </c>
      <c r="AQ12" s="360">
        <f t="shared" si="28"/>
        <v>1.3167</v>
      </c>
      <c r="AR12" s="360">
        <f t="shared" si="29"/>
        <v>1.1088</v>
      </c>
      <c r="AS12" s="360">
        <f t="shared" si="48"/>
        <v>0.34723500000000002</v>
      </c>
      <c r="AT12" s="360">
        <f t="shared" si="41"/>
        <v>1.3856411844283161</v>
      </c>
      <c r="AU12">
        <f t="shared" si="30"/>
        <v>3</v>
      </c>
      <c r="AV12" s="542">
        <f t="shared" si="42"/>
        <v>0.6840504897326799</v>
      </c>
      <c r="AW12" s="551">
        <f t="shared" si="31"/>
        <v>34.938065501706674</v>
      </c>
      <c r="AX12" s="551">
        <f t="shared" si="32"/>
        <v>1.2301549821980566</v>
      </c>
      <c r="AY12" s="9"/>
      <c r="AZ12" s="4">
        <f t="shared" si="43"/>
        <v>68.405048973267995</v>
      </c>
      <c r="BA12" s="360">
        <f t="shared" si="33"/>
        <v>0.30003598929362357</v>
      </c>
      <c r="BB12" s="360">
        <f t="shared" si="44"/>
        <v>0.73192760956566127</v>
      </c>
      <c r="BC12" s="360">
        <f t="shared" si="45"/>
        <v>0.69876131003413344</v>
      </c>
      <c r="BD12" s="360">
        <f t="shared" si="46"/>
        <v>3.2372499531527807E-2</v>
      </c>
      <c r="BE12" s="360">
        <f t="shared" si="47"/>
        <v>2.6033848693592608E-4</v>
      </c>
      <c r="BJ12" s="18"/>
      <c r="BK12" s="18"/>
      <c r="BL12" s="18"/>
      <c r="BM12" s="19"/>
    </row>
    <row r="13" spans="1:65" x14ac:dyDescent="0.2">
      <c r="A13" s="22" t="s">
        <v>6</v>
      </c>
      <c r="B13" s="5">
        <f>Fsw/1000</f>
        <v>2100</v>
      </c>
      <c r="C13" s="440" t="s">
        <v>2</v>
      </c>
      <c r="D13" s="21" t="s">
        <v>94</v>
      </c>
      <c r="G13">
        <v>4</v>
      </c>
      <c r="H13" s="548">
        <f t="shared" si="0"/>
        <v>21</v>
      </c>
      <c r="I13" s="4">
        <f t="shared" si="1"/>
        <v>1</v>
      </c>
      <c r="J13" s="360">
        <f t="shared" si="34"/>
        <v>0.2</v>
      </c>
      <c r="K13" s="4">
        <f t="shared" si="2"/>
        <v>0.21164021164021163</v>
      </c>
      <c r="L13" s="4"/>
      <c r="M13" s="360">
        <f t="shared" si="3"/>
        <v>0.95245389571121797</v>
      </c>
      <c r="N13" s="4">
        <f t="shared" si="4"/>
        <v>0.20585579837327303</v>
      </c>
      <c r="O13" s="4">
        <f t="shared" si="35"/>
        <v>0.30292789918663654</v>
      </c>
      <c r="P13" s="4">
        <f t="shared" si="36"/>
        <v>9.7072100813363496E-2</v>
      </c>
      <c r="Q13" s="4">
        <f t="shared" si="5"/>
        <v>0</v>
      </c>
      <c r="R13" s="4">
        <f t="shared" si="6"/>
        <v>0.20864176030617204</v>
      </c>
      <c r="S13" s="360">
        <f t="shared" si="7"/>
        <v>5.8767368593938501E-5</v>
      </c>
      <c r="T13" s="360">
        <f t="shared" si="8"/>
        <v>0.3</v>
      </c>
      <c r="U13" s="360">
        <f t="shared" si="9"/>
        <v>0.30006017806836072</v>
      </c>
      <c r="V13" s="4">
        <f t="shared" si="37"/>
        <v>5.9425450302527258E-2</v>
      </c>
      <c r="W13" s="360">
        <f t="shared" si="10"/>
        <v>7.0627682873162739E-6</v>
      </c>
      <c r="X13" s="360">
        <f t="shared" si="38"/>
        <v>7.0627682873162739E-6</v>
      </c>
      <c r="Y13" s="4">
        <f t="shared" si="11"/>
        <v>4.4399766766185733E-2</v>
      </c>
      <c r="Z13" s="360">
        <f t="shared" si="12"/>
        <v>1.9713392888916914E-6</v>
      </c>
      <c r="AA13" s="541">
        <f t="shared" si="39"/>
        <v>1.9713392888916914E-6</v>
      </c>
      <c r="AB13" s="360">
        <f t="shared" si="13"/>
        <v>0.20362130638351367</v>
      </c>
      <c r="AC13" s="360">
        <f t="shared" si="14"/>
        <v>2.4876981847997247E-4</v>
      </c>
      <c r="AD13" s="360">
        <f t="shared" si="15"/>
        <v>1.5683293204085041E-2</v>
      </c>
      <c r="AE13" s="360">
        <f t="shared" si="16"/>
        <v>0.63444464999999983</v>
      </c>
      <c r="AF13" s="360">
        <f t="shared" si="17"/>
        <v>0</v>
      </c>
      <c r="AG13" s="360">
        <f t="shared" si="18"/>
        <v>0.6504013066552442</v>
      </c>
      <c r="AH13" s="360">
        <f t="shared" si="19"/>
        <v>4.5494480218257277E-2</v>
      </c>
      <c r="AI13" s="360">
        <f t="shared" si="20"/>
        <v>5.174369325823507E-6</v>
      </c>
      <c r="AJ13" s="360">
        <f t="shared" si="21"/>
        <v>8.2319999999999997E-3</v>
      </c>
      <c r="AK13" s="360">
        <f t="shared" si="22"/>
        <v>8.2371828937711222E-3</v>
      </c>
      <c r="AL13" s="360">
        <f t="shared" si="23"/>
        <v>8.2319999999999997E-3</v>
      </c>
      <c r="AM13" s="360">
        <f t="shared" si="24"/>
        <v>0.10584</v>
      </c>
      <c r="AN13" s="360">
        <f t="shared" si="25"/>
        <v>4.3531384143658149E-4</v>
      </c>
      <c r="AO13" s="360">
        <f t="shared" si="26"/>
        <v>7.3499999999999998E-4</v>
      </c>
      <c r="AP13" s="360">
        <f t="shared" si="27"/>
        <v>0.34650000000000003</v>
      </c>
      <c r="AQ13" s="360">
        <f t="shared" si="28"/>
        <v>1.3167</v>
      </c>
      <c r="AR13" s="360">
        <f t="shared" si="29"/>
        <v>1.1088</v>
      </c>
      <c r="AS13" s="360">
        <f t="shared" si="48"/>
        <v>0.34723500000000002</v>
      </c>
      <c r="AT13" s="360">
        <f t="shared" si="41"/>
        <v>1.4204500155663886</v>
      </c>
      <c r="AU13">
        <f t="shared" si="30"/>
        <v>4</v>
      </c>
      <c r="AV13" s="542">
        <f t="shared" si="42"/>
        <v>0.73794610936598326</v>
      </c>
      <c r="AW13" s="551">
        <f t="shared" si="31"/>
        <v>36.012785332762206</v>
      </c>
      <c r="AX13" s="551">
        <f t="shared" si="32"/>
        <v>1.6402465499633028</v>
      </c>
      <c r="AY13" s="9"/>
      <c r="AZ13" s="4">
        <f t="shared" si="43"/>
        <v>73.794610936598332</v>
      </c>
      <c r="BA13" s="360">
        <f t="shared" si="33"/>
        <v>0.30006017806836072</v>
      </c>
      <c r="BB13" s="360">
        <f t="shared" si="44"/>
        <v>0.76447848954901543</v>
      </c>
      <c r="BC13" s="360">
        <f t="shared" si="45"/>
        <v>0.72025570665524419</v>
      </c>
      <c r="BD13" s="360">
        <f t="shared" si="46"/>
        <v>4.3164382893771128E-2</v>
      </c>
      <c r="BE13" s="360">
        <f t="shared" si="47"/>
        <v>4.3531384143658149E-4</v>
      </c>
      <c r="BJ13" s="18"/>
      <c r="BK13" s="18"/>
      <c r="BL13" s="18"/>
      <c r="BM13" s="19"/>
    </row>
    <row r="14" spans="1:65" x14ac:dyDescent="0.2">
      <c r="A14" s="22" t="s">
        <v>5</v>
      </c>
      <c r="B14" s="5">
        <f>Iout2</f>
        <v>5</v>
      </c>
      <c r="C14" s="440" t="s">
        <v>1</v>
      </c>
      <c r="D14" s="21" t="s">
        <v>95</v>
      </c>
      <c r="G14">
        <v>5</v>
      </c>
      <c r="H14" s="548">
        <f t="shared" si="0"/>
        <v>21</v>
      </c>
      <c r="I14" s="4">
        <f t="shared" si="1"/>
        <v>1</v>
      </c>
      <c r="J14" s="360">
        <f t="shared" si="34"/>
        <v>0.25</v>
      </c>
      <c r="K14" s="4">
        <f t="shared" si="2"/>
        <v>0.26455026455026454</v>
      </c>
      <c r="L14" s="4"/>
      <c r="M14" s="360">
        <f t="shared" si="3"/>
        <v>0.95247213013278742</v>
      </c>
      <c r="N14" s="4">
        <f t="shared" si="4"/>
        <v>0.20578397458737399</v>
      </c>
      <c r="O14" s="4">
        <f t="shared" si="35"/>
        <v>0.35289198729368698</v>
      </c>
      <c r="P14" s="4">
        <f t="shared" si="36"/>
        <v>0.14710801270631302</v>
      </c>
      <c r="Q14" s="4">
        <f t="shared" si="5"/>
        <v>0</v>
      </c>
      <c r="R14" s="4">
        <f t="shared" si="6"/>
        <v>0.25696093156304534</v>
      </c>
      <c r="S14" s="360">
        <f t="shared" si="7"/>
        <v>8.9139042472159892E-5</v>
      </c>
      <c r="T14" s="360">
        <f t="shared" si="8"/>
        <v>0.3</v>
      </c>
      <c r="U14" s="360">
        <f t="shared" si="9"/>
        <v>0.30009127903041349</v>
      </c>
      <c r="V14" s="4">
        <f t="shared" si="37"/>
        <v>5.9404716561465745E-2</v>
      </c>
      <c r="W14" s="360">
        <f t="shared" si="10"/>
        <v>7.0578406994961656E-6</v>
      </c>
      <c r="X14" s="360">
        <f t="shared" si="38"/>
        <v>7.0578406994961656E-6</v>
      </c>
      <c r="Y14" s="4">
        <f t="shared" si="11"/>
        <v>5.4672308442132014E-2</v>
      </c>
      <c r="Z14" s="360">
        <f t="shared" si="12"/>
        <v>2.9890613103916193E-6</v>
      </c>
      <c r="AA14" s="541">
        <f t="shared" si="39"/>
        <v>2.9890613103916193E-6</v>
      </c>
      <c r="AB14" s="360">
        <f t="shared" si="13"/>
        <v>0.25078019542199242</v>
      </c>
      <c r="AC14" s="360">
        <f t="shared" si="14"/>
        <v>3.7734423849535627E-4</v>
      </c>
      <c r="AD14" s="360">
        <f t="shared" si="15"/>
        <v>1.9604116505106302E-2</v>
      </c>
      <c r="AE14" s="360">
        <f t="shared" si="16"/>
        <v>0.63444464999999983</v>
      </c>
      <c r="AF14" s="360">
        <f t="shared" si="17"/>
        <v>0</v>
      </c>
      <c r="AG14" s="360">
        <f t="shared" si="18"/>
        <v>0.65446364837282822</v>
      </c>
      <c r="AH14" s="360">
        <f t="shared" si="19"/>
        <v>5.601976377900366E-2</v>
      </c>
      <c r="AI14" s="360">
        <f t="shared" si="20"/>
        <v>7.845534834638427E-6</v>
      </c>
      <c r="AJ14" s="360">
        <f t="shared" si="21"/>
        <v>1.0289999999999999E-2</v>
      </c>
      <c r="AK14" s="360">
        <f t="shared" si="22"/>
        <v>1.0297861693281164E-2</v>
      </c>
      <c r="AL14" s="360">
        <f t="shared" si="23"/>
        <v>1.0289999999999999E-2</v>
      </c>
      <c r="AM14" s="360">
        <f t="shared" si="24"/>
        <v>0.13229999999999997</v>
      </c>
      <c r="AN14" s="360">
        <f t="shared" si="25"/>
        <v>6.6028920349748069E-4</v>
      </c>
      <c r="AO14" s="360">
        <f t="shared" si="26"/>
        <v>7.3499999999999998E-4</v>
      </c>
      <c r="AP14" s="360">
        <f t="shared" si="27"/>
        <v>0.34650000000000003</v>
      </c>
      <c r="AQ14" s="360">
        <f t="shared" si="28"/>
        <v>1.3167</v>
      </c>
      <c r="AR14" s="360">
        <f t="shared" si="29"/>
        <v>1.1088</v>
      </c>
      <c r="AS14" s="360">
        <f t="shared" si="48"/>
        <v>0.34723500000000002</v>
      </c>
      <c r="AT14" s="360">
        <f t="shared" si="41"/>
        <v>1.4553481252020302</v>
      </c>
      <c r="AU14">
        <f t="shared" si="30"/>
        <v>5</v>
      </c>
      <c r="AV14" s="542">
        <f t="shared" si="42"/>
        <v>0.77455156608513931</v>
      </c>
      <c r="AW14" s="551">
        <f t="shared" si="31"/>
        <v>37.089082418641411</v>
      </c>
      <c r="AX14" s="551">
        <f t="shared" si="32"/>
        <v>2.0503607443446841</v>
      </c>
      <c r="AY14" s="9"/>
      <c r="AZ14" s="4">
        <f t="shared" si="43"/>
        <v>77.455156608513931</v>
      </c>
      <c r="BA14" s="360">
        <f t="shared" si="33"/>
        <v>0.30009127903041349</v>
      </c>
      <c r="BB14" s="360">
        <f t="shared" si="44"/>
        <v>0.79706151006610937</v>
      </c>
      <c r="BC14" s="360">
        <f t="shared" si="45"/>
        <v>0.74178164837282823</v>
      </c>
      <c r="BD14" s="360">
        <f t="shared" si="46"/>
        <v>5.3956861693281163E-2</v>
      </c>
      <c r="BE14" s="360">
        <f t="shared" si="47"/>
        <v>6.6028920349748069E-4</v>
      </c>
      <c r="BJ14" s="18"/>
      <c r="BK14" s="18"/>
      <c r="BL14" s="18"/>
      <c r="BM14" s="19"/>
    </row>
    <row r="15" spans="1:65" x14ac:dyDescent="0.2">
      <c r="A15" s="23" t="s">
        <v>83</v>
      </c>
      <c r="B15" s="5">
        <f>Ta</f>
        <v>25</v>
      </c>
      <c r="C15" s="440" t="s">
        <v>465</v>
      </c>
      <c r="D15" s="21" t="s">
        <v>96</v>
      </c>
      <c r="G15">
        <v>6</v>
      </c>
      <c r="H15" s="548">
        <f t="shared" si="0"/>
        <v>21</v>
      </c>
      <c r="I15" s="4">
        <f t="shared" si="1"/>
        <v>1</v>
      </c>
      <c r="J15" s="360">
        <f t="shared" si="34"/>
        <v>0.3</v>
      </c>
      <c r="K15" s="4">
        <f t="shared" si="2"/>
        <v>0.31746031746031744</v>
      </c>
      <c r="L15" s="4"/>
      <c r="M15" s="360">
        <f t="shared" si="3"/>
        <v>0.95249036399001041</v>
      </c>
      <c r="N15" s="4">
        <f t="shared" si="4"/>
        <v>0.2057121477786607</v>
      </c>
      <c r="O15" s="4">
        <f t="shared" si="35"/>
        <v>0.40285607388933031</v>
      </c>
      <c r="P15" s="4">
        <f t="shared" si="36"/>
        <v>0.19714392611066964</v>
      </c>
      <c r="Q15" s="4">
        <f t="shared" si="5"/>
        <v>0</v>
      </c>
      <c r="R15" s="4">
        <f t="shared" si="6"/>
        <v>0.30582095629955736</v>
      </c>
      <c r="S15" s="360">
        <f t="shared" si="7"/>
        <v>1.262607173711673E-4</v>
      </c>
      <c r="T15" s="360">
        <f t="shared" si="8"/>
        <v>0.3</v>
      </c>
      <c r="U15" s="360">
        <f t="shared" si="9"/>
        <v>0.30012929228055096</v>
      </c>
      <c r="V15" s="4">
        <f t="shared" si="37"/>
        <v>5.9383981947792923E-2</v>
      </c>
      <c r="W15" s="360">
        <f t="shared" si="10"/>
        <v>7.0529146239515916E-6</v>
      </c>
      <c r="X15" s="360">
        <f t="shared" si="38"/>
        <v>7.0529146239515916E-6</v>
      </c>
      <c r="Y15" s="4">
        <f t="shared" si="11"/>
        <v>6.5056154590654669E-2</v>
      </c>
      <c r="Z15" s="360">
        <f t="shared" si="12"/>
        <v>4.2323032501231593E-6</v>
      </c>
      <c r="AA15" s="541">
        <f t="shared" si="39"/>
        <v>4.2323032501231593E-6</v>
      </c>
      <c r="AB15" s="360">
        <f t="shared" si="13"/>
        <v>0.29846783640415925</v>
      </c>
      <c r="AC15" s="360">
        <f t="shared" si="14"/>
        <v>5.3449829620667985E-4</v>
      </c>
      <c r="AD15" s="360">
        <f t="shared" si="15"/>
        <v>2.3524939806127562E-2</v>
      </c>
      <c r="AE15" s="360">
        <f t="shared" si="16"/>
        <v>0.63444464999999983</v>
      </c>
      <c r="AF15" s="360">
        <f t="shared" si="17"/>
        <v>0</v>
      </c>
      <c r="AG15" s="360">
        <f t="shared" si="18"/>
        <v>0.65855759178477002</v>
      </c>
      <c r="AH15" s="360">
        <f t="shared" si="19"/>
        <v>6.6658892461514824E-2</v>
      </c>
      <c r="AI15" s="360">
        <f t="shared" si="20"/>
        <v>1.1108519860489494E-5</v>
      </c>
      <c r="AJ15" s="360">
        <f t="shared" si="21"/>
        <v>1.2347999999999998E-2</v>
      </c>
      <c r="AK15" s="360">
        <f t="shared" si="22"/>
        <v>1.2359135978201981E-2</v>
      </c>
      <c r="AL15" s="360">
        <f t="shared" si="23"/>
        <v>1.2347999999999998E-2</v>
      </c>
      <c r="AM15" s="360">
        <f t="shared" si="24"/>
        <v>0.15875999999999998</v>
      </c>
      <c r="AN15" s="360">
        <f t="shared" si="25"/>
        <v>9.352645731197577E-4</v>
      </c>
      <c r="AO15" s="360">
        <f t="shared" si="26"/>
        <v>7.3499999999999998E-4</v>
      </c>
      <c r="AP15" s="360">
        <f t="shared" si="27"/>
        <v>0.34650000000000003</v>
      </c>
      <c r="AQ15" s="360">
        <f t="shared" si="28"/>
        <v>1.3167</v>
      </c>
      <c r="AR15" s="360">
        <f t="shared" si="29"/>
        <v>1.1088</v>
      </c>
      <c r="AS15" s="360">
        <f t="shared" si="48"/>
        <v>0.34723500000000002</v>
      </c>
      <c r="AT15" s="360">
        <f t="shared" si="41"/>
        <v>1.4903355698345166</v>
      </c>
      <c r="AU15">
        <f t="shared" si="30"/>
        <v>6</v>
      </c>
      <c r="AV15" s="542">
        <f t="shared" si="42"/>
        <v>0.8010322026376927</v>
      </c>
      <c r="AW15" s="551">
        <f t="shared" si="31"/>
        <v>38.166959589238502</v>
      </c>
      <c r="AX15" s="551">
        <f t="shared" si="32"/>
        <v>2.4604975671716751</v>
      </c>
      <c r="AY15" s="9"/>
      <c r="AZ15" s="4">
        <f t="shared" si="43"/>
        <v>80.103220263769273</v>
      </c>
      <c r="BA15" s="360">
        <f t="shared" si="33"/>
        <v>0.30012929228055096</v>
      </c>
      <c r="BB15" s="360">
        <f t="shared" si="44"/>
        <v>0.82967672776297197</v>
      </c>
      <c r="BC15" s="360">
        <f t="shared" si="45"/>
        <v>0.76333919178477005</v>
      </c>
      <c r="BD15" s="360">
        <f t="shared" si="46"/>
        <v>6.4749935978201972E-2</v>
      </c>
      <c r="BE15" s="360">
        <f t="shared" si="47"/>
        <v>9.352645731197577E-4</v>
      </c>
      <c r="BJ15" s="18"/>
      <c r="BK15" s="18"/>
      <c r="BL15" s="18"/>
      <c r="BM15" s="19"/>
    </row>
    <row r="16" spans="1:65" x14ac:dyDescent="0.2">
      <c r="A16" s="448" t="s">
        <v>476</v>
      </c>
      <c r="B16" s="5">
        <f>VCC</f>
        <v>5</v>
      </c>
      <c r="C16" s="440" t="s">
        <v>0</v>
      </c>
      <c r="D16" s="440" t="s">
        <v>475</v>
      </c>
      <c r="G16">
        <v>7</v>
      </c>
      <c r="H16" s="548">
        <f t="shared" si="0"/>
        <v>21</v>
      </c>
      <c r="I16" s="4">
        <f t="shared" si="1"/>
        <v>1</v>
      </c>
      <c r="J16" s="360">
        <f t="shared" si="34"/>
        <v>0.35</v>
      </c>
      <c r="K16" s="4">
        <f t="shared" si="2"/>
        <v>0.37037037037037035</v>
      </c>
      <c r="L16" s="4"/>
      <c r="M16" s="360">
        <f t="shared" si="3"/>
        <v>0.95250859728291337</v>
      </c>
      <c r="N16" s="4">
        <f t="shared" si="4"/>
        <v>0.20564031794727353</v>
      </c>
      <c r="O16" s="4">
        <f t="shared" si="35"/>
        <v>0.45282015897363675</v>
      </c>
      <c r="P16" s="4">
        <f t="shared" si="36"/>
        <v>0.2471798410263632</v>
      </c>
      <c r="Q16" s="4">
        <f t="shared" si="5"/>
        <v>0</v>
      </c>
      <c r="R16" s="4">
        <f t="shared" si="6"/>
        <v>0.35499858454711425</v>
      </c>
      <c r="S16" s="360">
        <f t="shared" si="7"/>
        <v>1.7013239329111374E-4</v>
      </c>
      <c r="T16" s="360">
        <f t="shared" si="8"/>
        <v>0.3</v>
      </c>
      <c r="U16" s="360">
        <f t="shared" si="9"/>
        <v>0.30017421794193933</v>
      </c>
      <c r="V16" s="4">
        <f t="shared" si="37"/>
        <v>5.9363246461549307E-2</v>
      </c>
      <c r="W16" s="360">
        <f t="shared" si="10"/>
        <v>7.0479900609092933E-6</v>
      </c>
      <c r="X16" s="360">
        <f t="shared" si="38"/>
        <v>7.0479900609092933E-6</v>
      </c>
      <c r="Y16" s="4">
        <f t="shared" si="11"/>
        <v>7.5503758720870007E-2</v>
      </c>
      <c r="Z16" s="360">
        <f t="shared" si="12"/>
        <v>5.7008175809793534E-6</v>
      </c>
      <c r="AA16" s="541">
        <f t="shared" si="39"/>
        <v>5.7008175809793534E-6</v>
      </c>
      <c r="AB16" s="360">
        <f t="shared" si="13"/>
        <v>0.34646636017144172</v>
      </c>
      <c r="AC16" s="360">
        <f t="shared" si="14"/>
        <v>7.2023363238268303E-4</v>
      </c>
      <c r="AD16" s="360">
        <f t="shared" si="15"/>
        <v>2.7445763107148823E-2</v>
      </c>
      <c r="AE16" s="360">
        <f t="shared" si="16"/>
        <v>0.63444464999999983</v>
      </c>
      <c r="AF16" s="360">
        <f t="shared" si="17"/>
        <v>0</v>
      </c>
      <c r="AG16" s="360">
        <f t="shared" si="18"/>
        <v>0.6626831943216045</v>
      </c>
      <c r="AH16" s="360">
        <f t="shared" si="19"/>
        <v>7.7363145618617679E-2</v>
      </c>
      <c r="AI16" s="360">
        <f t="shared" si="20"/>
        <v>1.496264075001861E-5</v>
      </c>
      <c r="AJ16" s="360">
        <f t="shared" si="21"/>
        <v>1.4405999999999997E-2</v>
      </c>
      <c r="AK16" s="360">
        <f t="shared" si="22"/>
        <v>1.4421005796015813E-2</v>
      </c>
      <c r="AL16" s="360">
        <f t="shared" si="23"/>
        <v>1.4405999999999997E-2</v>
      </c>
      <c r="AM16" s="360">
        <f t="shared" si="24"/>
        <v>0.18522</v>
      </c>
      <c r="AN16" s="360">
        <f t="shared" si="25"/>
        <v>1.2602399503045462E-3</v>
      </c>
      <c r="AO16" s="360">
        <f t="shared" si="26"/>
        <v>7.3499999999999998E-4</v>
      </c>
      <c r="AP16" s="360">
        <f t="shared" si="27"/>
        <v>0.34650000000000003</v>
      </c>
      <c r="AQ16" s="360">
        <f t="shared" si="28"/>
        <v>1.3167</v>
      </c>
      <c r="AR16" s="360">
        <f t="shared" si="29"/>
        <v>1.1088</v>
      </c>
      <c r="AS16" s="360">
        <f t="shared" si="48"/>
        <v>0.34723500000000002</v>
      </c>
      <c r="AT16" s="360">
        <f t="shared" si="41"/>
        <v>1.5254124068175061</v>
      </c>
      <c r="AU16">
        <f t="shared" si="30"/>
        <v>7</v>
      </c>
      <c r="AV16" s="542">
        <f t="shared" si="42"/>
        <v>0.82107464905771821</v>
      </c>
      <c r="AW16" s="551">
        <f t="shared" si="31"/>
        <v>39.246419716080226</v>
      </c>
      <c r="AX16" s="551">
        <f t="shared" si="32"/>
        <v>2.8706570202486006</v>
      </c>
      <c r="AY16" s="9"/>
      <c r="AZ16" s="4">
        <f t="shared" si="43"/>
        <v>82.10746490577182</v>
      </c>
      <c r="BA16" s="360">
        <f t="shared" si="33"/>
        <v>0.30017421794193933</v>
      </c>
      <c r="BB16" s="360">
        <f t="shared" si="44"/>
        <v>0.86232420011762034</v>
      </c>
      <c r="BC16" s="360">
        <f t="shared" si="45"/>
        <v>0.78492839432160455</v>
      </c>
      <c r="BD16" s="360">
        <f t="shared" si="46"/>
        <v>7.5543605796015809E-2</v>
      </c>
      <c r="BE16" s="360">
        <f t="shared" si="47"/>
        <v>1.2602399503045462E-3</v>
      </c>
      <c r="BJ16" s="18"/>
      <c r="BK16" s="18"/>
      <c r="BL16" s="18"/>
      <c r="BM16" s="19"/>
    </row>
    <row r="17" spans="1:65" x14ac:dyDescent="0.2">
      <c r="A17" s="24" t="s">
        <v>58</v>
      </c>
      <c r="B17" s="16" t="s">
        <v>111</v>
      </c>
      <c r="C17" s="24" t="s">
        <v>76</v>
      </c>
      <c r="D17" s="17" t="s">
        <v>107</v>
      </c>
      <c r="G17">
        <v>8</v>
      </c>
      <c r="H17" s="548">
        <f t="shared" si="0"/>
        <v>21</v>
      </c>
      <c r="I17" s="4">
        <f t="shared" si="1"/>
        <v>1</v>
      </c>
      <c r="J17" s="360">
        <f t="shared" si="34"/>
        <v>0.4</v>
      </c>
      <c r="K17" s="4">
        <f t="shared" si="2"/>
        <v>0.42328042328042326</v>
      </c>
      <c r="L17" s="4"/>
      <c r="M17" s="360">
        <f t="shared" si="3"/>
        <v>0.95252683001152239</v>
      </c>
      <c r="N17" s="4">
        <f t="shared" si="4"/>
        <v>0.20556848509335271</v>
      </c>
      <c r="O17" s="4">
        <f t="shared" si="35"/>
        <v>0.50278424254667642</v>
      </c>
      <c r="P17" s="4">
        <f t="shared" si="36"/>
        <v>0.29721575745332368</v>
      </c>
      <c r="Q17" s="4">
        <f t="shared" si="5"/>
        <v>0</v>
      </c>
      <c r="R17" s="4">
        <f t="shared" si="6"/>
        <v>0.4043779587283387</v>
      </c>
      <c r="S17" s="360">
        <f t="shared" si="7"/>
        <v>2.207540702321523E-4</v>
      </c>
      <c r="T17" s="360">
        <f t="shared" si="8"/>
        <v>0.3</v>
      </c>
      <c r="U17" s="360">
        <f t="shared" si="9"/>
        <v>0.30022605616014308</v>
      </c>
      <c r="V17" s="4">
        <f t="shared" si="37"/>
        <v>5.934251010277538E-2</v>
      </c>
      <c r="W17" s="360">
        <f t="shared" si="10"/>
        <v>7.0430670105959969E-6</v>
      </c>
      <c r="X17" s="360">
        <f t="shared" si="38"/>
        <v>7.0430670105959969E-6</v>
      </c>
      <c r="Y17" s="4">
        <f t="shared" si="11"/>
        <v>8.5990445813654171E-2</v>
      </c>
      <c r="Z17" s="360">
        <f t="shared" si="12"/>
        <v>7.3943567712309942E-6</v>
      </c>
      <c r="AA17" s="541">
        <f t="shared" si="39"/>
        <v>7.3943567712309942E-6</v>
      </c>
      <c r="AB17" s="360">
        <f t="shared" si="13"/>
        <v>0.3946627014913171</v>
      </c>
      <c r="AC17" s="360">
        <f t="shared" si="14"/>
        <v>9.3455188769054687E-4</v>
      </c>
      <c r="AD17" s="360">
        <f t="shared" si="15"/>
        <v>3.1366586408170083E-2</v>
      </c>
      <c r="AE17" s="360">
        <f t="shared" si="16"/>
        <v>0.63444464999999983</v>
      </c>
      <c r="AF17" s="360">
        <f t="shared" si="17"/>
        <v>0</v>
      </c>
      <c r="AG17" s="360">
        <f t="shared" si="18"/>
        <v>0.66684051424919022</v>
      </c>
      <c r="AH17" s="360">
        <f t="shared" si="19"/>
        <v>8.8107238958405401E-2</v>
      </c>
      <c r="AI17" s="360">
        <f t="shared" si="20"/>
        <v>1.9407213892183878E-5</v>
      </c>
      <c r="AJ17" s="360">
        <f t="shared" si="21"/>
        <v>1.6463999999999999E-2</v>
      </c>
      <c r="AK17" s="360">
        <f t="shared" si="22"/>
        <v>1.6483471193542411E-2</v>
      </c>
      <c r="AL17" s="360">
        <f t="shared" si="23"/>
        <v>1.6463999999999999E-2</v>
      </c>
      <c r="AM17" s="360">
        <f t="shared" si="24"/>
        <v>0.21168000000000001</v>
      </c>
      <c r="AN17" s="360">
        <f t="shared" si="25"/>
        <v>1.6352153350529799E-3</v>
      </c>
      <c r="AO17" s="360">
        <f t="shared" si="26"/>
        <v>7.3499999999999998E-4</v>
      </c>
      <c r="AP17" s="360">
        <f t="shared" si="27"/>
        <v>0.34650000000000003</v>
      </c>
      <c r="AQ17" s="360">
        <f t="shared" si="28"/>
        <v>1.3167</v>
      </c>
      <c r="AR17" s="360">
        <f t="shared" si="29"/>
        <v>1.1088</v>
      </c>
      <c r="AS17" s="360">
        <f t="shared" si="48"/>
        <v>0.34723500000000002</v>
      </c>
      <c r="AT17" s="360">
        <f t="shared" si="41"/>
        <v>1.5605786943617106</v>
      </c>
      <c r="AU17">
        <f t="shared" si="30"/>
        <v>8</v>
      </c>
      <c r="AV17" s="542">
        <f t="shared" si="42"/>
        <v>0.83676943161588624</v>
      </c>
      <c r="AW17" s="551">
        <f t="shared" si="31"/>
        <v>40.327465712459507</v>
      </c>
      <c r="AX17" s="551">
        <f t="shared" si="32"/>
        <v>3.2808391053546115</v>
      </c>
      <c r="AY17" s="9"/>
      <c r="AZ17" s="4">
        <f t="shared" si="43"/>
        <v>83.676943161588625</v>
      </c>
      <c r="BA17" s="360">
        <f t="shared" si="33"/>
        <v>0.30022605616014308</v>
      </c>
      <c r="BB17" s="360">
        <f t="shared" si="44"/>
        <v>0.89500398544273263</v>
      </c>
      <c r="BC17" s="360">
        <f t="shared" si="45"/>
        <v>0.80654931424919019</v>
      </c>
      <c r="BD17" s="360">
        <f t="shared" si="46"/>
        <v>8.6337871193542415E-2</v>
      </c>
      <c r="BE17" s="360">
        <f t="shared" si="47"/>
        <v>1.6352153350529799E-3</v>
      </c>
      <c r="BJ17" s="18"/>
      <c r="BK17" s="18"/>
      <c r="BL17" s="18"/>
      <c r="BM17" s="19"/>
    </row>
    <row r="18" spans="1:65" x14ac:dyDescent="0.2">
      <c r="A18" s="35" t="s">
        <v>56</v>
      </c>
      <c r="B18" s="38">
        <f>Lo_2*1000000</f>
        <v>2.2000000000000002</v>
      </c>
      <c r="C18" s="441" t="s">
        <v>10</v>
      </c>
      <c r="D18" s="440" t="s">
        <v>468</v>
      </c>
      <c r="G18">
        <v>9</v>
      </c>
      <c r="H18" s="548">
        <f t="shared" si="0"/>
        <v>21</v>
      </c>
      <c r="I18" s="4">
        <f t="shared" si="1"/>
        <v>1</v>
      </c>
      <c r="J18" s="360">
        <f t="shared" si="34"/>
        <v>0.45</v>
      </c>
      <c r="K18" s="4">
        <f t="shared" si="2"/>
        <v>0.47619047619047616</v>
      </c>
      <c r="L18" s="4"/>
      <c r="M18" s="360">
        <f t="shared" si="3"/>
        <v>0.95254506217586354</v>
      </c>
      <c r="N18" s="4">
        <f t="shared" si="4"/>
        <v>0.20549664921703864</v>
      </c>
      <c r="O18" s="4">
        <f t="shared" si="35"/>
        <v>0.5527483246085193</v>
      </c>
      <c r="P18" s="4">
        <f t="shared" si="36"/>
        <v>0.34725167539148072</v>
      </c>
      <c r="Q18" s="4">
        <f t="shared" si="5"/>
        <v>0</v>
      </c>
      <c r="R18" s="4">
        <f t="shared" si="6"/>
        <v>0.45389323935989534</v>
      </c>
      <c r="S18" s="360">
        <f t="shared" si="7"/>
        <v>2.7812574819443598E-4</v>
      </c>
      <c r="T18" s="360">
        <f t="shared" si="8"/>
        <v>0.3</v>
      </c>
      <c r="U18" s="360">
        <f t="shared" si="9"/>
        <v>0.30028480710312616</v>
      </c>
      <c r="V18" s="4">
        <f t="shared" si="37"/>
        <v>5.9321772871511684E-2</v>
      </c>
      <c r="W18" s="360">
        <f t="shared" si="10"/>
        <v>7.0381454732384386E-6</v>
      </c>
      <c r="X18" s="360">
        <f t="shared" si="38"/>
        <v>7.0381454732384386E-6</v>
      </c>
      <c r="Y18" s="4">
        <f t="shared" si="11"/>
        <v>9.6502193159163516E-2</v>
      </c>
      <c r="Z18" s="360">
        <f t="shared" si="12"/>
        <v>9.3126732845285052E-6</v>
      </c>
      <c r="AA18" s="541">
        <f t="shared" si="39"/>
        <v>9.3126732845285052E-6</v>
      </c>
      <c r="AB18" s="360">
        <f t="shared" si="13"/>
        <v>0.44299260766892795</v>
      </c>
      <c r="AC18" s="360">
        <f t="shared" si="14"/>
        <v>1.1774547026959005E-3</v>
      </c>
      <c r="AD18" s="360">
        <f t="shared" si="15"/>
        <v>3.528740970919135E-2</v>
      </c>
      <c r="AE18" s="360">
        <f t="shared" si="16"/>
        <v>0.63444464999999983</v>
      </c>
      <c r="AF18" s="360">
        <f t="shared" si="17"/>
        <v>0</v>
      </c>
      <c r="AG18" s="360">
        <f t="shared" si="18"/>
        <v>0.67102961067143851</v>
      </c>
      <c r="AH18" s="360">
        <f t="shared" si="19"/>
        <v>9.8876803585585787E-2</v>
      </c>
      <c r="AI18" s="360">
        <f t="shared" si="20"/>
        <v>2.4441555718256275E-5</v>
      </c>
      <c r="AJ18" s="360">
        <f t="shared" si="21"/>
        <v>1.8521999999999997E-2</v>
      </c>
      <c r="AK18" s="360">
        <f t="shared" si="22"/>
        <v>1.8546532216938364E-2</v>
      </c>
      <c r="AL18" s="360">
        <f t="shared" si="23"/>
        <v>1.8521999999999997E-2</v>
      </c>
      <c r="AM18" s="360">
        <f t="shared" si="24"/>
        <v>0.23813999999999999</v>
      </c>
      <c r="AN18" s="360">
        <f t="shared" si="25"/>
        <v>2.0601907273661924E-3</v>
      </c>
      <c r="AO18" s="360">
        <f t="shared" si="26"/>
        <v>7.3499999999999998E-4</v>
      </c>
      <c r="AP18" s="360">
        <f t="shared" si="27"/>
        <v>0.34650000000000003</v>
      </c>
      <c r="AQ18" s="360">
        <f t="shared" si="28"/>
        <v>1.3167</v>
      </c>
      <c r="AR18" s="360">
        <f t="shared" si="29"/>
        <v>1.1088</v>
      </c>
      <c r="AS18" s="360">
        <f t="shared" si="48"/>
        <v>0.34723500000000002</v>
      </c>
      <c r="AT18" s="360">
        <f t="shared" si="41"/>
        <v>1.595834491537627</v>
      </c>
      <c r="AU18">
        <f t="shared" si="30"/>
        <v>9</v>
      </c>
      <c r="AV18" s="542">
        <f t="shared" si="42"/>
        <v>0.8493903908359326</v>
      </c>
      <c r="AW18" s="551">
        <f t="shared" si="31"/>
        <v>41.410100533571928</v>
      </c>
      <c r="AX18" s="551">
        <f t="shared" si="32"/>
        <v>3.6910438242436574</v>
      </c>
      <c r="AY18" s="9"/>
      <c r="AZ18" s="4">
        <f t="shared" si="43"/>
        <v>84.939039083593258</v>
      </c>
      <c r="BA18" s="360">
        <f t="shared" si="33"/>
        <v>0.30028480710312616</v>
      </c>
      <c r="BB18" s="360">
        <f t="shared" si="44"/>
        <v>0.92771614288837689</v>
      </c>
      <c r="BC18" s="360">
        <f t="shared" si="45"/>
        <v>0.8282020106714385</v>
      </c>
      <c r="BD18" s="360">
        <f t="shared" si="46"/>
        <v>9.7132732216938356E-2</v>
      </c>
      <c r="BE18" s="360">
        <f t="shared" si="47"/>
        <v>2.0601907273661924E-3</v>
      </c>
      <c r="BK18" s="18"/>
      <c r="BL18" s="19"/>
    </row>
    <row r="19" spans="1:65" x14ac:dyDescent="0.2">
      <c r="A19" s="35" t="s">
        <v>11</v>
      </c>
      <c r="B19" s="39">
        <f>Rdcr2*1000</f>
        <v>1.35</v>
      </c>
      <c r="C19" s="442" t="s">
        <v>466</v>
      </c>
      <c r="D19" s="440" t="s">
        <v>469</v>
      </c>
      <c r="G19">
        <v>10</v>
      </c>
      <c r="H19" s="548">
        <f t="shared" si="0"/>
        <v>21</v>
      </c>
      <c r="I19" s="4">
        <f t="shared" si="1"/>
        <v>1</v>
      </c>
      <c r="J19" s="360">
        <f t="shared" si="34"/>
        <v>0.5</v>
      </c>
      <c r="K19" s="4">
        <f t="shared" si="2"/>
        <v>0.52910052910052907</v>
      </c>
      <c r="L19" s="4"/>
      <c r="M19" s="360">
        <f t="shared" si="3"/>
        <v>0.95256329377596316</v>
      </c>
      <c r="N19" s="4">
        <f t="shared" si="4"/>
        <v>0.20542481031847085</v>
      </c>
      <c r="O19" s="4">
        <f t="shared" si="35"/>
        <v>0.60271240515923541</v>
      </c>
      <c r="P19" s="4">
        <f t="shared" si="36"/>
        <v>0.39728759484076459</v>
      </c>
      <c r="Q19" s="4">
        <f t="shared" si="5"/>
        <v>0</v>
      </c>
      <c r="R19" s="4">
        <f t="shared" si="6"/>
        <v>0.50350433237910841</v>
      </c>
      <c r="S19" s="360">
        <f t="shared" si="7"/>
        <v>3.4224742717811781E-4</v>
      </c>
      <c r="T19" s="360">
        <f t="shared" si="8"/>
        <v>0.3</v>
      </c>
      <c r="U19" s="360">
        <f t="shared" si="9"/>
        <v>0.30035047096125317</v>
      </c>
      <c r="V19" s="4">
        <f t="shared" si="37"/>
        <v>5.930103476779848E-2</v>
      </c>
      <c r="W19" s="360">
        <f t="shared" si="10"/>
        <v>7.0332254490632879E-6</v>
      </c>
      <c r="X19" s="360">
        <f t="shared" si="38"/>
        <v>7.0332254490632879E-6</v>
      </c>
      <c r="Y19" s="4">
        <f t="shared" si="11"/>
        <v>0.107030460990803</v>
      </c>
      <c r="Z19" s="360">
        <f t="shared" si="12"/>
        <v>1.1455519579903803E-5</v>
      </c>
      <c r="AA19" s="541">
        <f t="shared" si="39"/>
        <v>1.1455519579903803E-5</v>
      </c>
      <c r="AB19" s="360">
        <f t="shared" si="13"/>
        <v>0.49141695091216092</v>
      </c>
      <c r="AC19" s="360">
        <f t="shared" si="14"/>
        <v>1.4489437178628311E-3</v>
      </c>
      <c r="AD19" s="360">
        <f t="shared" si="15"/>
        <v>3.9208233010212604E-2</v>
      </c>
      <c r="AE19" s="360">
        <f t="shared" si="16"/>
        <v>0.63444464999999983</v>
      </c>
      <c r="AF19" s="360">
        <f t="shared" si="17"/>
        <v>0</v>
      </c>
      <c r="AG19" s="360">
        <f t="shared" si="18"/>
        <v>0.67525054353309677</v>
      </c>
      <c r="AH19" s="360">
        <f t="shared" si="19"/>
        <v>0.10966308896217783</v>
      </c>
      <c r="AI19" s="360">
        <f t="shared" si="20"/>
        <v>3.0064982701816323E-5</v>
      </c>
      <c r="AJ19" s="360">
        <f t="shared" si="21"/>
        <v>2.0579999999999998E-2</v>
      </c>
      <c r="AK19" s="360">
        <f t="shared" si="22"/>
        <v>2.0610188911696435E-2</v>
      </c>
      <c r="AL19" s="360">
        <f t="shared" si="23"/>
        <v>2.0579999999999998E-2</v>
      </c>
      <c r="AM19" s="360">
        <f t="shared" si="24"/>
        <v>0.26459999999999995</v>
      </c>
      <c r="AN19" s="360">
        <f t="shared" si="25"/>
        <v>2.5351661272453169E-3</v>
      </c>
      <c r="AO19" s="360">
        <f t="shared" si="26"/>
        <v>7.3499999999999998E-4</v>
      </c>
      <c r="AP19" s="360">
        <f t="shared" si="27"/>
        <v>0.34650000000000003</v>
      </c>
      <c r="AQ19" s="360">
        <f t="shared" si="28"/>
        <v>1.3167</v>
      </c>
      <c r="AR19" s="360">
        <f t="shared" si="29"/>
        <v>1.1088</v>
      </c>
      <c r="AS19" s="360">
        <f t="shared" si="48"/>
        <v>0.34723500000000002</v>
      </c>
      <c r="AT19" s="360">
        <f t="shared" si="41"/>
        <v>1.6311798582783203</v>
      </c>
      <c r="AU19">
        <f t="shared" si="30"/>
        <v>10</v>
      </c>
      <c r="AV19" s="542">
        <f t="shared" si="42"/>
        <v>0.85975800579531469</v>
      </c>
      <c r="AW19" s="551">
        <f t="shared" si="31"/>
        <v>42.494327176654842</v>
      </c>
      <c r="AX19" s="551">
        <f t="shared" si="32"/>
        <v>4.1012711786444642</v>
      </c>
      <c r="AY19" s="9"/>
      <c r="AZ19" s="4">
        <f t="shared" si="43"/>
        <v>85.975800579531466</v>
      </c>
      <c r="BA19" s="360">
        <f t="shared" si="33"/>
        <v>0.30035047096125317</v>
      </c>
      <c r="BB19" s="360">
        <f t="shared" si="44"/>
        <v>0.96046073244479313</v>
      </c>
      <c r="BC19" s="360">
        <f t="shared" si="45"/>
        <v>0.84988654353309678</v>
      </c>
      <c r="BD19" s="360">
        <f t="shared" si="46"/>
        <v>0.10792818891169642</v>
      </c>
      <c r="BE19" s="360">
        <f t="shared" si="47"/>
        <v>2.5351661272453169E-3</v>
      </c>
      <c r="BK19" s="18"/>
      <c r="BL19" s="19"/>
    </row>
    <row r="20" spans="1:65" x14ac:dyDescent="0.2">
      <c r="A20" s="35" t="s">
        <v>82</v>
      </c>
      <c r="B20" s="39">
        <f>Ltc*1000000</f>
        <v>4000</v>
      </c>
      <c r="C20" s="441" t="s">
        <v>81</v>
      </c>
      <c r="D20" s="21" t="s">
        <v>97</v>
      </c>
      <c r="G20">
        <v>11</v>
      </c>
      <c r="H20" s="548">
        <f t="shared" si="0"/>
        <v>21</v>
      </c>
      <c r="I20" s="4">
        <f t="shared" si="1"/>
        <v>1</v>
      </c>
      <c r="J20" s="360">
        <f t="shared" si="34"/>
        <v>0.55000000000000004</v>
      </c>
      <c r="K20" s="4">
        <f t="shared" si="2"/>
        <v>0.58201058201058198</v>
      </c>
      <c r="L20" s="4"/>
      <c r="M20" s="360">
        <f t="shared" si="3"/>
        <v>0.95258152481184732</v>
      </c>
      <c r="N20" s="4">
        <f t="shared" si="4"/>
        <v>0.20535296839779107</v>
      </c>
      <c r="O20" s="4">
        <f t="shared" si="35"/>
        <v>0.65267648419889557</v>
      </c>
      <c r="P20" s="4">
        <f t="shared" si="36"/>
        <v>0.44732351580110452</v>
      </c>
      <c r="Q20" s="4">
        <f t="shared" si="5"/>
        <v>0</v>
      </c>
      <c r="R20" s="4">
        <f t="shared" si="6"/>
        <v>0.55318546028357318</v>
      </c>
      <c r="S20" s="360">
        <f t="shared" si="7"/>
        <v>4.1311910718335083E-4</v>
      </c>
      <c r="T20" s="360">
        <f t="shared" si="8"/>
        <v>0.3</v>
      </c>
      <c r="U20" s="360">
        <f t="shared" si="9"/>
        <v>0.30042304794729091</v>
      </c>
      <c r="V20" s="4">
        <f t="shared" si="37"/>
        <v>5.92802957916767E-2</v>
      </c>
      <c r="W20" s="360">
        <f t="shared" si="10"/>
        <v>7.028306938297365E-6</v>
      </c>
      <c r="X20" s="360">
        <f t="shared" si="38"/>
        <v>7.028306938297365E-6</v>
      </c>
      <c r="Y20" s="4">
        <f t="shared" si="11"/>
        <v>0.1175697584915963</v>
      </c>
      <c r="Z20" s="360">
        <f t="shared" si="12"/>
        <v>1.3822648111772281E-5</v>
      </c>
      <c r="AA20" s="541">
        <f t="shared" si="39"/>
        <v>1.3822648111772281E-5</v>
      </c>
      <c r="AB20" s="360">
        <f t="shared" si="13"/>
        <v>0.53991057493407957</v>
      </c>
      <c r="AC20" s="360">
        <f t="shared" si="14"/>
        <v>1.7490205735538901E-3</v>
      </c>
      <c r="AD20" s="360">
        <f t="shared" si="15"/>
        <v>4.3129056311233864E-2</v>
      </c>
      <c r="AE20" s="360">
        <f t="shared" si="16"/>
        <v>0.63444464999999983</v>
      </c>
      <c r="AF20" s="360">
        <f t="shared" si="17"/>
        <v>0</v>
      </c>
      <c r="AG20" s="360">
        <f t="shared" si="18"/>
        <v>0.67950337362258784</v>
      </c>
      <c r="AH20" s="360">
        <f t="shared" si="19"/>
        <v>0.12046046879993609</v>
      </c>
      <c r="AI20" s="360">
        <f t="shared" si="20"/>
        <v>3.627681135875094E-5</v>
      </c>
      <c r="AJ20" s="360">
        <f t="shared" si="21"/>
        <v>2.2637999999999998E-2</v>
      </c>
      <c r="AK20" s="360">
        <f t="shared" si="22"/>
        <v>2.2674441322644852E-2</v>
      </c>
      <c r="AL20" s="360">
        <f t="shared" si="23"/>
        <v>2.2637999999999998E-2</v>
      </c>
      <c r="AM20" s="360">
        <f t="shared" si="24"/>
        <v>0.29105999999999999</v>
      </c>
      <c r="AN20" s="360">
        <f t="shared" si="25"/>
        <v>3.0601415346914874E-3</v>
      </c>
      <c r="AO20" s="360">
        <f t="shared" si="26"/>
        <v>7.3499999999999998E-4</v>
      </c>
      <c r="AP20" s="360">
        <f t="shared" si="27"/>
        <v>0.34650000000000003</v>
      </c>
      <c r="AQ20" s="360">
        <f t="shared" si="28"/>
        <v>1.3167</v>
      </c>
      <c r="AR20" s="360">
        <f t="shared" si="29"/>
        <v>1.1088</v>
      </c>
      <c r="AS20" s="360">
        <f t="shared" si="48"/>
        <v>0.34723500000000002</v>
      </c>
      <c r="AT20" s="360">
        <f t="shared" si="41"/>
        <v>1.6666148553822651</v>
      </c>
      <c r="AU20">
        <f t="shared" si="30"/>
        <v>11</v>
      </c>
      <c r="AV20" s="542">
        <f t="shared" si="42"/>
        <v>0.86842460480480377</v>
      </c>
      <c r="AW20" s="551">
        <f t="shared" si="31"/>
        <v>43.580148681129394</v>
      </c>
      <c r="AX20" s="551">
        <f t="shared" si="32"/>
        <v>4.5115211702605045</v>
      </c>
      <c r="AY20" s="9"/>
      <c r="AZ20" s="4">
        <f t="shared" si="43"/>
        <v>86.842460480480383</v>
      </c>
      <c r="BA20" s="360">
        <f t="shared" si="33"/>
        <v>0.30042304794729091</v>
      </c>
      <c r="BB20" s="360">
        <f t="shared" si="44"/>
        <v>0.99323781494523267</v>
      </c>
      <c r="BC20" s="360">
        <f t="shared" si="45"/>
        <v>0.87160297362258787</v>
      </c>
      <c r="BD20" s="360">
        <f t="shared" si="46"/>
        <v>0.11872424132264486</v>
      </c>
      <c r="BE20" s="360">
        <f t="shared" si="47"/>
        <v>3.0601415346914874E-3</v>
      </c>
      <c r="BK20" s="18"/>
      <c r="BL20" s="19"/>
    </row>
    <row r="21" spans="1:65" x14ac:dyDescent="0.2">
      <c r="A21" s="25" t="s">
        <v>129</v>
      </c>
      <c r="B21" s="39">
        <f>ThetaCa</f>
        <v>20</v>
      </c>
      <c r="C21" s="441" t="s">
        <v>205</v>
      </c>
      <c r="D21" s="26" t="s">
        <v>130</v>
      </c>
      <c r="G21">
        <v>12</v>
      </c>
      <c r="H21" s="548">
        <f t="shared" si="0"/>
        <v>21</v>
      </c>
      <c r="I21" s="4">
        <f t="shared" si="1"/>
        <v>1</v>
      </c>
      <c r="J21" s="360">
        <f t="shared" si="34"/>
        <v>0.6</v>
      </c>
      <c r="K21" s="4">
        <f t="shared" si="2"/>
        <v>0.63492063492063489</v>
      </c>
      <c r="L21" s="4"/>
      <c r="M21" s="360">
        <f t="shared" si="3"/>
        <v>0.95259975528354257</v>
      </c>
      <c r="N21" s="4">
        <f t="shared" si="4"/>
        <v>0.20528112345513899</v>
      </c>
      <c r="O21" s="4">
        <f t="shared" si="35"/>
        <v>0.7026405617275695</v>
      </c>
      <c r="P21" s="4">
        <f t="shared" si="36"/>
        <v>0.49735943827243045</v>
      </c>
      <c r="Q21" s="4">
        <f t="shared" si="5"/>
        <v>0</v>
      </c>
      <c r="R21" s="4">
        <f t="shared" si="6"/>
        <v>0.60291931049733649</v>
      </c>
      <c r="S21" s="360">
        <f t="shared" si="7"/>
        <v>4.9074078821028798E-4</v>
      </c>
      <c r="T21" s="360">
        <f t="shared" si="8"/>
        <v>0.3</v>
      </c>
      <c r="U21" s="360">
        <f t="shared" si="9"/>
        <v>0.30050253829641049</v>
      </c>
      <c r="V21" s="4">
        <f t="shared" si="37"/>
        <v>5.9259555943186652E-2</v>
      </c>
      <c r="W21" s="360">
        <f t="shared" si="10"/>
        <v>7.0233899411673375E-6</v>
      </c>
      <c r="X21" s="360">
        <f t="shared" si="38"/>
        <v>7.0233899411673375E-6</v>
      </c>
      <c r="Y21" s="4">
        <f t="shared" si="11"/>
        <v>0.12811639758412863</v>
      </c>
      <c r="Z21" s="360">
        <f t="shared" si="12"/>
        <v>1.6413811329934521E-5</v>
      </c>
      <c r="AA21" s="541">
        <f t="shared" si="39"/>
        <v>1.6413811329934521E-5</v>
      </c>
      <c r="AB21" s="360">
        <f t="shared" si="13"/>
        <v>0.58845658435579062</v>
      </c>
      <c r="AC21" s="360">
        <f t="shared" si="14"/>
        <v>2.0776869100301025E-3</v>
      </c>
      <c r="AD21" s="360">
        <f t="shared" si="15"/>
        <v>4.7049879612255124E-2</v>
      </c>
      <c r="AE21" s="360">
        <f t="shared" si="16"/>
        <v>0.63444464999999983</v>
      </c>
      <c r="AF21" s="360">
        <f t="shared" si="17"/>
        <v>0</v>
      </c>
      <c r="AG21" s="360">
        <f t="shared" si="18"/>
        <v>0.6837881625749066</v>
      </c>
      <c r="AH21" s="360">
        <f t="shared" si="19"/>
        <v>0.13126516407219355</v>
      </c>
      <c r="AI21" s="360">
        <f t="shared" si="20"/>
        <v>4.3076358247249729E-5</v>
      </c>
      <c r="AJ21" s="360">
        <f t="shared" si="21"/>
        <v>2.4695999999999996E-2</v>
      </c>
      <c r="AK21" s="360">
        <f t="shared" si="22"/>
        <v>2.4739289493946652E-2</v>
      </c>
      <c r="AL21" s="360">
        <f t="shared" si="23"/>
        <v>2.4695999999999996E-2</v>
      </c>
      <c r="AM21" s="360">
        <f t="shared" si="24"/>
        <v>0.31751999999999997</v>
      </c>
      <c r="AN21" s="360">
        <f t="shared" si="25"/>
        <v>3.6351169497058368E-3</v>
      </c>
      <c r="AO21" s="360">
        <f t="shared" si="26"/>
        <v>7.3499999999999998E-4</v>
      </c>
      <c r="AP21" s="360">
        <f t="shared" si="27"/>
        <v>0.34650000000000003</v>
      </c>
      <c r="AQ21" s="360">
        <f t="shared" si="28"/>
        <v>1.3167</v>
      </c>
      <c r="AR21" s="360">
        <f t="shared" si="29"/>
        <v>1.1088</v>
      </c>
      <c r="AS21" s="360">
        <f t="shared" si="48"/>
        <v>0.34723500000000002</v>
      </c>
      <c r="AT21" s="360">
        <f t="shared" si="41"/>
        <v>1.7021395445162406</v>
      </c>
      <c r="AU21">
        <f t="shared" si="30"/>
        <v>12</v>
      </c>
      <c r="AV21" s="542">
        <f t="shared" si="42"/>
        <v>0.8757756378858762</v>
      </c>
      <c r="AW21" s="551">
        <f t="shared" si="31"/>
        <v>44.66756812874533</v>
      </c>
      <c r="AX21" s="551">
        <f t="shared" si="32"/>
        <v>4.9217938007699722</v>
      </c>
      <c r="AY21" s="9"/>
      <c r="AZ21" s="4">
        <f t="shared" si="43"/>
        <v>87.577563788587625</v>
      </c>
      <c r="BA21" s="360">
        <f t="shared" si="33"/>
        <v>0.30050253829641049</v>
      </c>
      <c r="BB21" s="360">
        <f t="shared" si="44"/>
        <v>1.0260474520688532</v>
      </c>
      <c r="BC21" s="360">
        <f t="shared" si="45"/>
        <v>0.89335136257490655</v>
      </c>
      <c r="BD21" s="360">
        <f t="shared" si="46"/>
        <v>0.12952088949394663</v>
      </c>
      <c r="BE21" s="360">
        <f t="shared" si="47"/>
        <v>3.6351169497058368E-3</v>
      </c>
      <c r="BK21" s="18"/>
      <c r="BL21" s="19"/>
    </row>
    <row r="22" spans="1:65" x14ac:dyDescent="0.2">
      <c r="A22" s="36" t="s">
        <v>57</v>
      </c>
      <c r="B22" s="39">
        <f>Cin*1000000</f>
        <v>50</v>
      </c>
      <c r="C22" s="443" t="s">
        <v>467</v>
      </c>
      <c r="D22" s="440" t="s">
        <v>484</v>
      </c>
      <c r="G22">
        <v>13</v>
      </c>
      <c r="H22" s="548">
        <f t="shared" si="0"/>
        <v>21</v>
      </c>
      <c r="I22" s="4">
        <f t="shared" si="1"/>
        <v>1</v>
      </c>
      <c r="J22" s="360">
        <f t="shared" si="34"/>
        <v>0.65</v>
      </c>
      <c r="K22" s="4">
        <f t="shared" si="2"/>
        <v>0.68783068783068779</v>
      </c>
      <c r="L22" s="4"/>
      <c r="M22" s="360">
        <f t="shared" si="3"/>
        <v>0.95261798519107466</v>
      </c>
      <c r="N22" s="4">
        <f t="shared" si="4"/>
        <v>0.20520927549065471</v>
      </c>
      <c r="O22" s="4">
        <f t="shared" si="35"/>
        <v>0.75260463774532738</v>
      </c>
      <c r="P22" s="4">
        <f t="shared" si="36"/>
        <v>0.54739536225467267</v>
      </c>
      <c r="Q22" s="4">
        <f t="shared" si="5"/>
        <v>0</v>
      </c>
      <c r="R22" s="4">
        <f t="shared" si="6"/>
        <v>0.65269383115588742</v>
      </c>
      <c r="S22" s="360">
        <f t="shared" si="7"/>
        <v>5.7511247025908267E-4</v>
      </c>
      <c r="T22" s="360">
        <f t="shared" si="8"/>
        <v>0.3</v>
      </c>
      <c r="U22" s="360">
        <f t="shared" si="9"/>
        <v>0.30058894226618865</v>
      </c>
      <c r="V22" s="4">
        <f t="shared" si="37"/>
        <v>5.923881522236879E-2</v>
      </c>
      <c r="W22" s="360">
        <f t="shared" si="10"/>
        <v>7.0184744578999054E-6</v>
      </c>
      <c r="X22" s="360">
        <f t="shared" si="38"/>
        <v>7.0184744578999054E-6</v>
      </c>
      <c r="Y22" s="4">
        <f t="shared" si="11"/>
        <v>0.13866781053863425</v>
      </c>
      <c r="Z22" s="360">
        <f t="shared" si="12"/>
        <v>1.9228761679578563E-5</v>
      </c>
      <c r="AA22" s="541">
        <f t="shared" si="39"/>
        <v>1.9228761679578563E-5</v>
      </c>
      <c r="AB22" s="360">
        <f t="shared" si="13"/>
        <v>0.6370432177190406</v>
      </c>
      <c r="AC22" s="360">
        <f t="shared" si="14"/>
        <v>2.4349443674509738E-3</v>
      </c>
      <c r="AD22" s="360">
        <f t="shared" si="15"/>
        <v>5.0970702913276385E-2</v>
      </c>
      <c r="AE22" s="360">
        <f t="shared" si="16"/>
        <v>0.63444464999999983</v>
      </c>
      <c r="AF22" s="360">
        <f t="shared" si="17"/>
        <v>0</v>
      </c>
      <c r="AG22" s="360">
        <f t="shared" si="18"/>
        <v>0.68810497287457051</v>
      </c>
      <c r="AH22" s="360">
        <f t="shared" si="19"/>
        <v>0.14207454376882969</v>
      </c>
      <c r="AI22" s="360">
        <f t="shared" si="20"/>
        <v>5.0462939967802757E-5</v>
      </c>
      <c r="AJ22" s="360">
        <f t="shared" si="21"/>
        <v>2.6753999999999997E-2</v>
      </c>
      <c r="AK22" s="360">
        <f t="shared" si="22"/>
        <v>2.6804733469098979E-2</v>
      </c>
      <c r="AL22" s="360">
        <f t="shared" si="23"/>
        <v>2.6753999999999997E-2</v>
      </c>
      <c r="AM22" s="360">
        <f t="shared" si="24"/>
        <v>0.34398000000000006</v>
      </c>
      <c r="AN22" s="360">
        <f t="shared" si="25"/>
        <v>4.2600923722895005E-3</v>
      </c>
      <c r="AO22" s="360">
        <f t="shared" si="26"/>
        <v>7.3499999999999998E-4</v>
      </c>
      <c r="AP22" s="360">
        <f t="shared" si="27"/>
        <v>0.34650000000000003</v>
      </c>
      <c r="AQ22" s="360">
        <f t="shared" si="28"/>
        <v>1.3167</v>
      </c>
      <c r="AR22" s="360">
        <f t="shared" si="29"/>
        <v>1.1088</v>
      </c>
      <c r="AS22" s="360">
        <f t="shared" si="48"/>
        <v>0.34723500000000002</v>
      </c>
      <c r="AT22" s="360">
        <f t="shared" si="41"/>
        <v>1.7377539882182853</v>
      </c>
      <c r="AU22">
        <f t="shared" si="30"/>
        <v>13</v>
      </c>
      <c r="AV22" s="542">
        <f t="shared" si="42"/>
        <v>0.88208827548570234</v>
      </c>
      <c r="AW22" s="551">
        <f t="shared" si="31"/>
        <v>45.756588643728527</v>
      </c>
      <c r="AX22" s="551">
        <f t="shared" si="32"/>
        <v>5.3320890718257621</v>
      </c>
      <c r="AY22" s="9"/>
      <c r="AZ22" s="4">
        <f t="shared" si="43"/>
        <v>88.208827548570241</v>
      </c>
      <c r="BA22" s="360">
        <f t="shared" si="33"/>
        <v>0.30058894226618865</v>
      </c>
      <c r="BB22" s="360">
        <f t="shared" si="44"/>
        <v>1.0588897063436695</v>
      </c>
      <c r="BC22" s="360">
        <f t="shared" si="45"/>
        <v>0.91513177287457059</v>
      </c>
      <c r="BD22" s="360">
        <f t="shared" si="46"/>
        <v>0.14031813346909899</v>
      </c>
      <c r="BE22" s="360">
        <f t="shared" si="47"/>
        <v>4.2600923722895005E-3</v>
      </c>
      <c r="BK22" s="18"/>
      <c r="BL22" s="19"/>
    </row>
    <row r="23" spans="1:65" x14ac:dyDescent="0.2">
      <c r="A23" s="36" t="s">
        <v>86</v>
      </c>
      <c r="B23" s="39">
        <f>RCinEsr*1000</f>
        <v>1</v>
      </c>
      <c r="C23" s="442" t="s">
        <v>466</v>
      </c>
      <c r="D23" s="440" t="s">
        <v>480</v>
      </c>
      <c r="G23">
        <v>14</v>
      </c>
      <c r="H23" s="548">
        <f t="shared" si="0"/>
        <v>21</v>
      </c>
      <c r="I23" s="4">
        <f t="shared" si="1"/>
        <v>1</v>
      </c>
      <c r="J23" s="360">
        <f t="shared" si="34"/>
        <v>0.7</v>
      </c>
      <c r="K23" s="4">
        <f t="shared" si="2"/>
        <v>0.7407407407407407</v>
      </c>
      <c r="L23" s="4"/>
      <c r="M23" s="360">
        <f t="shared" si="3"/>
        <v>0.95263621453447</v>
      </c>
      <c r="N23" s="4">
        <f t="shared" si="4"/>
        <v>0.20513742450447861</v>
      </c>
      <c r="O23" s="4">
        <f t="shared" si="35"/>
        <v>0.80256871225223925</v>
      </c>
      <c r="P23" s="4">
        <f t="shared" si="36"/>
        <v>0.59743128774776066</v>
      </c>
      <c r="Q23" s="4">
        <f t="shared" si="5"/>
        <v>0</v>
      </c>
      <c r="R23" s="4">
        <f t="shared" si="6"/>
        <v>0.70250037739802018</v>
      </c>
      <c r="S23" s="360">
        <f t="shared" si="7"/>
        <v>6.6623415332988712E-4</v>
      </c>
      <c r="T23" s="360">
        <f t="shared" si="8"/>
        <v>0.3</v>
      </c>
      <c r="U23" s="360">
        <f t="shared" si="9"/>
        <v>0.30068226013661015</v>
      </c>
      <c r="V23" s="4">
        <f t="shared" si="37"/>
        <v>5.921807362926363E-2</v>
      </c>
      <c r="W23" s="360">
        <f t="shared" si="10"/>
        <v>7.013560488721777E-6</v>
      </c>
      <c r="X23" s="360">
        <f t="shared" si="38"/>
        <v>7.013560488721777E-6</v>
      </c>
      <c r="Y23" s="4">
        <f t="shared" si="11"/>
        <v>0.14922215519580648</v>
      </c>
      <c r="Z23" s="360">
        <f t="shared" si="12"/>
        <v>2.2267251601281352E-5</v>
      </c>
      <c r="AA23" s="541">
        <f t="shared" si="39"/>
        <v>2.2267251601281352E-5</v>
      </c>
      <c r="AB23" s="360">
        <f t="shared" si="13"/>
        <v>0.68566203845559548</v>
      </c>
      <c r="AC23" s="360">
        <f t="shared" si="14"/>
        <v>2.8207945858744949E-3</v>
      </c>
      <c r="AD23" s="360">
        <f t="shared" si="15"/>
        <v>5.4891526214297645E-2</v>
      </c>
      <c r="AE23" s="360">
        <f t="shared" si="16"/>
        <v>0.63444464999999983</v>
      </c>
      <c r="AF23" s="360">
        <f t="shared" si="17"/>
        <v>0</v>
      </c>
      <c r="AG23" s="360">
        <f t="shared" si="18"/>
        <v>0.69245386785862828</v>
      </c>
      <c r="AH23" s="360">
        <f t="shared" si="19"/>
        <v>0.15288672036929291</v>
      </c>
      <c r="AI23" s="360">
        <f t="shared" si="20"/>
        <v>5.84358731631959E-5</v>
      </c>
      <c r="AJ23" s="360">
        <f t="shared" si="21"/>
        <v>2.8811999999999994E-2</v>
      </c>
      <c r="AK23" s="360">
        <f t="shared" si="22"/>
        <v>2.8870773290932419E-2</v>
      </c>
      <c r="AL23" s="360">
        <f t="shared" si="23"/>
        <v>2.8811999999999994E-2</v>
      </c>
      <c r="AM23" s="360">
        <f t="shared" si="24"/>
        <v>0.37043999999999999</v>
      </c>
      <c r="AN23" s="360">
        <f t="shared" si="25"/>
        <v>4.9350678024436077E-3</v>
      </c>
      <c r="AO23" s="360">
        <f t="shared" si="26"/>
        <v>7.3499999999999998E-4</v>
      </c>
      <c r="AP23" s="360">
        <f t="shared" si="27"/>
        <v>0.34650000000000003</v>
      </c>
      <c r="AQ23" s="360">
        <f t="shared" si="28"/>
        <v>1.3167</v>
      </c>
      <c r="AR23" s="360">
        <f t="shared" si="29"/>
        <v>1.1088</v>
      </c>
      <c r="AS23" s="360">
        <f t="shared" si="48"/>
        <v>0.34723500000000002</v>
      </c>
      <c r="AT23" s="360">
        <f t="shared" si="41"/>
        <v>1.7734582499007046</v>
      </c>
      <c r="AU23">
        <f t="shared" si="30"/>
        <v>14</v>
      </c>
      <c r="AV23" s="542">
        <f t="shared" si="42"/>
        <v>0.88756693543016363</v>
      </c>
      <c r="AW23" s="551">
        <f t="shared" si="31"/>
        <v>46.847213392931415</v>
      </c>
      <c r="AX23" s="551">
        <f t="shared" si="32"/>
        <v>5.7424069850554318</v>
      </c>
      <c r="AY23" s="9"/>
      <c r="AZ23" s="4">
        <f t="shared" si="43"/>
        <v>88.756693543016368</v>
      </c>
      <c r="BA23" s="360">
        <f t="shared" si="33"/>
        <v>0.30068226013661015</v>
      </c>
      <c r="BB23" s="360">
        <f t="shared" si="44"/>
        <v>1.0917646411495607</v>
      </c>
      <c r="BC23" s="360">
        <f t="shared" si="45"/>
        <v>0.93694426785862828</v>
      </c>
      <c r="BD23" s="360">
        <f t="shared" si="46"/>
        <v>0.1511159732909324</v>
      </c>
      <c r="BE23" s="360">
        <f t="shared" si="47"/>
        <v>4.9350678024436077E-3</v>
      </c>
      <c r="BK23" s="18"/>
      <c r="BL23" s="19"/>
    </row>
    <row r="24" spans="1:65" x14ac:dyDescent="0.2">
      <c r="A24" s="35" t="s">
        <v>25</v>
      </c>
      <c r="B24" s="39">
        <f>Cout2*1000000</f>
        <v>4.7</v>
      </c>
      <c r="C24" s="441" t="s">
        <v>467</v>
      </c>
      <c r="D24" s="440" t="s">
        <v>483</v>
      </c>
      <c r="G24">
        <v>15</v>
      </c>
      <c r="H24" s="548">
        <f t="shared" si="0"/>
        <v>21</v>
      </c>
      <c r="I24" s="4">
        <f t="shared" si="1"/>
        <v>1</v>
      </c>
      <c r="J24" s="360">
        <f t="shared" si="34"/>
        <v>0.75</v>
      </c>
      <c r="K24" s="4">
        <f t="shared" si="2"/>
        <v>0.79365079365079361</v>
      </c>
      <c r="L24" s="4"/>
      <c r="M24" s="360">
        <f t="shared" si="3"/>
        <v>0.9526544433137546</v>
      </c>
      <c r="N24" s="4">
        <f t="shared" si="4"/>
        <v>0.20506557049675092</v>
      </c>
      <c r="O24" s="4">
        <f t="shared" si="35"/>
        <v>0.8525327852483755</v>
      </c>
      <c r="P24" s="4">
        <f t="shared" si="36"/>
        <v>0.6474672147516245</v>
      </c>
      <c r="Q24" s="4">
        <f t="shared" si="5"/>
        <v>0</v>
      </c>
      <c r="R24" s="4">
        <f t="shared" si="6"/>
        <v>0.75233258869793074</v>
      </c>
      <c r="S24" s="360">
        <f t="shared" si="7"/>
        <v>7.6410583742285529E-4</v>
      </c>
      <c r="T24" s="360">
        <f t="shared" si="8"/>
        <v>0.3</v>
      </c>
      <c r="U24" s="360">
        <f t="shared" si="9"/>
        <v>0.30078249221007025</v>
      </c>
      <c r="V24" s="4">
        <f t="shared" si="37"/>
        <v>5.9197331163911668E-2</v>
      </c>
      <c r="W24" s="360">
        <f t="shared" si="10"/>
        <v>7.0086480338596548E-6</v>
      </c>
      <c r="X24" s="360">
        <f t="shared" si="38"/>
        <v>7.0086480338596548E-6</v>
      </c>
      <c r="Y24" s="4">
        <f t="shared" si="11"/>
        <v>0.15977807587717111</v>
      </c>
      <c r="Z24" s="360">
        <f t="shared" si="12"/>
        <v>2.5529033531011049E-5</v>
      </c>
      <c r="AA24" s="541">
        <f t="shared" si="39"/>
        <v>2.5529033531011049E-5</v>
      </c>
      <c r="AB24" s="360">
        <f t="shared" si="13"/>
        <v>0.73430683927737339</v>
      </c>
      <c r="AC24" s="360">
        <f t="shared" si="14"/>
        <v>3.2352392052571576E-3</v>
      </c>
      <c r="AD24" s="360">
        <f t="shared" si="15"/>
        <v>5.8812349515318905E-2</v>
      </c>
      <c r="AE24" s="360">
        <f t="shared" si="16"/>
        <v>0.63444464999999983</v>
      </c>
      <c r="AF24" s="360">
        <f t="shared" si="17"/>
        <v>0</v>
      </c>
      <c r="AG24" s="360">
        <f t="shared" si="18"/>
        <v>0.696834911719726</v>
      </c>
      <c r="AH24" s="360">
        <f t="shared" si="19"/>
        <v>0.16370030484823039</v>
      </c>
      <c r="AI24" s="360">
        <f t="shared" si="20"/>
        <v>6.6994474518508907E-5</v>
      </c>
      <c r="AJ24" s="360">
        <f t="shared" si="21"/>
        <v>3.0869999999999995E-2</v>
      </c>
      <c r="AK24" s="360">
        <f t="shared" si="22"/>
        <v>3.0937409001610308E-2</v>
      </c>
      <c r="AL24" s="360">
        <f t="shared" si="23"/>
        <v>3.0869999999999995E-2</v>
      </c>
      <c r="AM24" s="360">
        <f t="shared" si="24"/>
        <v>0.39689999999999992</v>
      </c>
      <c r="AN24" s="360">
        <f t="shared" si="25"/>
        <v>5.6600432401692977E-3</v>
      </c>
      <c r="AO24" s="360">
        <f t="shared" si="26"/>
        <v>7.3499999999999998E-4</v>
      </c>
      <c r="AP24" s="360">
        <f t="shared" si="27"/>
        <v>0.34650000000000003</v>
      </c>
      <c r="AQ24" s="360">
        <f t="shared" si="28"/>
        <v>1.3167</v>
      </c>
      <c r="AR24" s="360">
        <f t="shared" si="29"/>
        <v>1.1088</v>
      </c>
      <c r="AS24" s="360">
        <f t="shared" si="48"/>
        <v>0.34723500000000002</v>
      </c>
      <c r="AT24" s="360">
        <f t="shared" si="41"/>
        <v>1.8092523938531404</v>
      </c>
      <c r="AU24">
        <f t="shared" si="30"/>
        <v>15</v>
      </c>
      <c r="AV24" s="542">
        <f t="shared" si="42"/>
        <v>0.89236568340691036</v>
      </c>
      <c r="AW24" s="551">
        <f t="shared" si="31"/>
        <v>47.939445585986299</v>
      </c>
      <c r="AX24" s="551">
        <f t="shared" si="32"/>
        <v>6.1527475420611912</v>
      </c>
      <c r="AY24" s="9"/>
      <c r="AZ24" s="4">
        <f t="shared" si="43"/>
        <v>89.236568340691036</v>
      </c>
      <c r="BA24" s="360">
        <f t="shared" si="33"/>
        <v>0.30078249221007025</v>
      </c>
      <c r="BB24" s="360">
        <f t="shared" si="44"/>
        <v>1.1246723207213363</v>
      </c>
      <c r="BC24" s="360">
        <f t="shared" si="45"/>
        <v>0.95878891171972591</v>
      </c>
      <c r="BD24" s="360">
        <f t="shared" si="46"/>
        <v>0.1619144090016103</v>
      </c>
      <c r="BE24" s="360">
        <f t="shared" si="47"/>
        <v>5.6600432401692977E-3</v>
      </c>
      <c r="BK24" s="18"/>
      <c r="BL24" s="19"/>
    </row>
    <row r="25" spans="1:65" x14ac:dyDescent="0.2">
      <c r="A25" s="35" t="s">
        <v>85</v>
      </c>
      <c r="B25" s="40">
        <f>Cout2_ESR*1000</f>
        <v>2</v>
      </c>
      <c r="C25" s="442" t="s">
        <v>466</v>
      </c>
      <c r="D25" s="440" t="s">
        <v>482</v>
      </c>
      <c r="G25">
        <v>16</v>
      </c>
      <c r="H25" s="548">
        <f t="shared" si="0"/>
        <v>21</v>
      </c>
      <c r="I25" s="4">
        <f t="shared" si="1"/>
        <v>1</v>
      </c>
      <c r="J25" s="360">
        <f t="shared" si="34"/>
        <v>0.8</v>
      </c>
      <c r="K25" s="4">
        <f t="shared" si="2"/>
        <v>0.84656084656084651</v>
      </c>
      <c r="L25" s="4"/>
      <c r="M25" s="360">
        <f t="shared" si="3"/>
        <v>0.95267267152895474</v>
      </c>
      <c r="N25" s="4">
        <f t="shared" si="4"/>
        <v>0.20499371346761111</v>
      </c>
      <c r="O25" s="4">
        <f t="shared" si="35"/>
        <v>0.90249685673380564</v>
      </c>
      <c r="P25" s="4">
        <f t="shared" si="36"/>
        <v>0.69750314326619445</v>
      </c>
      <c r="Q25" s="4">
        <f t="shared" si="5"/>
        <v>0</v>
      </c>
      <c r="R25" s="4">
        <f t="shared" si="6"/>
        <v>0.80218568208786312</v>
      </c>
      <c r="S25" s="360">
        <f t="shared" si="7"/>
        <v>8.6872752253813973E-4</v>
      </c>
      <c r="T25" s="360">
        <f t="shared" si="8"/>
        <v>0.3</v>
      </c>
      <c r="U25" s="360">
        <f t="shared" si="9"/>
        <v>0.3008896388113767</v>
      </c>
      <c r="V25" s="4">
        <f t="shared" si="37"/>
        <v>5.9176587826353148E-2</v>
      </c>
      <c r="W25" s="360">
        <f t="shared" si="10"/>
        <v>7.0037370935401751E-6</v>
      </c>
      <c r="X25" s="360">
        <f t="shared" si="38"/>
        <v>7.0037370935401751E-6</v>
      </c>
      <c r="Y25" s="4">
        <f t="shared" si="11"/>
        <v>0.17033455286620086</v>
      </c>
      <c r="Z25" s="360">
        <f t="shared" si="12"/>
        <v>2.9013859900128575E-5</v>
      </c>
      <c r="AA25" s="541">
        <f t="shared" si="39"/>
        <v>2.9013859900128575E-5</v>
      </c>
      <c r="AB25" s="360">
        <f t="shared" si="13"/>
        <v>0.78297295243343235</v>
      </c>
      <c r="AC25" s="360">
        <f t="shared" si="14"/>
        <v>3.6782798654539555E-3</v>
      </c>
      <c r="AD25" s="360">
        <f t="shared" si="15"/>
        <v>6.2733172816340166E-2</v>
      </c>
      <c r="AE25" s="360">
        <f t="shared" si="16"/>
        <v>0.63444464999999983</v>
      </c>
      <c r="AF25" s="360">
        <f t="shared" si="17"/>
        <v>0</v>
      </c>
      <c r="AG25" s="360">
        <f t="shared" si="18"/>
        <v>0.70124816950922808</v>
      </c>
      <c r="AH25" s="360">
        <f t="shared" si="19"/>
        <v>0.17451425243929042</v>
      </c>
      <c r="AI25" s="360">
        <f t="shared" si="20"/>
        <v>7.6138060761110954E-5</v>
      </c>
      <c r="AJ25" s="360">
        <f t="shared" si="21"/>
        <v>3.2927999999999999E-2</v>
      </c>
      <c r="AK25" s="360">
        <f t="shared" si="22"/>
        <v>3.3004640642628036E-2</v>
      </c>
      <c r="AL25" s="360">
        <f t="shared" si="23"/>
        <v>3.2927999999999999E-2</v>
      </c>
      <c r="AM25" s="360">
        <f t="shared" si="24"/>
        <v>0.42336000000000001</v>
      </c>
      <c r="AN25" s="360">
        <f t="shared" si="25"/>
        <v>6.4350186854677015E-3</v>
      </c>
      <c r="AO25" s="360">
        <f t="shared" si="26"/>
        <v>7.3499999999999998E-4</v>
      </c>
      <c r="AP25" s="360">
        <f t="shared" si="27"/>
        <v>0.34650000000000003</v>
      </c>
      <c r="AQ25" s="360">
        <f t="shared" si="28"/>
        <v>1.3167</v>
      </c>
      <c r="AR25" s="360">
        <f t="shared" si="29"/>
        <v>1.1088</v>
      </c>
      <c r="AS25" s="360">
        <f t="shared" si="48"/>
        <v>0.34723500000000002</v>
      </c>
      <c r="AT25" s="360">
        <f t="shared" si="41"/>
        <v>1.8451364852456944</v>
      </c>
      <c r="AU25">
        <f t="shared" si="30"/>
        <v>16</v>
      </c>
      <c r="AV25" s="542">
        <f t="shared" si="42"/>
        <v>0.89660283703790955</v>
      </c>
      <c r="AW25" s="551">
        <f t="shared" si="31"/>
        <v>49.033288475461404</v>
      </c>
      <c r="AX25" s="551">
        <f t="shared" si="32"/>
        <v>6.5631107444198662</v>
      </c>
      <c r="AY25" s="9"/>
      <c r="AZ25" s="4">
        <f t="shared" si="43"/>
        <v>89.660283703790952</v>
      </c>
      <c r="BA25" s="360">
        <f t="shared" si="33"/>
        <v>0.3008896388113767</v>
      </c>
      <c r="BB25" s="360">
        <f t="shared" si="44"/>
        <v>1.1576128101518561</v>
      </c>
      <c r="BC25" s="360">
        <f t="shared" si="45"/>
        <v>0.98066576950922812</v>
      </c>
      <c r="BD25" s="360">
        <f t="shared" si="46"/>
        <v>0.17271344064262806</v>
      </c>
      <c r="BE25" s="360">
        <f t="shared" si="47"/>
        <v>6.4350186854677015E-3</v>
      </c>
    </row>
    <row r="26" spans="1:65" x14ac:dyDescent="0.2">
      <c r="A26" s="24" t="s">
        <v>112</v>
      </c>
      <c r="B26" s="37" t="s">
        <v>111</v>
      </c>
      <c r="C26" s="24" t="s">
        <v>76</v>
      </c>
      <c r="D26" s="17" t="s">
        <v>107</v>
      </c>
      <c r="G26">
        <v>17</v>
      </c>
      <c r="H26" s="548">
        <f t="shared" si="0"/>
        <v>21</v>
      </c>
      <c r="I26" s="4">
        <f t="shared" si="1"/>
        <v>1</v>
      </c>
      <c r="J26" s="360">
        <f t="shared" si="34"/>
        <v>0.85</v>
      </c>
      <c r="K26" s="4">
        <f t="shared" si="2"/>
        <v>0.89947089947089942</v>
      </c>
      <c r="L26" s="4"/>
      <c r="M26" s="360">
        <f t="shared" si="3"/>
        <v>0.95269089918009664</v>
      </c>
      <c r="N26" s="4">
        <f t="shared" si="4"/>
        <v>0.20492185341720096</v>
      </c>
      <c r="O26" s="4">
        <f t="shared" si="35"/>
        <v>0.9524609267086005</v>
      </c>
      <c r="P26" s="4">
        <f t="shared" si="36"/>
        <v>0.74753907329139946</v>
      </c>
      <c r="Q26" s="4">
        <f t="shared" si="5"/>
        <v>0</v>
      </c>
      <c r="R26" s="4">
        <f t="shared" si="6"/>
        <v>0.85205599219417205</v>
      </c>
      <c r="S26" s="360">
        <f t="shared" si="7"/>
        <v>9.8009920867589331E-4</v>
      </c>
      <c r="T26" s="360">
        <f t="shared" si="8"/>
        <v>0.3</v>
      </c>
      <c r="U26" s="360">
        <f t="shared" si="9"/>
        <v>0.3010037002877527</v>
      </c>
      <c r="V26" s="4">
        <f t="shared" si="37"/>
        <v>5.9155843616629004E-2</v>
      </c>
      <c r="W26" s="360">
        <f t="shared" si="10"/>
        <v>6.9988276679901327E-6</v>
      </c>
      <c r="X26" s="360">
        <f t="shared" si="38"/>
        <v>6.9988276679901327E-6</v>
      </c>
      <c r="Y26" s="4">
        <f t="shared" si="11"/>
        <v>0.18089080445227093</v>
      </c>
      <c r="Z26" s="360">
        <f t="shared" si="12"/>
        <v>3.2721483135389721E-5</v>
      </c>
      <c r="AA26" s="541">
        <f t="shared" si="39"/>
        <v>3.2721483135389721E-5</v>
      </c>
      <c r="AB26" s="360">
        <f t="shared" si="13"/>
        <v>0.83165680083176841</v>
      </c>
      <c r="AC26" s="360">
        <f t="shared" si="14"/>
        <v>4.1499182062183903E-3</v>
      </c>
      <c r="AD26" s="360">
        <f t="shared" si="15"/>
        <v>6.6653996117361405E-2</v>
      </c>
      <c r="AE26" s="360">
        <f t="shared" si="16"/>
        <v>0.63444464999999983</v>
      </c>
      <c r="AF26" s="360">
        <f t="shared" si="17"/>
        <v>0</v>
      </c>
      <c r="AG26" s="360">
        <f t="shared" si="18"/>
        <v>0.70569370714039759</v>
      </c>
      <c r="AH26" s="360">
        <f t="shared" si="19"/>
        <v>0.18532776225990322</v>
      </c>
      <c r="AI26" s="360">
        <f t="shared" si="20"/>
        <v>8.5865948660658023E-5</v>
      </c>
      <c r="AJ26" s="360">
        <f t="shared" si="21"/>
        <v>3.4985999999999996E-2</v>
      </c>
      <c r="AK26" s="360">
        <f t="shared" si="22"/>
        <v>3.5072468254812375E-2</v>
      </c>
      <c r="AL26" s="360">
        <f t="shared" si="23"/>
        <v>3.4985999999999996E-2</v>
      </c>
      <c r="AM26" s="360">
        <f t="shared" si="24"/>
        <v>0.44981999999999994</v>
      </c>
      <c r="AN26" s="360">
        <f t="shared" si="25"/>
        <v>7.2599941383399503E-3</v>
      </c>
      <c r="AO26" s="360">
        <f t="shared" si="26"/>
        <v>7.3499999999999998E-4</v>
      </c>
      <c r="AP26" s="360">
        <f t="shared" si="27"/>
        <v>0.34650000000000003</v>
      </c>
      <c r="AQ26" s="360">
        <f t="shared" si="28"/>
        <v>1.3167</v>
      </c>
      <c r="AR26" s="360">
        <f t="shared" si="29"/>
        <v>1.1088</v>
      </c>
      <c r="AS26" s="360">
        <f t="shared" si="48"/>
        <v>0.34723500000000002</v>
      </c>
      <c r="AT26" s="360">
        <f t="shared" si="41"/>
        <v>1.8811105901321059</v>
      </c>
      <c r="AU26">
        <f t="shared" si="30"/>
        <v>17</v>
      </c>
      <c r="AV26" s="542">
        <f t="shared" si="42"/>
        <v>0.90037076573688213</v>
      </c>
      <c r="AW26" s="551">
        <f t="shared" si="31"/>
        <v>50.128745357019881</v>
      </c>
      <c r="AX26" s="551">
        <f t="shared" si="32"/>
        <v>6.973496593682869</v>
      </c>
      <c r="AY26" s="9"/>
      <c r="AZ26" s="4">
        <f t="shared" si="43"/>
        <v>90.037076573688211</v>
      </c>
      <c r="BA26" s="360">
        <f t="shared" si="33"/>
        <v>0.3010037002877527</v>
      </c>
      <c r="BB26" s="360">
        <f t="shared" si="44"/>
        <v>1.1905861753952098</v>
      </c>
      <c r="BC26" s="360">
        <f t="shared" si="45"/>
        <v>1.0025749071403975</v>
      </c>
      <c r="BD26" s="360">
        <f t="shared" si="46"/>
        <v>0.18351306825481234</v>
      </c>
      <c r="BE26" s="360">
        <f t="shared" si="47"/>
        <v>7.2599941383399503E-3</v>
      </c>
    </row>
    <row r="27" spans="1:65" x14ac:dyDescent="0.2">
      <c r="A27" s="22" t="s">
        <v>61</v>
      </c>
      <c r="B27" s="5">
        <f>RdsonDRT</f>
        <v>1</v>
      </c>
      <c r="C27" s="444" t="s">
        <v>116</v>
      </c>
      <c r="D27" s="440" t="s">
        <v>507</v>
      </c>
      <c r="G27">
        <v>18</v>
      </c>
      <c r="H27" s="548">
        <f t="shared" si="0"/>
        <v>21</v>
      </c>
      <c r="I27" s="4">
        <f t="shared" si="1"/>
        <v>1</v>
      </c>
      <c r="J27" s="360">
        <f t="shared" si="34"/>
        <v>0.9</v>
      </c>
      <c r="K27" s="4">
        <f t="shared" si="2"/>
        <v>0.95238095238095233</v>
      </c>
      <c r="L27" s="4"/>
      <c r="M27" s="360">
        <f t="shared" si="3"/>
        <v>0.9527091262672065</v>
      </c>
      <c r="N27" s="4">
        <f t="shared" si="4"/>
        <v>0.20484999034565993</v>
      </c>
      <c r="O27" s="4">
        <f t="shared" si="35"/>
        <v>1.0024249951728299</v>
      </c>
      <c r="P27" s="4">
        <f t="shared" si="36"/>
        <v>0.79757500482717003</v>
      </c>
      <c r="Q27" s="4">
        <f t="shared" si="5"/>
        <v>0</v>
      </c>
      <c r="R27" s="4">
        <f t="shared" si="6"/>
        <v>0.9019406631695448</v>
      </c>
      <c r="S27" s="360">
        <f t="shared" si="7"/>
        <v>1.0982208958362698E-3</v>
      </c>
      <c r="T27" s="360">
        <f t="shared" si="8"/>
        <v>0.3</v>
      </c>
      <c r="U27" s="360">
        <f t="shared" si="9"/>
        <v>0.30112467700883971</v>
      </c>
      <c r="V27" s="4">
        <f t="shared" si="37"/>
        <v>5.9135098534779502E-2</v>
      </c>
      <c r="W27" s="360">
        <f t="shared" si="10"/>
        <v>6.9939197574361623E-6</v>
      </c>
      <c r="X27" s="360">
        <f t="shared" si="38"/>
        <v>6.9939197574361623E-6</v>
      </c>
      <c r="Y27" s="4">
        <f t="shared" si="11"/>
        <v>0.19144622132324005</v>
      </c>
      <c r="Z27" s="360">
        <f t="shared" si="12"/>
        <v>3.6651655658947015E-5</v>
      </c>
      <c r="AA27" s="541">
        <f t="shared" si="39"/>
        <v>3.6651655658947015E-5</v>
      </c>
      <c r="AB27" s="360">
        <f t="shared" si="13"/>
        <v>0.88035559739634894</v>
      </c>
      <c r="AC27" s="360">
        <f t="shared" si="14"/>
        <v>4.6501558672024943E-3</v>
      </c>
      <c r="AD27" s="360">
        <f t="shared" si="15"/>
        <v>7.05748194183827E-2</v>
      </c>
      <c r="AE27" s="360">
        <f t="shared" si="16"/>
        <v>0.63444464999999983</v>
      </c>
      <c r="AF27" s="360">
        <f t="shared" si="17"/>
        <v>0</v>
      </c>
      <c r="AG27" s="360">
        <f t="shared" si="18"/>
        <v>0.71017159139163444</v>
      </c>
      <c r="AH27" s="360">
        <f t="shared" si="19"/>
        <v>0.19614021008359261</v>
      </c>
      <c r="AI27" s="360">
        <f t="shared" si="20"/>
        <v>9.6177455029089614E-5</v>
      </c>
      <c r="AJ27" s="360">
        <f t="shared" si="21"/>
        <v>3.7043999999999994E-2</v>
      </c>
      <c r="AK27" s="360">
        <f t="shared" si="22"/>
        <v>3.7140891878320752E-2</v>
      </c>
      <c r="AL27" s="360">
        <f t="shared" si="23"/>
        <v>3.7043999999999994E-2</v>
      </c>
      <c r="AM27" s="360">
        <f t="shared" si="24"/>
        <v>0.47627999999999998</v>
      </c>
      <c r="AN27" s="360">
        <f t="shared" si="25"/>
        <v>8.1349695987871836E-3</v>
      </c>
      <c r="AO27" s="360">
        <f t="shared" si="26"/>
        <v>7.3499999999999998E-4</v>
      </c>
      <c r="AP27" s="360">
        <f t="shared" si="27"/>
        <v>0.34650000000000003</v>
      </c>
      <c r="AQ27" s="360">
        <f t="shared" si="28"/>
        <v>1.3167</v>
      </c>
      <c r="AR27" s="360">
        <f t="shared" si="29"/>
        <v>1.1088</v>
      </c>
      <c r="AS27" s="360">
        <f t="shared" si="48"/>
        <v>0.34723500000000002</v>
      </c>
      <c r="AT27" s="360">
        <f t="shared" si="41"/>
        <v>1.9171747754529984</v>
      </c>
      <c r="AU27">
        <f t="shared" si="30"/>
        <v>18</v>
      </c>
      <c r="AV27" s="542">
        <f t="shared" si="42"/>
        <v>0.90374263433105839</v>
      </c>
      <c r="AW27" s="551">
        <f t="shared" si="31"/>
        <v>51.225819569581724</v>
      </c>
      <c r="AX27" s="551">
        <f t="shared" si="32"/>
        <v>7.3839050913761888</v>
      </c>
      <c r="AY27" s="9"/>
      <c r="AZ27" s="4">
        <f t="shared" si="43"/>
        <v>90.374263433105838</v>
      </c>
      <c r="BA27" s="360">
        <f t="shared" si="33"/>
        <v>0.30112467700883971</v>
      </c>
      <c r="BB27" s="360">
        <f t="shared" si="44"/>
        <v>1.2235924832699552</v>
      </c>
      <c r="BC27" s="360">
        <f t="shared" si="45"/>
        <v>1.0245163913916344</v>
      </c>
      <c r="BD27" s="360">
        <f t="shared" si="46"/>
        <v>0.19431329187832075</v>
      </c>
      <c r="BE27" s="360">
        <f t="shared" si="47"/>
        <v>8.1349695987871836E-3</v>
      </c>
    </row>
    <row r="28" spans="1:65" x14ac:dyDescent="0.2">
      <c r="A28" s="22" t="s">
        <v>126</v>
      </c>
      <c r="B28" s="5">
        <f>RdsonDRT2</f>
        <v>0.5</v>
      </c>
      <c r="C28" s="444" t="s">
        <v>116</v>
      </c>
      <c r="D28" s="440" t="s">
        <v>506</v>
      </c>
      <c r="G28">
        <v>19</v>
      </c>
      <c r="H28" s="548">
        <f t="shared" si="0"/>
        <v>21</v>
      </c>
      <c r="I28" s="4">
        <f t="shared" si="1"/>
        <v>1</v>
      </c>
      <c r="J28" s="360">
        <f t="shared" si="34"/>
        <v>0.95</v>
      </c>
      <c r="K28" s="4">
        <f t="shared" si="2"/>
        <v>1.0052910052910051</v>
      </c>
      <c r="L28" s="4"/>
      <c r="M28" s="360">
        <f t="shared" si="3"/>
        <v>0.9527273527903104</v>
      </c>
      <c r="N28" s="4">
        <f t="shared" si="4"/>
        <v>0.20477812425312825</v>
      </c>
      <c r="O28" s="4">
        <f t="shared" si="35"/>
        <v>1.0523890621265641</v>
      </c>
      <c r="P28" s="4">
        <f t="shared" si="36"/>
        <v>0.84761093787343578</v>
      </c>
      <c r="Q28" s="4">
        <f t="shared" si="5"/>
        <v>0</v>
      </c>
      <c r="R28" s="4">
        <f t="shared" si="6"/>
        <v>0.95183743710838165</v>
      </c>
      <c r="S28" s="360">
        <f t="shared" si="7"/>
        <v>1.2230925840194208E-3</v>
      </c>
      <c r="T28" s="360">
        <f t="shared" si="8"/>
        <v>0.3</v>
      </c>
      <c r="U28" s="360">
        <f t="shared" si="9"/>
        <v>0.30125256936670014</v>
      </c>
      <c r="V28" s="4">
        <f t="shared" si="37"/>
        <v>5.9114352580845117E-2</v>
      </c>
      <c r="W28" s="360">
        <f t="shared" si="10"/>
        <v>6.9890133621049392E-6</v>
      </c>
      <c r="X28" s="360">
        <f t="shared" si="38"/>
        <v>6.9890133621049392E-6</v>
      </c>
      <c r="Y28" s="4">
        <f t="shared" si="11"/>
        <v>0.20200032150556491</v>
      </c>
      <c r="Z28" s="360">
        <f t="shared" si="12"/>
        <v>4.0804129888351591E-5</v>
      </c>
      <c r="AA28" s="541">
        <f t="shared" si="39"/>
        <v>4.0804129888351591E-5</v>
      </c>
      <c r="AB28" s="360">
        <f t="shared" si="13"/>
        <v>0.92906713858192314</v>
      </c>
      <c r="AC28" s="360">
        <f t="shared" si="14"/>
        <v>5.178994487956814E-3</v>
      </c>
      <c r="AD28" s="360">
        <f t="shared" si="15"/>
        <v>7.449564271940394E-2</v>
      </c>
      <c r="AE28" s="360">
        <f t="shared" si="16"/>
        <v>0.63444464999999983</v>
      </c>
      <c r="AF28" s="360">
        <f t="shared" si="17"/>
        <v>0</v>
      </c>
      <c r="AG28" s="360">
        <f t="shared" si="18"/>
        <v>0.71468188990977022</v>
      </c>
      <c r="AH28" s="360">
        <f t="shared" si="19"/>
        <v>0.20695110216727561</v>
      </c>
      <c r="AI28" s="360">
        <f t="shared" si="20"/>
        <v>1.0707189672062537E-4</v>
      </c>
      <c r="AJ28" s="360">
        <f t="shared" si="21"/>
        <v>3.9101999999999991E-2</v>
      </c>
      <c r="AK28" s="360">
        <f t="shared" si="22"/>
        <v>3.9209911552640656E-2</v>
      </c>
      <c r="AL28" s="360">
        <f t="shared" si="23"/>
        <v>3.9101999999999991E-2</v>
      </c>
      <c r="AM28" s="360">
        <f t="shared" si="24"/>
        <v>0.50273999999999996</v>
      </c>
      <c r="AN28" s="360">
        <f t="shared" si="25"/>
        <v>9.0599450668105239E-3</v>
      </c>
      <c r="AO28" s="360">
        <f t="shared" si="26"/>
        <v>7.3499999999999998E-4</v>
      </c>
      <c r="AP28" s="360">
        <f t="shared" si="27"/>
        <v>0.34650000000000003</v>
      </c>
      <c r="AQ28" s="360">
        <f t="shared" si="28"/>
        <v>1.3167</v>
      </c>
      <c r="AR28" s="360">
        <f t="shared" si="29"/>
        <v>1.1088</v>
      </c>
      <c r="AS28" s="360">
        <f t="shared" si="48"/>
        <v>0.34723500000000002</v>
      </c>
      <c r="AT28" s="360">
        <f t="shared" si="41"/>
        <v>1.953329109039172</v>
      </c>
      <c r="AU28">
        <f t="shared" si="30"/>
        <v>19</v>
      </c>
      <c r="AV28" s="542">
        <f t="shared" si="42"/>
        <v>0.90677714749411764</v>
      </c>
      <c r="AW28" s="551">
        <f t="shared" si="31"/>
        <v>52.324514495488515</v>
      </c>
      <c r="AX28" s="551">
        <f t="shared" si="32"/>
        <v>7.7943362390003443</v>
      </c>
      <c r="AY28" s="9"/>
      <c r="AZ28" s="4">
        <f t="shared" si="43"/>
        <v>90.677714749411763</v>
      </c>
      <c r="BA28" s="360">
        <f t="shared" si="33"/>
        <v>0.30125256936670014</v>
      </c>
      <c r="BB28" s="360">
        <f t="shared" si="44"/>
        <v>1.2566318014624107</v>
      </c>
      <c r="BC28" s="360">
        <f t="shared" si="45"/>
        <v>1.0464902899097703</v>
      </c>
      <c r="BD28" s="360">
        <f t="shared" si="46"/>
        <v>0.20511411155264064</v>
      </c>
      <c r="BE28" s="360">
        <f t="shared" si="47"/>
        <v>9.0599450668105239E-3</v>
      </c>
    </row>
    <row r="29" spans="1:65" x14ac:dyDescent="0.2">
      <c r="A29" s="24" t="s">
        <v>113</v>
      </c>
      <c r="B29" s="15" t="s">
        <v>111</v>
      </c>
      <c r="C29" s="24" t="s">
        <v>76</v>
      </c>
      <c r="D29" s="17" t="s">
        <v>107</v>
      </c>
      <c r="G29">
        <v>20</v>
      </c>
      <c r="H29" s="548">
        <f t="shared" si="0"/>
        <v>21</v>
      </c>
      <c r="I29" s="4">
        <f t="shared" si="1"/>
        <v>1</v>
      </c>
      <c r="J29" s="360">
        <f t="shared" si="34"/>
        <v>1</v>
      </c>
      <c r="K29" s="4">
        <f t="shared" si="2"/>
        <v>1.0582010582010581</v>
      </c>
      <c r="L29" s="4"/>
      <c r="M29" s="360">
        <f t="shared" si="3"/>
        <v>0.95274557874943477</v>
      </c>
      <c r="N29" s="4">
        <f t="shared" si="4"/>
        <v>0.20470625513974622</v>
      </c>
      <c r="O29" s="4">
        <f t="shared" si="35"/>
        <v>1.102353127569873</v>
      </c>
      <c r="P29" s="4">
        <f t="shared" si="36"/>
        <v>0.89764687243012686</v>
      </c>
      <c r="Q29" s="4">
        <f t="shared" si="5"/>
        <v>0</v>
      </c>
      <c r="R29" s="4">
        <f t="shared" si="6"/>
        <v>1.0017445054708869</v>
      </c>
      <c r="S29" s="360">
        <f t="shared" si="7"/>
        <v>1.3547142732255007E-3</v>
      </c>
      <c r="T29" s="360">
        <f t="shared" si="8"/>
        <v>0.3</v>
      </c>
      <c r="U29" s="360">
        <f t="shared" si="9"/>
        <v>0.30138737777582092</v>
      </c>
      <c r="V29" s="4">
        <f t="shared" si="37"/>
        <v>5.909360575486635E-2</v>
      </c>
      <c r="W29" s="360">
        <f t="shared" si="10"/>
        <v>6.9841084822231473E-6</v>
      </c>
      <c r="X29" s="360">
        <f t="shared" si="38"/>
        <v>6.9841084822231473E-6</v>
      </c>
      <c r="Y29" s="4">
        <f t="shared" si="11"/>
        <v>0.21255271872303802</v>
      </c>
      <c r="Z29" s="360">
        <f t="shared" si="12"/>
        <v>4.5178658236554916E-5</v>
      </c>
      <c r="AA29" s="541">
        <f t="shared" si="39"/>
        <v>4.5178658236554916E-5</v>
      </c>
      <c r="AB29" s="360">
        <f t="shared" si="13"/>
        <v>0.97778965937895213</v>
      </c>
      <c r="AC29" s="360">
        <f t="shared" si="14"/>
        <v>5.7364357079304441E-3</v>
      </c>
      <c r="AD29" s="360">
        <f t="shared" si="15"/>
        <v>7.8416466020425207E-2</v>
      </c>
      <c r="AE29" s="360">
        <f t="shared" si="16"/>
        <v>0.63444464999999983</v>
      </c>
      <c r="AF29" s="360">
        <f t="shared" si="17"/>
        <v>0</v>
      </c>
      <c r="AG29" s="360">
        <f t="shared" si="18"/>
        <v>0.71922467121342348</v>
      </c>
      <c r="AH29" s="360">
        <f t="shared" si="19"/>
        <v>0.21776004282857897</v>
      </c>
      <c r="AI29" s="360">
        <f t="shared" si="20"/>
        <v>1.1854859063176137E-4</v>
      </c>
      <c r="AJ29" s="360">
        <f t="shared" si="21"/>
        <v>4.1159999999999995E-2</v>
      </c>
      <c r="AK29" s="360">
        <f t="shared" si="22"/>
        <v>4.1279527316588821E-2</v>
      </c>
      <c r="AL29" s="360">
        <f t="shared" si="23"/>
        <v>4.1159999999999995E-2</v>
      </c>
      <c r="AM29" s="360">
        <f t="shared" si="24"/>
        <v>0.52919999999999989</v>
      </c>
      <c r="AN29" s="360">
        <f t="shared" si="25"/>
        <v>1.0034920542411117E-2</v>
      </c>
      <c r="AO29" s="360">
        <f t="shared" si="26"/>
        <v>7.3499999999999998E-4</v>
      </c>
      <c r="AP29" s="360">
        <f t="shared" si="27"/>
        <v>0.34650000000000003</v>
      </c>
      <c r="AQ29" s="360">
        <f t="shared" si="28"/>
        <v>1.3167</v>
      </c>
      <c r="AR29" s="360">
        <f t="shared" si="29"/>
        <v>1.1088</v>
      </c>
      <c r="AS29" s="360">
        <f t="shared" si="48"/>
        <v>0.34723500000000002</v>
      </c>
      <c r="AT29" s="360">
        <f t="shared" si="41"/>
        <v>1.9895736596149631</v>
      </c>
      <c r="AU29">
        <f t="shared" si="30"/>
        <v>20</v>
      </c>
      <c r="AV29" s="542">
        <f t="shared" si="42"/>
        <v>0.90952195388540336</v>
      </c>
      <c r="AW29" s="551">
        <f t="shared" si="31"/>
        <v>53.424833560671168</v>
      </c>
      <c r="AX29" s="551">
        <f t="shared" si="32"/>
        <v>8.2047900380303744</v>
      </c>
      <c r="AY29" s="9"/>
      <c r="AZ29" s="4">
        <f t="shared" si="43"/>
        <v>90.952195388540332</v>
      </c>
      <c r="BA29" s="360">
        <f t="shared" si="33"/>
        <v>0.30138737777582092</v>
      </c>
      <c r="BB29" s="360">
        <f t="shared" si="44"/>
        <v>1.2897041985300122</v>
      </c>
      <c r="BC29" s="360">
        <f t="shared" si="45"/>
        <v>1.0684966712134234</v>
      </c>
      <c r="BD29" s="360">
        <f t="shared" si="46"/>
        <v>0.21591552731658881</v>
      </c>
      <c r="BE29" s="360">
        <f t="shared" si="47"/>
        <v>1.0034920542411117E-2</v>
      </c>
    </row>
    <row r="30" spans="1:65" x14ac:dyDescent="0.2">
      <c r="A30" s="22" t="s">
        <v>60</v>
      </c>
      <c r="B30" s="27">
        <f>RdsonDRB</f>
        <v>1</v>
      </c>
      <c r="C30" s="444" t="s">
        <v>116</v>
      </c>
      <c r="D30" s="440" t="s">
        <v>505</v>
      </c>
      <c r="G30">
        <v>21</v>
      </c>
      <c r="H30" s="548">
        <f t="shared" si="0"/>
        <v>21</v>
      </c>
      <c r="I30" s="4">
        <f t="shared" si="1"/>
        <v>1</v>
      </c>
      <c r="J30" s="360">
        <f t="shared" si="34"/>
        <v>1.05</v>
      </c>
      <c r="K30" s="4">
        <f t="shared" si="2"/>
        <v>1.1111111111111109</v>
      </c>
      <c r="L30" s="4"/>
      <c r="M30" s="360">
        <f t="shared" si="3"/>
        <v>0.95276380414460549</v>
      </c>
      <c r="N30" s="4">
        <f t="shared" si="4"/>
        <v>0.20463438300565392</v>
      </c>
      <c r="O30" s="4">
        <f t="shared" si="35"/>
        <v>1.152317191502827</v>
      </c>
      <c r="P30" s="4">
        <f t="shared" si="36"/>
        <v>0.94768280849717312</v>
      </c>
      <c r="Q30" s="4">
        <f t="shared" si="5"/>
        <v>0</v>
      </c>
      <c r="R30" s="4">
        <f t="shared" si="6"/>
        <v>1.0516604026771232</v>
      </c>
      <c r="S30" s="360">
        <f t="shared" si="7"/>
        <v>1.4930859634546623E-3</v>
      </c>
      <c r="T30" s="360">
        <f t="shared" si="8"/>
        <v>0.3</v>
      </c>
      <c r="U30" s="360">
        <f t="shared" si="9"/>
        <v>0.30152910267311656</v>
      </c>
      <c r="V30" s="4">
        <f t="shared" si="37"/>
        <v>5.9072858056883643E-2</v>
      </c>
      <c r="W30" s="360">
        <f t="shared" si="10"/>
        <v>6.9792051180174457E-6</v>
      </c>
      <c r="X30" s="360">
        <f t="shared" si="38"/>
        <v>6.9792051180174457E-6</v>
      </c>
      <c r="Y30" s="4">
        <f t="shared" si="11"/>
        <v>0.22310309973622353</v>
      </c>
      <c r="Z30" s="360">
        <f t="shared" si="12"/>
        <v>4.9774993111911305E-5</v>
      </c>
      <c r="AA30" s="541">
        <f t="shared" si="39"/>
        <v>4.9774993111911305E-5</v>
      </c>
      <c r="AB30" s="360">
        <f t="shared" si="13"/>
        <v>1.0265217294721538</v>
      </c>
      <c r="AC30" s="360">
        <f t="shared" si="14"/>
        <v>6.3224811664710102E-3</v>
      </c>
      <c r="AD30" s="360">
        <f t="shared" si="15"/>
        <v>8.2337289321446461E-2</v>
      </c>
      <c r="AE30" s="360">
        <f t="shared" si="16"/>
        <v>0.63444464999999983</v>
      </c>
      <c r="AF30" s="360">
        <f t="shared" si="17"/>
        <v>0</v>
      </c>
      <c r="AG30" s="360">
        <f t="shared" si="18"/>
        <v>0.72380000469641104</v>
      </c>
      <c r="AH30" s="360">
        <f t="shared" si="19"/>
        <v>0.22856671122564476</v>
      </c>
      <c r="AI30" s="360">
        <f t="shared" si="20"/>
        <v>1.306068537012682E-4</v>
      </c>
      <c r="AJ30" s="360">
        <f t="shared" si="21"/>
        <v>4.3217999999999999E-2</v>
      </c>
      <c r="AK30" s="360">
        <f t="shared" si="22"/>
        <v>4.3349739208310617E-2</v>
      </c>
      <c r="AL30" s="360">
        <f t="shared" si="23"/>
        <v>4.3217999999999999E-2</v>
      </c>
      <c r="AM30" s="360">
        <f t="shared" si="24"/>
        <v>0.55565999999999993</v>
      </c>
      <c r="AN30" s="360">
        <f t="shared" si="25"/>
        <v>1.105989602559009E-2</v>
      </c>
      <c r="AO30" s="360">
        <f t="shared" si="26"/>
        <v>7.3499999999999998E-4</v>
      </c>
      <c r="AP30" s="360">
        <f t="shared" si="27"/>
        <v>0.34650000000000003</v>
      </c>
      <c r="AQ30" s="360">
        <f t="shared" si="28"/>
        <v>1.3167</v>
      </c>
      <c r="AR30" s="360">
        <f t="shared" si="29"/>
        <v>1.1088</v>
      </c>
      <c r="AS30" s="360">
        <f t="shared" si="48"/>
        <v>0.34723500000000002</v>
      </c>
      <c r="AT30" s="360">
        <f t="shared" si="41"/>
        <v>2.0259084968016583</v>
      </c>
      <c r="AU30">
        <f t="shared" si="30"/>
        <v>21</v>
      </c>
      <c r="AV30" s="542">
        <f t="shared" si="42"/>
        <v>0.912016131868019</v>
      </c>
      <c r="AW30" s="551">
        <f t="shared" si="31"/>
        <v>54.526780234820549</v>
      </c>
      <c r="AX30" s="551">
        <f t="shared" si="32"/>
        <v>8.615266489915804</v>
      </c>
      <c r="AY30" s="9"/>
      <c r="AZ30" s="4">
        <f t="shared" si="43"/>
        <v>91.201613186801893</v>
      </c>
      <c r="BA30" s="360">
        <f t="shared" si="33"/>
        <v>0.30152910267311656</v>
      </c>
      <c r="BB30" s="360">
        <f t="shared" si="44"/>
        <v>1.3228097439047217</v>
      </c>
      <c r="BC30" s="360">
        <f t="shared" si="45"/>
        <v>1.090535604696411</v>
      </c>
      <c r="BD30" s="360">
        <f t="shared" si="46"/>
        <v>0.22671753920831061</v>
      </c>
      <c r="BE30" s="360">
        <f t="shared" si="47"/>
        <v>1.105989602559009E-2</v>
      </c>
    </row>
    <row r="31" spans="1:65" x14ac:dyDescent="0.2">
      <c r="A31" s="22" t="s">
        <v>125</v>
      </c>
      <c r="B31" s="27">
        <v>1</v>
      </c>
      <c r="C31" s="444" t="s">
        <v>116</v>
      </c>
      <c r="D31" s="440" t="s">
        <v>504</v>
      </c>
      <c r="G31">
        <v>22</v>
      </c>
      <c r="H31" s="548">
        <f t="shared" si="0"/>
        <v>21</v>
      </c>
      <c r="I31" s="4">
        <f t="shared" si="1"/>
        <v>1</v>
      </c>
      <c r="J31" s="360">
        <f t="shared" si="34"/>
        <v>1.1000000000000001</v>
      </c>
      <c r="K31" s="4">
        <f t="shared" si="2"/>
        <v>1.164021164021164</v>
      </c>
      <c r="L31" s="4"/>
      <c r="M31" s="360">
        <f t="shared" si="3"/>
        <v>0.95278202897584874</v>
      </c>
      <c r="N31" s="4">
        <f t="shared" si="4"/>
        <v>0.20456250785099087</v>
      </c>
      <c r="O31" s="4">
        <f t="shared" si="35"/>
        <v>1.2022812539254955</v>
      </c>
      <c r="P31" s="4">
        <f t="shared" si="36"/>
        <v>0.99771874607450461</v>
      </c>
      <c r="Q31" s="4">
        <f t="shared" si="5"/>
        <v>0</v>
      </c>
      <c r="R31" s="4">
        <f t="shared" si="6"/>
        <v>1.1015839285478239</v>
      </c>
      <c r="S31" s="360">
        <f t="shared" si="7"/>
        <v>1.6382076547070575E-3</v>
      </c>
      <c r="T31" s="360">
        <f t="shared" si="8"/>
        <v>0.3</v>
      </c>
      <c r="U31" s="360">
        <f t="shared" si="9"/>
        <v>0.301677744517933</v>
      </c>
      <c r="V31" s="4">
        <f t="shared" si="37"/>
        <v>5.905210948693726E-2</v>
      </c>
      <c r="W31" s="360">
        <f t="shared" si="10"/>
        <v>6.9743032697144505E-6</v>
      </c>
      <c r="X31" s="360">
        <f t="shared" si="38"/>
        <v>6.9743032697144505E-6</v>
      </c>
      <c r="Y31" s="4">
        <f t="shared" si="11"/>
        <v>0.23365120782520912</v>
      </c>
      <c r="Z31" s="360">
        <f t="shared" si="12"/>
        <v>5.4592886918179072E-5</v>
      </c>
      <c r="AA31" s="541">
        <f t="shared" si="39"/>
        <v>5.4592886918179072E-5</v>
      </c>
      <c r="AB31" s="360">
        <f t="shared" si="13"/>
        <v>1.0752621775505651</v>
      </c>
      <c r="AC31" s="360">
        <f t="shared" si="14"/>
        <v>6.9371325028246972E-3</v>
      </c>
      <c r="AD31" s="360">
        <f t="shared" si="15"/>
        <v>8.6258112622467728E-2</v>
      </c>
      <c r="AE31" s="360">
        <f t="shared" si="16"/>
        <v>0.63444464999999983</v>
      </c>
      <c r="AF31" s="360">
        <f t="shared" si="17"/>
        <v>0</v>
      </c>
      <c r="AG31" s="360">
        <f t="shared" si="18"/>
        <v>0.72840796063122193</v>
      </c>
      <c r="AH31" s="360">
        <f t="shared" si="19"/>
        <v>0.23937084443197032</v>
      </c>
      <c r="AI31" s="360">
        <f t="shared" si="20"/>
        <v>1.4324600291018634E-4</v>
      </c>
      <c r="AJ31" s="360">
        <f t="shared" si="21"/>
        <v>4.5275999999999997E-2</v>
      </c>
      <c r="AK31" s="360">
        <f t="shared" si="22"/>
        <v>4.5420547265279332E-2</v>
      </c>
      <c r="AL31" s="360">
        <f t="shared" si="23"/>
        <v>4.5275999999999997E-2</v>
      </c>
      <c r="AM31" s="360">
        <f t="shared" si="24"/>
        <v>0.58211999999999997</v>
      </c>
      <c r="AN31" s="360">
        <f t="shared" si="25"/>
        <v>1.2134871516348573E-2</v>
      </c>
      <c r="AO31" s="360">
        <f t="shared" si="26"/>
        <v>7.3499999999999998E-4</v>
      </c>
      <c r="AP31" s="360">
        <f t="shared" si="27"/>
        <v>0.34650000000000003</v>
      </c>
      <c r="AQ31" s="360">
        <f t="shared" si="28"/>
        <v>1.3167</v>
      </c>
      <c r="AR31" s="360">
        <f t="shared" si="29"/>
        <v>1.1088</v>
      </c>
      <c r="AS31" s="360">
        <f t="shared" si="48"/>
        <v>0.34723500000000002</v>
      </c>
      <c r="AT31" s="360">
        <f t="shared" si="41"/>
        <v>2.0623336911209709</v>
      </c>
      <c r="AU31">
        <f t="shared" si="30"/>
        <v>22</v>
      </c>
      <c r="AV31" s="542">
        <f t="shared" si="42"/>
        <v>0.91429203344969101</v>
      </c>
      <c r="AW31" s="551">
        <f t="shared" si="31"/>
        <v>55.630358031561101</v>
      </c>
      <c r="AX31" s="551">
        <f t="shared" si="32"/>
        <v>9.0257655960806158</v>
      </c>
      <c r="AY31" s="9"/>
      <c r="AZ31" s="4">
        <f t="shared" si="43"/>
        <v>91.429203344969096</v>
      </c>
      <c r="BA31" s="360">
        <f t="shared" si="33"/>
        <v>0.301677744517933</v>
      </c>
      <c r="BB31" s="360">
        <f t="shared" si="44"/>
        <v>1.3559485078965012</v>
      </c>
      <c r="BC31" s="360">
        <f t="shared" si="45"/>
        <v>1.112607160631222</v>
      </c>
      <c r="BD31" s="360">
        <f t="shared" si="46"/>
        <v>0.23752014726527934</v>
      </c>
      <c r="BE31" s="360">
        <f t="shared" si="47"/>
        <v>1.2134871516348573E-2</v>
      </c>
    </row>
    <row r="32" spans="1:65" x14ac:dyDescent="0.2">
      <c r="A32" s="24" t="s">
        <v>62</v>
      </c>
      <c r="B32" s="15" t="s">
        <v>111</v>
      </c>
      <c r="C32" s="24" t="s">
        <v>76</v>
      </c>
      <c r="D32" s="17" t="s">
        <v>107</v>
      </c>
      <c r="G32">
        <v>23</v>
      </c>
      <c r="H32" s="548">
        <f t="shared" si="0"/>
        <v>21</v>
      </c>
      <c r="I32" s="4">
        <f t="shared" si="1"/>
        <v>1</v>
      </c>
      <c r="J32" s="360">
        <f t="shared" si="34"/>
        <v>1.1499999999999999</v>
      </c>
      <c r="K32" s="4">
        <f t="shared" si="2"/>
        <v>1.2169312169312168</v>
      </c>
      <c r="L32" s="4"/>
      <c r="M32" s="360">
        <f t="shared" si="3"/>
        <v>0.95280025324319084</v>
      </c>
      <c r="N32" s="4">
        <f t="shared" si="4"/>
        <v>0.20449062967589873</v>
      </c>
      <c r="O32" s="4">
        <f t="shared" si="35"/>
        <v>1.2522453148379493</v>
      </c>
      <c r="P32" s="4">
        <f t="shared" si="36"/>
        <v>1.0477546851620505</v>
      </c>
      <c r="Q32" s="4">
        <f t="shared" si="5"/>
        <v>0</v>
      </c>
      <c r="R32" s="4">
        <f t="shared" si="6"/>
        <v>1.1515140908685271</v>
      </c>
      <c r="S32" s="360">
        <f t="shared" si="7"/>
        <v>1.7900793469828402E-3</v>
      </c>
      <c r="T32" s="360">
        <f t="shared" si="8"/>
        <v>0.3</v>
      </c>
      <c r="U32" s="360">
        <f t="shared" si="9"/>
        <v>0.30183330379205081</v>
      </c>
      <c r="V32" s="4">
        <f t="shared" si="37"/>
        <v>5.9031360045068107E-2</v>
      </c>
      <c r="W32" s="360">
        <f t="shared" si="10"/>
        <v>6.9694029375409268E-6</v>
      </c>
      <c r="X32" s="360">
        <f t="shared" si="38"/>
        <v>6.9694029375409268E-6</v>
      </c>
      <c r="Y32" s="4">
        <f t="shared" si="11"/>
        <v>0.24419683055789784</v>
      </c>
      <c r="Z32" s="360">
        <f t="shared" si="12"/>
        <v>5.963209205452267E-5</v>
      </c>
      <c r="AA32" s="541">
        <f t="shared" si="39"/>
        <v>5.963209205452267E-5</v>
      </c>
      <c r="AB32" s="360">
        <f t="shared" si="13"/>
        <v>1.1240100352559319</v>
      </c>
      <c r="AC32" s="360">
        <f t="shared" si="14"/>
        <v>7.5803913561362478E-3</v>
      </c>
      <c r="AD32" s="360">
        <f t="shared" si="15"/>
        <v>9.0178935923488981E-2</v>
      </c>
      <c r="AE32" s="360">
        <f t="shared" si="16"/>
        <v>0.63444464999999983</v>
      </c>
      <c r="AF32" s="360">
        <f t="shared" si="17"/>
        <v>0</v>
      </c>
      <c r="AG32" s="360">
        <f t="shared" si="18"/>
        <v>0.73304861017254841</v>
      </c>
      <c r="AH32" s="360">
        <f t="shared" si="19"/>
        <v>0.25017222490262414</v>
      </c>
      <c r="AI32" s="360">
        <f t="shared" si="20"/>
        <v>1.564653552818229E-4</v>
      </c>
      <c r="AJ32" s="360">
        <f t="shared" si="21"/>
        <v>4.7333999999999994E-2</v>
      </c>
      <c r="AK32" s="360">
        <f t="shared" si="22"/>
        <v>4.7491951524295473E-2</v>
      </c>
      <c r="AL32" s="360">
        <f t="shared" si="23"/>
        <v>4.7333999999999994E-2</v>
      </c>
      <c r="AM32" s="360">
        <f t="shared" si="24"/>
        <v>0.60857999999999979</v>
      </c>
      <c r="AN32" s="360">
        <f t="shared" si="25"/>
        <v>1.3259847014687704E-2</v>
      </c>
      <c r="AO32" s="360">
        <f t="shared" si="26"/>
        <v>7.3499999999999998E-4</v>
      </c>
      <c r="AP32" s="360">
        <f t="shared" si="27"/>
        <v>0.34650000000000003</v>
      </c>
      <c r="AQ32" s="360">
        <f t="shared" si="28"/>
        <v>1.3167</v>
      </c>
      <c r="AR32" s="360">
        <f t="shared" si="29"/>
        <v>1.1088</v>
      </c>
      <c r="AS32" s="360">
        <f t="shared" si="48"/>
        <v>0.34723500000000002</v>
      </c>
      <c r="AT32" s="360">
        <f t="shared" si="41"/>
        <v>2.0988493139985742</v>
      </c>
      <c r="AU32">
        <f t="shared" si="30"/>
        <v>23</v>
      </c>
      <c r="AV32" s="542">
        <f t="shared" si="42"/>
        <v>0.91637667178518944</v>
      </c>
      <c r="AW32" s="551">
        <f t="shared" si="31"/>
        <v>56.735570508627411</v>
      </c>
      <c r="AX32" s="551">
        <f t="shared" si="32"/>
        <v>9.4362873579232254</v>
      </c>
      <c r="AY32" s="9"/>
      <c r="AZ32" s="4">
        <f t="shared" si="43"/>
        <v>91.637667178518939</v>
      </c>
      <c r="BA32" s="360">
        <f t="shared" si="33"/>
        <v>0.30183330379205081</v>
      </c>
      <c r="BB32" s="360">
        <f t="shared" si="44"/>
        <v>1.3891205616968438</v>
      </c>
      <c r="BC32" s="360">
        <f t="shared" si="45"/>
        <v>1.1347114101725482</v>
      </c>
      <c r="BD32" s="360">
        <f t="shared" si="46"/>
        <v>0.24832335152429541</v>
      </c>
      <c r="BE32" s="360">
        <f t="shared" si="47"/>
        <v>1.3259847014687704E-2</v>
      </c>
    </row>
    <row r="33" spans="1:57" x14ac:dyDescent="0.2">
      <c r="A33" s="22" t="s">
        <v>62</v>
      </c>
      <c r="B33" s="5">
        <f>Deadtime*1000000000</f>
        <v>14</v>
      </c>
      <c r="C33" s="440" t="s">
        <v>75</v>
      </c>
      <c r="D33" s="21" t="s">
        <v>98</v>
      </c>
      <c r="G33">
        <v>24</v>
      </c>
      <c r="H33" s="548">
        <f t="shared" si="0"/>
        <v>21</v>
      </c>
      <c r="I33" s="4">
        <f t="shared" si="1"/>
        <v>1</v>
      </c>
      <c r="J33" s="360">
        <f t="shared" si="34"/>
        <v>1.2</v>
      </c>
      <c r="K33" s="4">
        <f t="shared" si="2"/>
        <v>1.2698412698412698</v>
      </c>
      <c r="L33" s="4"/>
      <c r="M33" s="360">
        <f t="shared" si="3"/>
        <v>0.95281847694665789</v>
      </c>
      <c r="N33" s="4">
        <f t="shared" si="4"/>
        <v>0.20441874848051694</v>
      </c>
      <c r="O33" s="4">
        <f t="shared" si="35"/>
        <v>1.3022093742402585</v>
      </c>
      <c r="P33" s="4">
        <f t="shared" si="36"/>
        <v>1.0977906257597414</v>
      </c>
      <c r="Q33" s="4">
        <f t="shared" si="5"/>
        <v>0</v>
      </c>
      <c r="R33" s="4">
        <f t="shared" si="6"/>
        <v>1.2014500622418152</v>
      </c>
      <c r="S33" s="360">
        <f t="shared" si="7"/>
        <v>1.948701040282163E-3</v>
      </c>
      <c r="T33" s="360">
        <f t="shared" si="8"/>
        <v>0.3</v>
      </c>
      <c r="U33" s="360">
        <f t="shared" si="9"/>
        <v>0.30199578099968971</v>
      </c>
      <c r="V33" s="4">
        <f t="shared" si="37"/>
        <v>5.9010609731316437E-2</v>
      </c>
      <c r="W33" s="360">
        <f t="shared" si="10"/>
        <v>6.9645041217234771E-6</v>
      </c>
      <c r="X33" s="360">
        <f t="shared" si="38"/>
        <v>6.9645041217234771E-6</v>
      </c>
      <c r="Y33" s="4">
        <f t="shared" si="11"/>
        <v>0.25473979060114427</v>
      </c>
      <c r="Z33" s="360">
        <f t="shared" si="12"/>
        <v>6.4892360915514829E-5</v>
      </c>
      <c r="AA33" s="541">
        <f t="shared" si="39"/>
        <v>6.4892360915514829E-5</v>
      </c>
      <c r="AB33" s="360">
        <f t="shared" si="13"/>
        <v>1.1727644950748475</v>
      </c>
      <c r="AC33" s="360">
        <f t="shared" si="14"/>
        <v>8.2522593654489711E-3</v>
      </c>
      <c r="AD33" s="360">
        <f t="shared" si="15"/>
        <v>9.4099759224510249E-2</v>
      </c>
      <c r="AE33" s="360">
        <f t="shared" si="16"/>
        <v>0.63444464999999983</v>
      </c>
      <c r="AF33" s="360">
        <f t="shared" si="17"/>
        <v>0</v>
      </c>
      <c r="AG33" s="360">
        <f t="shared" si="18"/>
        <v>0.73772202536087716</v>
      </c>
      <c r="AH33" s="360">
        <f t="shared" si="19"/>
        <v>0.26097067105845384</v>
      </c>
      <c r="AI33" s="360">
        <f t="shared" si="20"/>
        <v>1.7026422788174927E-4</v>
      </c>
      <c r="AJ33" s="360">
        <f t="shared" si="21"/>
        <v>4.9391999999999991E-2</v>
      </c>
      <c r="AK33" s="360">
        <f t="shared" si="22"/>
        <v>4.9563952021486085E-2</v>
      </c>
      <c r="AL33" s="360">
        <f t="shared" si="23"/>
        <v>4.9391999999999991E-2</v>
      </c>
      <c r="AM33" s="360">
        <f t="shared" si="24"/>
        <v>0.63503999999999994</v>
      </c>
      <c r="AN33" s="360">
        <f t="shared" si="25"/>
        <v>1.4434822520608615E-2</v>
      </c>
      <c r="AO33" s="360">
        <f t="shared" si="26"/>
        <v>7.3499999999999998E-4</v>
      </c>
      <c r="AP33" s="360">
        <f t="shared" si="27"/>
        <v>0.34650000000000003</v>
      </c>
      <c r="AQ33" s="360">
        <f t="shared" si="28"/>
        <v>1.3167</v>
      </c>
      <c r="AR33" s="360">
        <f t="shared" si="29"/>
        <v>1.1088</v>
      </c>
      <c r="AS33" s="360">
        <f t="shared" si="48"/>
        <v>0.34723500000000002</v>
      </c>
      <c r="AT33" s="360">
        <f t="shared" si="41"/>
        <v>2.1354554377676989</v>
      </c>
      <c r="AU33">
        <f t="shared" si="30"/>
        <v>24</v>
      </c>
      <c r="AV33" s="542">
        <f t="shared" si="42"/>
        <v>0.91829277883247418</v>
      </c>
      <c r="AW33" s="551">
        <f t="shared" si="31"/>
        <v>57.84242126804385</v>
      </c>
      <c r="AX33" s="551">
        <f t="shared" si="32"/>
        <v>9.8468317768164706</v>
      </c>
      <c r="AY33" s="9"/>
      <c r="AZ33" s="4">
        <f t="shared" si="43"/>
        <v>91.829277883247414</v>
      </c>
      <c r="BA33" s="360">
        <f t="shared" si="33"/>
        <v>0.30199578099968971</v>
      </c>
      <c r="BB33" s="360">
        <f t="shared" si="44"/>
        <v>1.4223259773823633</v>
      </c>
      <c r="BC33" s="360">
        <f t="shared" si="45"/>
        <v>1.1568484253608771</v>
      </c>
      <c r="BD33" s="360">
        <f t="shared" si="46"/>
        <v>0.25912715202148606</v>
      </c>
      <c r="BE33" s="360">
        <f t="shared" si="47"/>
        <v>1.4434822520608615E-2</v>
      </c>
    </row>
    <row r="34" spans="1:57" x14ac:dyDescent="0.2">
      <c r="A34" s="24" t="s">
        <v>52</v>
      </c>
      <c r="B34" s="15" t="s">
        <v>111</v>
      </c>
      <c r="C34" s="24" t="s">
        <v>76</v>
      </c>
      <c r="D34" s="17" t="s">
        <v>107</v>
      </c>
      <c r="G34">
        <v>25</v>
      </c>
      <c r="H34" s="548">
        <f t="shared" si="0"/>
        <v>21</v>
      </c>
      <c r="I34" s="4">
        <f t="shared" si="1"/>
        <v>1</v>
      </c>
      <c r="J34" s="360">
        <f t="shared" si="34"/>
        <v>1.25</v>
      </c>
      <c r="K34" s="4">
        <f t="shared" si="2"/>
        <v>1.3227513227513226</v>
      </c>
      <c r="L34" s="4"/>
      <c r="M34" s="360">
        <f t="shared" si="3"/>
        <v>0.95283670008627608</v>
      </c>
      <c r="N34" s="4">
        <f t="shared" si="4"/>
        <v>0.20434686426498569</v>
      </c>
      <c r="O34" s="4">
        <f t="shared" si="35"/>
        <v>1.3521734321324927</v>
      </c>
      <c r="P34" s="4">
        <f t="shared" si="36"/>
        <v>1.1478265678675073</v>
      </c>
      <c r="Q34" s="4">
        <f t="shared" si="5"/>
        <v>0</v>
      </c>
      <c r="R34" s="4">
        <f t="shared" si="6"/>
        <v>1.2513911472482313</v>
      </c>
      <c r="S34" s="360">
        <f t="shared" si="7"/>
        <v>2.1140727346051799E-3</v>
      </c>
      <c r="T34" s="360">
        <f t="shared" si="8"/>
        <v>0.3</v>
      </c>
      <c r="U34" s="360">
        <f t="shared" si="9"/>
        <v>0.30216517666751236</v>
      </c>
      <c r="V34" s="4">
        <f t="shared" si="37"/>
        <v>5.8989858545722709E-2</v>
      </c>
      <c r="W34" s="360">
        <f t="shared" si="10"/>
        <v>6.9596068224887497E-6</v>
      </c>
      <c r="X34" s="360">
        <f t="shared" si="38"/>
        <v>6.9596068224887497E-6</v>
      </c>
      <c r="Y34" s="4">
        <f t="shared" si="11"/>
        <v>0.2652799387272588</v>
      </c>
      <c r="Z34" s="360">
        <f t="shared" si="12"/>
        <v>7.0373445891138179E-5</v>
      </c>
      <c r="AA34" s="541">
        <f t="shared" si="39"/>
        <v>7.0373445891138179E-5</v>
      </c>
      <c r="AB34" s="360">
        <f t="shared" si="13"/>
        <v>1.2215248782911159</v>
      </c>
      <c r="AC34" s="360">
        <f t="shared" si="14"/>
        <v>8.9527381697047537E-3</v>
      </c>
      <c r="AD34" s="360">
        <f t="shared" si="15"/>
        <v>9.8020582525531502E-2</v>
      </c>
      <c r="AE34" s="360">
        <f t="shared" si="16"/>
        <v>0.63444464999999983</v>
      </c>
      <c r="AF34" s="360">
        <f t="shared" si="17"/>
        <v>0</v>
      </c>
      <c r="AG34" s="360">
        <f t="shared" si="18"/>
        <v>0.74242827912614173</v>
      </c>
      <c r="AH34" s="360">
        <f t="shared" si="19"/>
        <v>0.27176603011987893</v>
      </c>
      <c r="AI34" s="360">
        <f t="shared" si="20"/>
        <v>1.8464193781779736E-4</v>
      </c>
      <c r="AJ34" s="360">
        <f t="shared" si="21"/>
        <v>5.1449999999999996E-2</v>
      </c>
      <c r="AK34" s="360">
        <f t="shared" si="22"/>
        <v>5.1636548792304039E-2</v>
      </c>
      <c r="AL34" s="360">
        <f t="shared" si="23"/>
        <v>5.1449999999999996E-2</v>
      </c>
      <c r="AM34" s="360">
        <f t="shared" si="24"/>
        <v>0.66149999999999998</v>
      </c>
      <c r="AN34" s="360">
        <f t="shared" si="25"/>
        <v>1.5659798034112445E-2</v>
      </c>
      <c r="AO34" s="360">
        <f t="shared" si="26"/>
        <v>7.3499999999999998E-4</v>
      </c>
      <c r="AP34" s="360">
        <f t="shared" si="27"/>
        <v>0.34650000000000003</v>
      </c>
      <c r="AQ34" s="360">
        <f t="shared" si="28"/>
        <v>1.3167</v>
      </c>
      <c r="AR34" s="360">
        <f t="shared" si="29"/>
        <v>1.1088</v>
      </c>
      <c r="AS34" s="360">
        <f t="shared" si="48"/>
        <v>0.34723500000000002</v>
      </c>
      <c r="AT34" s="360">
        <f t="shared" si="41"/>
        <v>2.1721521356727842</v>
      </c>
      <c r="AU34">
        <f t="shared" si="30"/>
        <v>25</v>
      </c>
      <c r="AV34" s="542">
        <f t="shared" si="42"/>
        <v>0.92005962115819717</v>
      </c>
      <c r="AW34" s="551">
        <f t="shared" si="31"/>
        <v>58.950913956307083</v>
      </c>
      <c r="AX34" s="551">
        <f t="shared" si="32"/>
        <v>10.257398854107553</v>
      </c>
      <c r="AY34" s="9"/>
      <c r="AZ34" s="4">
        <f t="shared" si="43"/>
        <v>92.005962115819713</v>
      </c>
      <c r="BA34" s="360">
        <f t="shared" si="33"/>
        <v>0.30216517666751236</v>
      </c>
      <c r="BB34" s="360">
        <f t="shared" si="44"/>
        <v>1.4555648279184457</v>
      </c>
      <c r="BC34" s="360">
        <f t="shared" si="45"/>
        <v>1.1790182791261417</v>
      </c>
      <c r="BD34" s="360">
        <f t="shared" si="46"/>
        <v>0.26993154879230402</v>
      </c>
      <c r="BE34" s="360">
        <f t="shared" si="47"/>
        <v>1.5659798034112445E-2</v>
      </c>
    </row>
    <row r="35" spans="1:57" x14ac:dyDescent="0.2">
      <c r="A35" s="22" t="s">
        <v>128</v>
      </c>
      <c r="B35" s="5">
        <f>Iq*1000</f>
        <v>3.4999999999999996E-2</v>
      </c>
      <c r="C35" s="440" t="s">
        <v>64</v>
      </c>
      <c r="D35" s="21" t="s">
        <v>131</v>
      </c>
      <c r="G35">
        <v>26</v>
      </c>
      <c r="H35" s="548">
        <f t="shared" si="0"/>
        <v>21</v>
      </c>
      <c r="I35" s="4">
        <f t="shared" si="1"/>
        <v>1</v>
      </c>
      <c r="J35" s="360">
        <f t="shared" si="34"/>
        <v>1.3</v>
      </c>
      <c r="K35" s="4">
        <f t="shared" si="2"/>
        <v>1.3756613756613756</v>
      </c>
      <c r="L35" s="4"/>
      <c r="M35" s="360">
        <f t="shared" si="3"/>
        <v>0.95285492266207161</v>
      </c>
      <c r="N35" s="4">
        <f t="shared" si="4"/>
        <v>0.20427497702944514</v>
      </c>
      <c r="O35" s="4">
        <f t="shared" si="35"/>
        <v>1.4021374885147226</v>
      </c>
      <c r="P35" s="4">
        <f t="shared" si="36"/>
        <v>1.1978625114852774</v>
      </c>
      <c r="Q35" s="4">
        <f t="shared" si="5"/>
        <v>0</v>
      </c>
      <c r="R35" s="4">
        <f t="shared" si="6"/>
        <v>1.301336757153978</v>
      </c>
      <c r="S35" s="360">
        <f t="shared" si="7"/>
        <v>2.2861944299520428E-3</v>
      </c>
      <c r="T35" s="360">
        <f t="shared" si="8"/>
        <v>0.3</v>
      </c>
      <c r="U35" s="360">
        <f t="shared" si="9"/>
        <v>0.30234149134462845</v>
      </c>
      <c r="V35" s="4">
        <f t="shared" si="37"/>
        <v>5.8969106488327386E-2</v>
      </c>
      <c r="W35" s="360">
        <f t="shared" si="10"/>
        <v>6.9547110400633902E-6</v>
      </c>
      <c r="X35" s="360">
        <f t="shared" si="38"/>
        <v>6.9547110400633902E-6</v>
      </c>
      <c r="Y35" s="4">
        <f t="shared" si="11"/>
        <v>0.27581714842769867</v>
      </c>
      <c r="Z35" s="360">
        <f t="shared" si="12"/>
        <v>7.607509936678717E-5</v>
      </c>
      <c r="AA35" s="541">
        <f t="shared" si="39"/>
        <v>7.607509936678717E-5</v>
      </c>
      <c r="AB35" s="360">
        <f t="shared" si="13"/>
        <v>1.270290610303016</v>
      </c>
      <c r="AC35" s="360">
        <f t="shared" si="14"/>
        <v>9.681829407744055E-3</v>
      </c>
      <c r="AD35" s="360">
        <f t="shared" si="15"/>
        <v>0.10194140582655277</v>
      </c>
      <c r="AE35" s="360">
        <f t="shared" si="16"/>
        <v>0.63444464999999983</v>
      </c>
      <c r="AF35" s="360">
        <f t="shared" si="17"/>
        <v>0</v>
      </c>
      <c r="AG35" s="360">
        <f t="shared" si="18"/>
        <v>0.74716744529143508</v>
      </c>
      <c r="AH35" s="360">
        <f t="shared" si="19"/>
        <v>0.28255817258756177</v>
      </c>
      <c r="AI35" s="360">
        <f t="shared" si="20"/>
        <v>1.9959780224005586E-4</v>
      </c>
      <c r="AJ35" s="360">
        <f t="shared" si="21"/>
        <v>5.3507999999999993E-2</v>
      </c>
      <c r="AK35" s="360">
        <f t="shared" si="22"/>
        <v>5.3709741871527335E-2</v>
      </c>
      <c r="AL35" s="360">
        <f t="shared" si="23"/>
        <v>5.3507999999999993E-2</v>
      </c>
      <c r="AM35" s="360">
        <f t="shared" si="24"/>
        <v>0.68796000000000013</v>
      </c>
      <c r="AN35" s="360">
        <f t="shared" si="25"/>
        <v>1.6934773555200316E-2</v>
      </c>
      <c r="AO35" s="360">
        <f t="shared" si="26"/>
        <v>7.3499999999999998E-4</v>
      </c>
      <c r="AP35" s="360">
        <f t="shared" si="27"/>
        <v>0.34650000000000003</v>
      </c>
      <c r="AQ35" s="360">
        <f t="shared" si="28"/>
        <v>1.3167</v>
      </c>
      <c r="AR35" s="360">
        <f t="shared" si="29"/>
        <v>1.1088</v>
      </c>
      <c r="AS35" s="360">
        <f t="shared" si="48"/>
        <v>0.34723500000000002</v>
      </c>
      <c r="AT35" s="360">
        <f t="shared" si="41"/>
        <v>2.2089394818731982</v>
      </c>
      <c r="AU35">
        <f t="shared" si="30"/>
        <v>26</v>
      </c>
      <c r="AV35" s="542">
        <f t="shared" si="42"/>
        <v>0.92169363604425325</v>
      </c>
      <c r="AW35" s="551">
        <f t="shared" si="31"/>
        <v>60.061052264571757</v>
      </c>
      <c r="AX35" s="551">
        <f t="shared" si="32"/>
        <v>10.667988591118041</v>
      </c>
      <c r="AY35" s="9"/>
      <c r="AZ35" s="4">
        <f t="shared" si="43"/>
        <v>92.169363604425328</v>
      </c>
      <c r="BA35" s="360">
        <f t="shared" si="33"/>
        <v>0.30234149134462845</v>
      </c>
      <c r="BB35" s="360">
        <f t="shared" si="44"/>
        <v>1.4888371871629626</v>
      </c>
      <c r="BC35" s="360">
        <f t="shared" si="45"/>
        <v>1.2012210452914351</v>
      </c>
      <c r="BD35" s="360">
        <f t="shared" si="46"/>
        <v>0.28073654187152741</v>
      </c>
      <c r="BE35" s="360">
        <f t="shared" si="47"/>
        <v>1.6934773555200316E-2</v>
      </c>
    </row>
    <row r="36" spans="1:57" x14ac:dyDescent="0.2">
      <c r="A36" s="24" t="s">
        <v>525</v>
      </c>
      <c r="B36" s="15" t="s">
        <v>111</v>
      </c>
      <c r="C36" s="24" t="s">
        <v>76</v>
      </c>
      <c r="D36" s="17" t="s">
        <v>107</v>
      </c>
      <c r="G36">
        <v>27</v>
      </c>
      <c r="H36" s="548">
        <f t="shared" si="0"/>
        <v>21</v>
      </c>
      <c r="I36" s="4">
        <f t="shared" si="1"/>
        <v>1</v>
      </c>
      <c r="J36" s="360">
        <f t="shared" si="34"/>
        <v>1.35</v>
      </c>
      <c r="K36" s="4">
        <f t="shared" si="2"/>
        <v>1.4285714285714284</v>
      </c>
      <c r="L36" s="4"/>
      <c r="M36" s="360">
        <f t="shared" si="3"/>
        <v>0.95287314467407058</v>
      </c>
      <c r="N36" s="4">
        <f t="shared" si="4"/>
        <v>0.20420308677403542</v>
      </c>
      <c r="O36" s="4">
        <f t="shared" si="35"/>
        <v>1.4521015433870179</v>
      </c>
      <c r="P36" s="4">
        <f t="shared" si="36"/>
        <v>1.2478984566129823</v>
      </c>
      <c r="Q36" s="4">
        <f t="shared" si="5"/>
        <v>0</v>
      </c>
      <c r="R36" s="4">
        <f t="shared" si="6"/>
        <v>1.3512863902176093</v>
      </c>
      <c r="S36" s="360">
        <f t="shared" si="7"/>
        <v>2.4650661263229054E-3</v>
      </c>
      <c r="T36" s="360">
        <f t="shared" si="8"/>
        <v>0.3</v>
      </c>
      <c r="U36" s="360">
        <f t="shared" si="9"/>
        <v>0.30252472560259952</v>
      </c>
      <c r="V36" s="4">
        <f t="shared" si="37"/>
        <v>5.8948353559170934E-2</v>
      </c>
      <c r="W36" s="360">
        <f t="shared" si="10"/>
        <v>6.9498167746740417E-6</v>
      </c>
      <c r="X36" s="360">
        <f t="shared" si="38"/>
        <v>6.9498167746740417E-6</v>
      </c>
      <c r="Y36" s="4">
        <f t="shared" si="11"/>
        <v>0.28635131171913675</v>
      </c>
      <c r="Z36" s="360">
        <f t="shared" si="12"/>
        <v>8.1997073723270227E-5</v>
      </c>
      <c r="AA36" s="541">
        <f t="shared" si="39"/>
        <v>8.1997073723270227E-5</v>
      </c>
      <c r="AB36" s="360">
        <f t="shared" si="13"/>
        <v>1.3190612014046164</v>
      </c>
      <c r="AC36" s="360">
        <f t="shared" si="14"/>
        <v>1.0439534718305939E-2</v>
      </c>
      <c r="AD36" s="360">
        <f t="shared" si="15"/>
        <v>0.10586222912757402</v>
      </c>
      <c r="AE36" s="360">
        <f t="shared" si="16"/>
        <v>0.63444464999999983</v>
      </c>
      <c r="AF36" s="360">
        <f t="shared" si="17"/>
        <v>0</v>
      </c>
      <c r="AG36" s="360">
        <f t="shared" si="18"/>
        <v>0.75193959857678228</v>
      </c>
      <c r="AH36" s="360">
        <f t="shared" si="19"/>
        <v>0.29334698794490333</v>
      </c>
      <c r="AI36" s="360">
        <f t="shared" si="20"/>
        <v>2.1513113834086814E-4</v>
      </c>
      <c r="AJ36" s="360">
        <f t="shared" si="21"/>
        <v>5.5565999999999997E-2</v>
      </c>
      <c r="AK36" s="360">
        <f t="shared" si="22"/>
        <v>5.5783531293258422E-2</v>
      </c>
      <c r="AL36" s="360">
        <f t="shared" si="23"/>
        <v>5.5565999999999997E-2</v>
      </c>
      <c r="AM36" s="360">
        <f t="shared" si="24"/>
        <v>0.71442000000000005</v>
      </c>
      <c r="AN36" s="360">
        <f t="shared" si="25"/>
        <v>1.8259749083873372E-2</v>
      </c>
      <c r="AO36" s="360">
        <f t="shared" si="26"/>
        <v>7.3499999999999998E-4</v>
      </c>
      <c r="AP36" s="360">
        <f t="shared" si="27"/>
        <v>0.34650000000000003</v>
      </c>
      <c r="AQ36" s="360">
        <f t="shared" si="28"/>
        <v>1.3167</v>
      </c>
      <c r="AR36" s="360">
        <f t="shared" si="29"/>
        <v>1.1088</v>
      </c>
      <c r="AS36" s="360">
        <f t="shared" si="48"/>
        <v>0.34723500000000002</v>
      </c>
      <c r="AT36" s="360">
        <f t="shared" si="41"/>
        <v>2.2458175514470113</v>
      </c>
      <c r="AU36">
        <f t="shared" si="30"/>
        <v>27</v>
      </c>
      <c r="AV36" s="542">
        <f t="shared" si="42"/>
        <v>0.92320893243978086</v>
      </c>
      <c r="AW36" s="551">
        <f t="shared" si="31"/>
        <v>61.172839928839117</v>
      </c>
      <c r="AX36" s="551">
        <f t="shared" si="32"/>
        <v>11.078600989143821</v>
      </c>
      <c r="AY36" s="9"/>
      <c r="AZ36" s="4">
        <f t="shared" si="43"/>
        <v>92.320893243978091</v>
      </c>
      <c r="BA36" s="360">
        <f t="shared" si="33"/>
        <v>0.30252472560259952</v>
      </c>
      <c r="BB36" s="360">
        <f t="shared" si="44"/>
        <v>1.5221431298700407</v>
      </c>
      <c r="BC36" s="360">
        <f t="shared" si="45"/>
        <v>1.2234567985767824</v>
      </c>
      <c r="BD36" s="360">
        <f t="shared" si="46"/>
        <v>0.29154213129325846</v>
      </c>
      <c r="BE36" s="360">
        <f t="shared" si="47"/>
        <v>1.8259749083873372E-2</v>
      </c>
    </row>
    <row r="37" spans="1:57" x14ac:dyDescent="0.2">
      <c r="A37" s="23" t="s">
        <v>71</v>
      </c>
      <c r="B37" s="5">
        <f>Rdson3*1000</f>
        <v>6</v>
      </c>
      <c r="C37" s="442" t="s">
        <v>466</v>
      </c>
      <c r="D37" s="440" t="s">
        <v>528</v>
      </c>
      <c r="G37">
        <v>28</v>
      </c>
      <c r="H37" s="548">
        <f t="shared" si="0"/>
        <v>21</v>
      </c>
      <c r="I37" s="4">
        <f t="shared" si="1"/>
        <v>1</v>
      </c>
      <c r="J37" s="360">
        <f t="shared" si="34"/>
        <v>1.4</v>
      </c>
      <c r="K37" s="4">
        <f t="shared" si="2"/>
        <v>1.4814814814814814</v>
      </c>
      <c r="L37" s="4"/>
      <c r="M37" s="360">
        <f t="shared" si="3"/>
        <v>0.95289136612229941</v>
      </c>
      <c r="N37" s="4">
        <f t="shared" si="4"/>
        <v>0.20413119349889605</v>
      </c>
      <c r="O37" s="4">
        <f t="shared" si="35"/>
        <v>1.5020655967494478</v>
      </c>
      <c r="P37" s="4">
        <f t="shared" si="36"/>
        <v>1.297934403250552</v>
      </c>
      <c r="Q37" s="4">
        <f t="shared" si="5"/>
        <v>0</v>
      </c>
      <c r="R37" s="4">
        <f t="shared" si="6"/>
        <v>1.4012396162017664</v>
      </c>
      <c r="S37" s="360">
        <f t="shared" si="7"/>
        <v>2.6506878237179195E-3</v>
      </c>
      <c r="T37" s="360">
        <f t="shared" si="8"/>
        <v>0.3</v>
      </c>
      <c r="U37" s="360">
        <f t="shared" si="9"/>
        <v>0.30271488003544333</v>
      </c>
      <c r="V37" s="4">
        <f t="shared" si="37"/>
        <v>5.8927599758293613E-2</v>
      </c>
      <c r="W37" s="360">
        <f t="shared" si="10"/>
        <v>6.9449240265472916E-6</v>
      </c>
      <c r="X37" s="360">
        <f t="shared" si="38"/>
        <v>6.9449240265472916E-6</v>
      </c>
      <c r="Y37" s="4">
        <f t="shared" si="11"/>
        <v>0.29688233584504636</v>
      </c>
      <c r="Z37" s="360">
        <f t="shared" si="12"/>
        <v>8.8139121336810897E-5</v>
      </c>
      <c r="AA37" s="541">
        <f t="shared" si="39"/>
        <v>8.8139121336810897E-5</v>
      </c>
      <c r="AB37" s="360">
        <f t="shared" si="13"/>
        <v>1.3678362316707886</v>
      </c>
      <c r="AC37" s="360">
        <f t="shared" si="14"/>
        <v>1.122585574002806E-2</v>
      </c>
      <c r="AD37" s="360">
        <f t="shared" si="15"/>
        <v>0.10978305242859529</v>
      </c>
      <c r="AE37" s="360">
        <f t="shared" si="16"/>
        <v>0.63444464999999983</v>
      </c>
      <c r="AF37" s="360">
        <f t="shared" si="17"/>
        <v>0</v>
      </c>
      <c r="AG37" s="360">
        <f t="shared" si="18"/>
        <v>0.75674481460297682</v>
      </c>
      <c r="AH37" s="360">
        <f t="shared" si="19"/>
        <v>0.30413238127817083</v>
      </c>
      <c r="AI37" s="360">
        <f t="shared" si="20"/>
        <v>2.3124126335482669E-4</v>
      </c>
      <c r="AJ37" s="360">
        <f t="shared" si="21"/>
        <v>5.7623999999999988E-2</v>
      </c>
      <c r="AK37" s="360">
        <f t="shared" si="22"/>
        <v>5.7857917090923451E-2</v>
      </c>
      <c r="AL37" s="360">
        <f t="shared" si="23"/>
        <v>5.7623999999999988E-2</v>
      </c>
      <c r="AM37" s="360">
        <f t="shared" si="24"/>
        <v>0.74087999999999998</v>
      </c>
      <c r="AN37" s="360">
        <f t="shared" si="25"/>
        <v>1.9634724620132736E-2</v>
      </c>
      <c r="AO37" s="360">
        <f t="shared" si="26"/>
        <v>7.3499999999999998E-4</v>
      </c>
      <c r="AP37" s="360">
        <f t="shared" si="27"/>
        <v>0.34650000000000003</v>
      </c>
      <c r="AQ37" s="360">
        <f t="shared" si="28"/>
        <v>1.3167</v>
      </c>
      <c r="AR37" s="360">
        <f t="shared" si="29"/>
        <v>1.1088</v>
      </c>
      <c r="AS37" s="360">
        <f t="shared" si="48"/>
        <v>0.34723500000000002</v>
      </c>
      <c r="AT37" s="360">
        <f t="shared" si="41"/>
        <v>2.2827864203948396</v>
      </c>
      <c r="AU37">
        <f t="shared" si="30"/>
        <v>28</v>
      </c>
      <c r="AV37" s="542">
        <f t="shared" si="42"/>
        <v>0.92461768911537712</v>
      </c>
      <c r="AW37" s="551">
        <f t="shared" si="31"/>
        <v>62.286280730148832</v>
      </c>
      <c r="AX37" s="551">
        <f t="shared" si="32"/>
        <v>11.489236049455092</v>
      </c>
      <c r="AY37" s="9"/>
      <c r="AZ37" s="4">
        <f t="shared" si="43"/>
        <v>92.461768911537717</v>
      </c>
      <c r="BA37" s="360">
        <f t="shared" si="33"/>
        <v>0.30271488003544333</v>
      </c>
      <c r="BB37" s="360">
        <f t="shared" si="44"/>
        <v>1.5554827316939002</v>
      </c>
      <c r="BC37" s="360">
        <f t="shared" si="45"/>
        <v>1.2457256146029767</v>
      </c>
      <c r="BD37" s="360">
        <f t="shared" si="46"/>
        <v>0.30234831709092347</v>
      </c>
      <c r="BE37" s="360">
        <f t="shared" si="47"/>
        <v>1.9634724620132736E-2</v>
      </c>
    </row>
    <row r="38" spans="1:57" x14ac:dyDescent="0.2">
      <c r="A38" s="22" t="s">
        <v>79</v>
      </c>
      <c r="B38" s="5">
        <f>RdsonTopTc*1000000</f>
        <v>4000</v>
      </c>
      <c r="C38" s="440" t="s">
        <v>81</v>
      </c>
      <c r="D38" s="21" t="s">
        <v>109</v>
      </c>
      <c r="G38">
        <v>29</v>
      </c>
      <c r="H38" s="548">
        <f t="shared" si="0"/>
        <v>21</v>
      </c>
      <c r="I38" s="4">
        <f t="shared" si="1"/>
        <v>1</v>
      </c>
      <c r="J38" s="360">
        <f t="shared" si="34"/>
        <v>1.45</v>
      </c>
      <c r="K38" s="4">
        <f t="shared" si="2"/>
        <v>1.5343915343915342</v>
      </c>
      <c r="L38" s="4"/>
      <c r="M38" s="360">
        <f t="shared" si="3"/>
        <v>0.95290958700678385</v>
      </c>
      <c r="N38" s="4">
        <f t="shared" si="4"/>
        <v>0.20405929720416849</v>
      </c>
      <c r="O38" s="4">
        <f t="shared" si="35"/>
        <v>1.5520296486020841</v>
      </c>
      <c r="P38" s="4">
        <f t="shared" si="36"/>
        <v>1.3479703513979158</v>
      </c>
      <c r="Q38" s="4">
        <f t="shared" si="5"/>
        <v>0</v>
      </c>
      <c r="R38" s="4">
        <f t="shared" si="6"/>
        <v>1.4511960640788533</v>
      </c>
      <c r="S38" s="360">
        <f t="shared" si="7"/>
        <v>2.8430595221372395E-3</v>
      </c>
      <c r="T38" s="360">
        <f t="shared" si="8"/>
        <v>0.3</v>
      </c>
      <c r="U38" s="360">
        <f t="shared" si="9"/>
        <v>0.30291195525963882</v>
      </c>
      <c r="V38" s="4">
        <f t="shared" si="37"/>
        <v>5.8906845085736265E-2</v>
      </c>
      <c r="W38" s="360">
        <f t="shared" si="10"/>
        <v>6.9400327959098609E-6</v>
      </c>
      <c r="X38" s="360">
        <f t="shared" si="38"/>
        <v>6.9400327959098609E-6</v>
      </c>
      <c r="Y38" s="4">
        <f t="shared" si="11"/>
        <v>0.30741014065747974</v>
      </c>
      <c r="Z38" s="360">
        <f t="shared" si="12"/>
        <v>9.4500994579051474E-5</v>
      </c>
      <c r="AA38" s="541">
        <f t="shared" si="39"/>
        <v>9.4500994579051474E-5</v>
      </c>
      <c r="AB38" s="360">
        <f t="shared" si="13"/>
        <v>1.4166153389591845</v>
      </c>
      <c r="AC38" s="360">
        <f t="shared" si="14"/>
        <v>1.204079411144667E-2</v>
      </c>
      <c r="AD38" s="360">
        <f t="shared" si="15"/>
        <v>0.11370387572961654</v>
      </c>
      <c r="AE38" s="360">
        <f t="shared" si="16"/>
        <v>0.63444464999999983</v>
      </c>
      <c r="AF38" s="360">
        <f t="shared" si="17"/>
        <v>0</v>
      </c>
      <c r="AG38" s="360">
        <f t="shared" si="18"/>
        <v>0.76158316989547603</v>
      </c>
      <c r="AH38" s="360">
        <f t="shared" si="19"/>
        <v>0.3149142705936171</v>
      </c>
      <c r="AI38" s="360">
        <f t="shared" si="20"/>
        <v>2.4792749455877474E-4</v>
      </c>
      <c r="AJ38" s="360">
        <f t="shared" si="21"/>
        <v>5.9681999999999992E-2</v>
      </c>
      <c r="AK38" s="360">
        <f t="shared" si="22"/>
        <v>5.9932899297271656E-2</v>
      </c>
      <c r="AL38" s="360">
        <f t="shared" si="23"/>
        <v>5.9681999999999992E-2</v>
      </c>
      <c r="AM38" s="360">
        <f t="shared" si="24"/>
        <v>0.76733999999999991</v>
      </c>
      <c r="AN38" s="360">
        <f t="shared" si="25"/>
        <v>2.1059700163979553E-2</v>
      </c>
      <c r="AO38" s="360">
        <f t="shared" si="26"/>
        <v>7.3499999999999998E-4</v>
      </c>
      <c r="AP38" s="360">
        <f t="shared" si="27"/>
        <v>0.34650000000000003</v>
      </c>
      <c r="AQ38" s="360">
        <f t="shared" si="28"/>
        <v>1.3167</v>
      </c>
      <c r="AR38" s="360">
        <f t="shared" si="29"/>
        <v>1.1088</v>
      </c>
      <c r="AS38" s="360">
        <f t="shared" si="48"/>
        <v>0.34723500000000002</v>
      </c>
      <c r="AT38" s="360">
        <f t="shared" si="41"/>
        <v>2.3198461656437406</v>
      </c>
      <c r="AU38">
        <f t="shared" si="30"/>
        <v>29</v>
      </c>
      <c r="AV38" s="542">
        <f t="shared" si="42"/>
        <v>0.92593047381604032</v>
      </c>
      <c r="AW38" s="551">
        <f t="shared" si="31"/>
        <v>63.401378494773809</v>
      </c>
      <c r="AX38" s="551">
        <f t="shared" si="32"/>
        <v>11.899893773296322</v>
      </c>
      <c r="AY38" s="9"/>
      <c r="AZ38" s="4">
        <f t="shared" si="43"/>
        <v>92.593047381604038</v>
      </c>
      <c r="BA38" s="360">
        <f t="shared" si="33"/>
        <v>0.30291195525963882</v>
      </c>
      <c r="BB38" s="360">
        <f t="shared" si="44"/>
        <v>1.5888560691927476</v>
      </c>
      <c r="BC38" s="360">
        <f t="shared" si="45"/>
        <v>1.2680275698954762</v>
      </c>
      <c r="BD38" s="360">
        <f t="shared" si="46"/>
        <v>0.31315509929727164</v>
      </c>
      <c r="BE38" s="360">
        <f t="shared" si="47"/>
        <v>2.1059700163979553E-2</v>
      </c>
    </row>
    <row r="39" spans="1:57" x14ac:dyDescent="0.2">
      <c r="A39" s="23" t="s">
        <v>70</v>
      </c>
      <c r="B39" s="5">
        <f>Qg_Q3*1000000000</f>
        <v>8</v>
      </c>
      <c r="C39" s="440" t="s">
        <v>65</v>
      </c>
      <c r="D39" s="21" t="s">
        <v>99</v>
      </c>
      <c r="G39">
        <v>30</v>
      </c>
      <c r="H39" s="548">
        <f t="shared" si="0"/>
        <v>21</v>
      </c>
      <c r="I39" s="4">
        <f t="shared" si="1"/>
        <v>1</v>
      </c>
      <c r="J39" s="360">
        <f t="shared" si="34"/>
        <v>1.5</v>
      </c>
      <c r="K39" s="4">
        <f t="shared" si="2"/>
        <v>1.5873015873015872</v>
      </c>
      <c r="L39" s="4"/>
      <c r="M39" s="360">
        <f t="shared" si="3"/>
        <v>0.95292780732755034</v>
      </c>
      <c r="N39" s="4">
        <f t="shared" si="4"/>
        <v>0.20398739788999221</v>
      </c>
      <c r="O39" s="4">
        <f t="shared" si="35"/>
        <v>1.6019936989449961</v>
      </c>
      <c r="P39" s="4">
        <f t="shared" si="36"/>
        <v>1.3980063010550039</v>
      </c>
      <c r="Q39" s="4">
        <f t="shared" si="5"/>
        <v>0</v>
      </c>
      <c r="R39" s="4">
        <f t="shared" si="6"/>
        <v>1.5011554121880566</v>
      </c>
      <c r="S39" s="360">
        <f t="shared" si="7"/>
        <v>3.0421812215810176E-3</v>
      </c>
      <c r="T39" s="360">
        <f t="shared" si="8"/>
        <v>0.3</v>
      </c>
      <c r="U39" s="360">
        <f t="shared" si="9"/>
        <v>0.30311595191413099</v>
      </c>
      <c r="V39" s="4">
        <f t="shared" si="37"/>
        <v>5.8886089541539149E-2</v>
      </c>
      <c r="W39" s="360">
        <f t="shared" si="10"/>
        <v>6.9351430829883325E-6</v>
      </c>
      <c r="X39" s="360">
        <f t="shared" si="38"/>
        <v>6.9351430829883325E-6</v>
      </c>
      <c r="Y39" s="4">
        <f t="shared" si="11"/>
        <v>0.31793465652088393</v>
      </c>
      <c r="Z39" s="360">
        <f t="shared" si="12"/>
        <v>1.0108244581705244E-4</v>
      </c>
      <c r="AA39" s="541">
        <f t="shared" si="39"/>
        <v>1.0108244581705244E-4</v>
      </c>
      <c r="AB39" s="360">
        <f t="shared" si="13"/>
        <v>1.4653982093044797</v>
      </c>
      <c r="AC39" s="360">
        <f t="shared" si="14"/>
        <v>1.2884351470996655E-2</v>
      </c>
      <c r="AD39" s="360">
        <f t="shared" si="15"/>
        <v>0.11762469903063781</v>
      </c>
      <c r="AE39" s="360">
        <f t="shared" si="16"/>
        <v>0.63444464999999983</v>
      </c>
      <c r="AF39" s="360">
        <f t="shared" si="17"/>
        <v>0</v>
      </c>
      <c r="AG39" s="360">
        <f t="shared" si="18"/>
        <v>0.76645474188836171</v>
      </c>
      <c r="AH39" s="360">
        <f t="shared" si="19"/>
        <v>0.32569258466952922</v>
      </c>
      <c r="AI39" s="360">
        <f t="shared" si="20"/>
        <v>2.6518914927179613E-4</v>
      </c>
      <c r="AJ39" s="360">
        <f t="shared" si="21"/>
        <v>6.1739999999999989E-2</v>
      </c>
      <c r="AK39" s="360">
        <f t="shared" si="22"/>
        <v>6.2008477944374522E-2</v>
      </c>
      <c r="AL39" s="360">
        <f t="shared" si="23"/>
        <v>6.1739999999999989E-2</v>
      </c>
      <c r="AM39" s="360">
        <f t="shared" si="24"/>
        <v>0.79379999999999984</v>
      </c>
      <c r="AN39" s="360">
        <f t="shared" si="25"/>
        <v>2.2534675715414943E-2</v>
      </c>
      <c r="AO39" s="360">
        <f t="shared" si="26"/>
        <v>7.3499999999999998E-4</v>
      </c>
      <c r="AP39" s="360">
        <f t="shared" si="27"/>
        <v>0.34650000000000003</v>
      </c>
      <c r="AQ39" s="360">
        <f t="shared" si="28"/>
        <v>1.3167</v>
      </c>
      <c r="AR39" s="360">
        <f t="shared" si="29"/>
        <v>1.1088</v>
      </c>
      <c r="AS39" s="360">
        <f t="shared" si="48"/>
        <v>0.34723500000000002</v>
      </c>
      <c r="AT39" s="360">
        <f t="shared" si="41"/>
        <v>2.3569968650511823</v>
      </c>
      <c r="AU39">
        <f t="shared" si="30"/>
        <v>30</v>
      </c>
      <c r="AV39" s="542">
        <f t="shared" si="42"/>
        <v>0.92715650111531289</v>
      </c>
      <c r="AW39" s="551">
        <f t="shared" si="31"/>
        <v>64.51813709441808</v>
      </c>
      <c r="AX39" s="551">
        <f t="shared" si="32"/>
        <v>12.310574161886231</v>
      </c>
      <c r="AY39" s="9"/>
      <c r="AZ39" s="4">
        <f t="shared" si="43"/>
        <v>92.715650111531289</v>
      </c>
      <c r="BA39" s="360">
        <f t="shared" si="33"/>
        <v>0.30311595191413099</v>
      </c>
      <c r="BB39" s="360">
        <f t="shared" si="44"/>
        <v>1.622263219832736</v>
      </c>
      <c r="BC39" s="360">
        <f t="shared" si="45"/>
        <v>1.2903627418883616</v>
      </c>
      <c r="BD39" s="360">
        <f t="shared" si="46"/>
        <v>0.32396247794437449</v>
      </c>
      <c r="BE39" s="360">
        <f t="shared" si="47"/>
        <v>2.2534675715414943E-2</v>
      </c>
    </row>
    <row r="40" spans="1:57" x14ac:dyDescent="0.2">
      <c r="A40" s="23" t="s">
        <v>120</v>
      </c>
      <c r="B40" s="5">
        <f>Qgd_Q3*1000000000</f>
        <v>1.4</v>
      </c>
      <c r="C40" s="440" t="s">
        <v>65</v>
      </c>
      <c r="D40" s="21" t="s">
        <v>121</v>
      </c>
      <c r="G40">
        <v>31</v>
      </c>
      <c r="H40" s="548">
        <f t="shared" si="0"/>
        <v>21</v>
      </c>
      <c r="I40" s="4">
        <f t="shared" si="1"/>
        <v>1</v>
      </c>
      <c r="J40" s="360">
        <f t="shared" si="34"/>
        <v>1.55</v>
      </c>
      <c r="K40" s="4">
        <f t="shared" si="2"/>
        <v>1.64021164021164</v>
      </c>
      <c r="L40" s="4"/>
      <c r="M40" s="360">
        <f t="shared" si="3"/>
        <v>0.95294602708462484</v>
      </c>
      <c r="N40" s="4">
        <f t="shared" si="4"/>
        <v>0.20391549555650731</v>
      </c>
      <c r="O40" s="4">
        <f t="shared" si="35"/>
        <v>1.6519577477782537</v>
      </c>
      <c r="P40" s="4">
        <f t="shared" si="36"/>
        <v>1.4480422522217464</v>
      </c>
      <c r="Q40" s="4">
        <f t="shared" si="5"/>
        <v>0</v>
      </c>
      <c r="R40" s="4">
        <f t="shared" si="6"/>
        <v>1.5511173802920284</v>
      </c>
      <c r="S40" s="360">
        <f t="shared" si="7"/>
        <v>3.2480529220494068E-3</v>
      </c>
      <c r="T40" s="360">
        <f t="shared" si="8"/>
        <v>0.3</v>
      </c>
      <c r="U40" s="360">
        <f t="shared" si="9"/>
        <v>0.30332687066033609</v>
      </c>
      <c r="V40" s="4">
        <f t="shared" si="37"/>
        <v>5.8865333125742721E-2</v>
      </c>
      <c r="W40" s="360">
        <f t="shared" si="10"/>
        <v>6.9302548880093269E-6</v>
      </c>
      <c r="X40" s="360">
        <f t="shared" si="38"/>
        <v>6.9302548880093269E-6</v>
      </c>
      <c r="Y40" s="4">
        <f t="shared" si="11"/>
        <v>0.32845582262048073</v>
      </c>
      <c r="Z40" s="360">
        <f t="shared" si="12"/>
        <v>1.078832274132967E-4</v>
      </c>
      <c r="AA40" s="541">
        <f t="shared" si="39"/>
        <v>1.078832274132967E-4</v>
      </c>
      <c r="AB40" s="360">
        <f t="shared" si="13"/>
        <v>1.5141845691664928</v>
      </c>
      <c r="AC40" s="360">
        <f t="shared" si="14"/>
        <v>1.3756529457011503E-2</v>
      </c>
      <c r="AD40" s="360">
        <f t="shared" si="15"/>
        <v>0.12154552233165909</v>
      </c>
      <c r="AE40" s="360">
        <f t="shared" si="16"/>
        <v>0.63444464999999983</v>
      </c>
      <c r="AF40" s="360">
        <f t="shared" si="17"/>
        <v>0</v>
      </c>
      <c r="AG40" s="360">
        <f t="shared" si="18"/>
        <v>0.77135960892836064</v>
      </c>
      <c r="AH40" s="360">
        <f t="shared" si="19"/>
        <v>0.33646726132283267</v>
      </c>
      <c r="AI40" s="360">
        <f t="shared" si="20"/>
        <v>2.8302554485521841E-4</v>
      </c>
      <c r="AJ40" s="360">
        <f t="shared" si="21"/>
        <v>6.3797999999999994E-2</v>
      </c>
      <c r="AK40" s="360">
        <f t="shared" si="22"/>
        <v>6.4084653063625263E-2</v>
      </c>
      <c r="AL40" s="360">
        <f t="shared" si="23"/>
        <v>6.3797999999999994E-2</v>
      </c>
      <c r="AM40" s="360">
        <f t="shared" si="24"/>
        <v>0.8202600000000001</v>
      </c>
      <c r="AN40" s="360">
        <f t="shared" si="25"/>
        <v>2.4059651274440048E-2</v>
      </c>
      <c r="AO40" s="360">
        <f t="shared" si="26"/>
        <v>7.3499999999999998E-4</v>
      </c>
      <c r="AP40" s="360">
        <f t="shared" si="27"/>
        <v>0.34650000000000003</v>
      </c>
      <c r="AQ40" s="360">
        <f t="shared" si="28"/>
        <v>1.3167</v>
      </c>
      <c r="AR40" s="360">
        <f t="shared" si="29"/>
        <v>1.1088</v>
      </c>
      <c r="AS40" s="360">
        <f t="shared" si="48"/>
        <v>0.34723500000000002</v>
      </c>
      <c r="AT40" s="360">
        <f t="shared" si="41"/>
        <v>2.3942385974090632</v>
      </c>
      <c r="AU40">
        <f t="shared" si="30"/>
        <v>31</v>
      </c>
      <c r="AV40" s="542">
        <f t="shared" si="42"/>
        <v>0.92830384228030205</v>
      </c>
      <c r="AW40" s="551">
        <f t="shared" si="31"/>
        <v>65.636560446418031</v>
      </c>
      <c r="AX40" s="551">
        <f t="shared" si="32"/>
        <v>12.721277216417761</v>
      </c>
      <c r="AY40" s="9"/>
      <c r="AZ40" s="4">
        <f t="shared" si="43"/>
        <v>92.830384228030198</v>
      </c>
      <c r="BA40" s="360">
        <f t="shared" si="33"/>
        <v>0.30332687066033609</v>
      </c>
      <c r="BB40" s="360">
        <f t="shared" si="44"/>
        <v>1.6557042619919859</v>
      </c>
      <c r="BC40" s="360">
        <f t="shared" si="45"/>
        <v>1.3127312089283607</v>
      </c>
      <c r="BD40" s="360">
        <f t="shared" si="46"/>
        <v>0.3347704530636253</v>
      </c>
      <c r="BE40" s="360">
        <f t="shared" si="47"/>
        <v>2.4059651274440048E-2</v>
      </c>
    </row>
    <row r="41" spans="1:57" x14ac:dyDescent="0.2">
      <c r="A41" s="23" t="s">
        <v>124</v>
      </c>
      <c r="B41" s="5">
        <f>Qgs_Q3*1000000000</f>
        <v>3.8000000000000003</v>
      </c>
      <c r="C41" s="440" t="s">
        <v>65</v>
      </c>
      <c r="D41" s="21"/>
      <c r="G41">
        <v>32</v>
      </c>
      <c r="H41" s="548">
        <f t="shared" si="0"/>
        <v>21</v>
      </c>
      <c r="I41" s="4">
        <f t="shared" ref="I41:I72" si="49">MODE</f>
        <v>1</v>
      </c>
      <c r="J41" s="360">
        <f t="shared" si="34"/>
        <v>1.6</v>
      </c>
      <c r="K41" s="4">
        <f t="shared" ref="K41:K72" si="50">Vout2*J41/(Vin*Efficiency)</f>
        <v>1.693121693121693</v>
      </c>
      <c r="L41" s="4"/>
      <c r="M41" s="360">
        <f t="shared" ref="M41:M72" si="51">(Vout2+(Rdson4+Rs+Rdcr)*J41)/(Vin+(Rs+Rdson2-Rdson1)*J41)</f>
        <v>0.95296424627803367</v>
      </c>
      <c r="N41" s="4">
        <f t="shared" ref="N41:N72" si="52">(Vin-(Rdson3+Rdcr2)*J41-Vout2)*M41/(Fsw*Lo_2)</f>
        <v>0.20384359020385392</v>
      </c>
      <c r="O41" s="4">
        <f t="shared" si="35"/>
        <v>1.701921795101927</v>
      </c>
      <c r="P41" s="4">
        <f t="shared" si="36"/>
        <v>1.4980782048980732</v>
      </c>
      <c r="Q41" s="4">
        <f t="shared" ref="Q41:Q72" si="53">IF(MIN(Vin, -P41/(Coss_Q3+Coss_Q4)*0.00000002)&lt;0, 0, MIN(Vin, -P41/(Coss_Q3+Coss_Q4)*0.00000002))</f>
        <v>0</v>
      </c>
      <c r="R41" s="4">
        <f t="shared" ref="R41:R72" si="54">SQRT(J41^2+(N41^2)/12)</f>
        <v>1.6010817231189669</v>
      </c>
      <c r="S41" s="360">
        <f t="shared" ref="S41:S72" si="55">R41^2*Rdcr2</f>
        <v>3.4606746235425604E-3</v>
      </c>
      <c r="T41" s="360">
        <f t="shared" ref="T41:T72" si="56">Core_Loss_Ch1</f>
        <v>0.3</v>
      </c>
      <c r="U41" s="360">
        <f t="shared" ref="U41:U72" si="57">(T41+S41*(1+Ltc*(Ta-25)))/(1-S41*Ltc*ThetaCa)</f>
        <v>0.30354471218214729</v>
      </c>
      <c r="V41" s="4">
        <f t="shared" si="37"/>
        <v>5.8844575838387418E-2</v>
      </c>
      <c r="W41" s="360">
        <f t="shared" ref="W41:W72" si="58">Cout2_ESR*V41^2</f>
        <v>6.9253682111994566E-6</v>
      </c>
      <c r="X41" s="360">
        <f t="shared" si="38"/>
        <v>6.9253682111994566E-6</v>
      </c>
      <c r="Y41" s="4">
        <f t="shared" ref="Y41:Y72" si="59">SQRT(M41*(1-M41))*SQRT(J41^2+(N41^2)/12)</f>
        <v>0.33897358558697371</v>
      </c>
      <c r="Z41" s="360">
        <f t="shared" si="12"/>
        <v>1.149030917256894E-4</v>
      </c>
      <c r="AA41" s="541">
        <f t="shared" si="39"/>
        <v>1.149030917256894E-4</v>
      </c>
      <c r="AB41" s="360">
        <f t="shared" ref="AB41:AB72" si="60">SQRT(M41)*SQRT(J41^2+(N41^2)/12)</f>
        <v>1.5629741791279081</v>
      </c>
      <c r="AC41" s="360">
        <f t="shared" ref="AC41:AC72" si="61">Rdson3*AB41^2</f>
        <v>1.4657329707723349E-2</v>
      </c>
      <c r="AD41" s="360">
        <f t="shared" ref="AD41:AD72" si="62">(Vin*J41/2)*Fsw*(Tr_Ch2+Tf_Ch2)</f>
        <v>0.12546634563268033</v>
      </c>
      <c r="AE41" s="360">
        <f t="shared" ref="AE41:AE72" si="63">(0.5*Coss_Q3*(Vin-Q41)^2-0.5*Coss_Q4*(Vin-Q41)^2+(Qoss_Q4*(Vin-Q41)/Vin)*Vin)*Fsw</f>
        <v>0.63444464999999983</v>
      </c>
      <c r="AF41" s="360">
        <f t="shared" ref="AF41:AF72" si="64">IF(J41&gt;N41/2,0,ABS(J41-N41/2)*Vsd_Q3*Deadtime*Fsw)</f>
        <v>0</v>
      </c>
      <c r="AG41" s="360">
        <f t="shared" ref="AG41:AG72" si="65">(AF41+AE41+AD41+AC41*(1+RdsonTopTc*Ta-RdsonTopTc*25))/(1-AC41*RdsonTopTc*ThetaJA_Q2)</f>
        <v>0.77629785027892972</v>
      </c>
      <c r="AH41" s="360">
        <f t="shared" ref="AH41:AH72" si="66">SQRT((1-M41))*SQRT(J41^2+(N41^2)/12)</f>
        <v>0.34723824599983483</v>
      </c>
      <c r="AI41" s="360">
        <f t="shared" ref="AI41:AI72" si="67">Rdson4*AH41^2</f>
        <v>3.0143599871260455E-4</v>
      </c>
      <c r="AJ41" s="360">
        <f t="shared" ref="AJ41:AJ72" si="68">IF(J41&lt;N41/2,Deadtime*Fsw*IF(VfdSky_Q4&gt;0,0,Vsd_Q4)*(J41+N41/2),2*Deadtime*Fsw*IF(VfdSky_Q4&gt;0,0,Vsd_Q4)*J41)</f>
        <v>6.5855999999999998E-2</v>
      </c>
      <c r="AK41" s="360">
        <f t="shared" ref="AK41:AK72" si="69">(AJ41+AI41*(1+RdsonBotTc*Ta-RdsonBotTc*25))/(1-AI41*RdsonBotTc*ThetaJA_Q3)</f>
        <v>6.616142468573788E-2</v>
      </c>
      <c r="AL41" s="360">
        <f t="shared" ref="AL41:AL72" si="70">2*Deadtime*Fsw*IF(VfdSky_Q4&gt;0,VfdSky_Q4,Vsd_Q4)*J41</f>
        <v>6.5855999999999998E-2</v>
      </c>
      <c r="AM41" s="360">
        <f t="shared" ref="AM41:AM72" si="71">IF(QrrSky_Q4&gt;0,QrrSky_Q4,Qrr_Q4*J41/Iout2)*Fsw*Vin</f>
        <v>0.84672000000000003</v>
      </c>
      <c r="AN41" s="360">
        <f t="shared" ref="AN41:AN72" si="72">CHOOSE(SENSING_TYPE, Rs_Ch2*R41^2, 0)</f>
        <v>2.5634626841056E-2</v>
      </c>
      <c r="AO41" s="360">
        <f t="shared" ref="AO41:AO72" si="73">Iq*Vin</f>
        <v>7.3499999999999998E-4</v>
      </c>
      <c r="AP41" s="360">
        <f t="shared" ref="AP41:AP72" si="74">IF(Ext_VCC=1,  (Qg_Q3+Qg_Q4)*Fsw*VCC, (Qg_Q3+Qg_Q4)*Fsw*Vin)</f>
        <v>0.34650000000000003</v>
      </c>
      <c r="AQ41" s="360">
        <f t="shared" ref="AQ41:AQ72" si="75">(Vin-VCC)*Fsw*(Qg_Q3+Qg_Q4)+(RdsonDRT+RdsonDRT2)*Fsw*Qg_Q3*VCC/(RdsonDRT+2*Rgate3+RdsonDRT2)+(RdsonDRB+RdsonDRB2)*Fsw*Qg_Q4*VCC/(RdsonDRB+2*Rgate4+RdsonDRB2)</f>
        <v>1.3167</v>
      </c>
      <c r="AR41" s="360">
        <f t="shared" ref="AR41:AR72" si="76">(Qg_Q3+Qg_Q4)*Fsw*(Vin-VCC)</f>
        <v>1.1088</v>
      </c>
      <c r="AS41" s="360">
        <f t="shared" si="48"/>
        <v>0.34723500000000002</v>
      </c>
      <c r="AT41" s="360">
        <f t="shared" si="41"/>
        <v>2.4315714424478077</v>
      </c>
      <c r="AU41">
        <f t="shared" ref="AU41:AU72" si="77">Vout2*J41</f>
        <v>32</v>
      </c>
      <c r="AV41" s="542">
        <f t="shared" si="42"/>
        <v>0.9293795972538702</v>
      </c>
      <c r="AW41" s="551">
        <f t="shared" ref="AW41:AW72" si="78">ThetaJA_Q1*BC41</f>
        <v>66.756652513946491</v>
      </c>
      <c r="AX41" s="551">
        <f t="shared" ref="AX41:AX72" si="79">ThetaJA_Q2*BD41</f>
        <v>13.132002938058042</v>
      </c>
      <c r="AY41" s="9"/>
      <c r="AZ41" s="4">
        <f t="shared" si="43"/>
        <v>92.937959725387017</v>
      </c>
      <c r="BA41" s="360">
        <f t="shared" ref="BA41:BA72" si="80">U41</f>
        <v>0.30354471218214729</v>
      </c>
      <c r="BB41" s="360">
        <f t="shared" si="44"/>
        <v>1.6891792749646677</v>
      </c>
      <c r="BC41" s="360">
        <f t="shared" si="45"/>
        <v>1.3351330502789298</v>
      </c>
      <c r="BD41" s="360">
        <f t="shared" si="46"/>
        <v>0.34557902468573792</v>
      </c>
      <c r="BE41" s="360">
        <f t="shared" si="47"/>
        <v>2.5634626841056E-2</v>
      </c>
    </row>
    <row r="42" spans="1:57" x14ac:dyDescent="0.2">
      <c r="A42" s="23" t="s">
        <v>90</v>
      </c>
      <c r="B42" s="5">
        <f>Rgate3</f>
        <v>0.5</v>
      </c>
      <c r="C42" s="444" t="s">
        <v>116</v>
      </c>
      <c r="D42" s="21" t="s">
        <v>100</v>
      </c>
      <c r="G42">
        <v>33</v>
      </c>
      <c r="H42" s="548">
        <f t="shared" si="0"/>
        <v>21</v>
      </c>
      <c r="I42" s="4">
        <f t="shared" si="49"/>
        <v>1</v>
      </c>
      <c r="J42" s="360">
        <f t="shared" ref="J42:J73" si="81">Iout2*G42/100</f>
        <v>1.65</v>
      </c>
      <c r="K42" s="4">
        <f t="shared" si="50"/>
        <v>1.7460317460317458</v>
      </c>
      <c r="L42" s="4"/>
      <c r="M42" s="360">
        <f t="shared" si="51"/>
        <v>0.95298246490780292</v>
      </c>
      <c r="N42" s="4">
        <f t="shared" si="52"/>
        <v>0.20377168183217212</v>
      </c>
      <c r="O42" s="4">
        <f t="shared" si="35"/>
        <v>1.751885840916086</v>
      </c>
      <c r="P42" s="4">
        <f t="shared" si="36"/>
        <v>1.5481141590839138</v>
      </c>
      <c r="Q42" s="4">
        <f t="shared" si="53"/>
        <v>0</v>
      </c>
      <c r="R42" s="4">
        <f t="shared" si="54"/>
        <v>1.6510482250759342</v>
      </c>
      <c r="S42" s="360">
        <f t="shared" si="55"/>
        <v>3.6800463260606305E-3</v>
      </c>
      <c r="T42" s="360">
        <f t="shared" si="56"/>
        <v>0.3</v>
      </c>
      <c r="U42" s="360">
        <f t="shared" si="57"/>
        <v>0.30376947718593961</v>
      </c>
      <c r="V42" s="4">
        <f t="shared" si="37"/>
        <v>5.8823817679513675E-2</v>
      </c>
      <c r="W42" s="360">
        <f t="shared" si="58"/>
        <v>6.9204830527853317E-6</v>
      </c>
      <c r="X42" s="360">
        <f t="shared" si="38"/>
        <v>6.9204830527853317E-6</v>
      </c>
      <c r="Y42" s="4">
        <f t="shared" si="59"/>
        <v>0.34948789837068966</v>
      </c>
      <c r="Z42" s="360">
        <f t="shared" si="12"/>
        <v>1.2214179110756149E-4</v>
      </c>
      <c r="AA42" s="541">
        <f t="shared" si="39"/>
        <v>1.2214179110756149E-4</v>
      </c>
      <c r="AB42" s="360">
        <f t="shared" si="60"/>
        <v>1.611766828735004</v>
      </c>
      <c r="AC42" s="360">
        <f t="shared" si="61"/>
        <v>1.558675386126295E-2</v>
      </c>
      <c r="AD42" s="360">
        <f t="shared" si="62"/>
        <v>0.12938716893370159</v>
      </c>
      <c r="AE42" s="360">
        <f t="shared" si="63"/>
        <v>0.63444464999999983</v>
      </c>
      <c r="AF42" s="360">
        <f t="shared" si="64"/>
        <v>0</v>
      </c>
      <c r="AG42" s="360">
        <f t="shared" si="65"/>
        <v>0.78126954612440513</v>
      </c>
      <c r="AH42" s="360">
        <f t="shared" si="66"/>
        <v>0.35800549062256182</v>
      </c>
      <c r="AI42" s="360">
        <f t="shared" si="67"/>
        <v>3.2041982828975304E-4</v>
      </c>
      <c r="AJ42" s="360">
        <f t="shared" si="68"/>
        <v>6.7913999999999988E-2</v>
      </c>
      <c r="AK42" s="360">
        <f t="shared" si="69"/>
        <v>6.8238792840746687E-2</v>
      </c>
      <c r="AL42" s="360">
        <f t="shared" si="70"/>
        <v>6.7913999999999988E-2</v>
      </c>
      <c r="AM42" s="360">
        <f t="shared" si="71"/>
        <v>0.87317999999999996</v>
      </c>
      <c r="AN42" s="360">
        <f t="shared" si="72"/>
        <v>2.7259602415263928E-2</v>
      </c>
      <c r="AO42" s="360">
        <f t="shared" si="73"/>
        <v>7.3499999999999998E-4</v>
      </c>
      <c r="AP42" s="360">
        <f t="shared" si="74"/>
        <v>0.34650000000000003</v>
      </c>
      <c r="AQ42" s="360">
        <f t="shared" si="75"/>
        <v>1.3167</v>
      </c>
      <c r="AR42" s="360">
        <f t="shared" si="76"/>
        <v>1.1088</v>
      </c>
      <c r="AS42" s="360">
        <f t="shared" si="48"/>
        <v>0.34723500000000002</v>
      </c>
      <c r="AT42" s="360">
        <f t="shared" si="41"/>
        <v>2.4689954808405155</v>
      </c>
      <c r="AU42">
        <f t="shared" si="77"/>
        <v>33</v>
      </c>
      <c r="AV42" s="542">
        <f t="shared" si="42"/>
        <v>0.93039003649894148</v>
      </c>
      <c r="AW42" s="551">
        <f t="shared" si="78"/>
        <v>67.878417306220257</v>
      </c>
      <c r="AX42" s="551">
        <f t="shared" si="79"/>
        <v>13.542751327948373</v>
      </c>
      <c r="AY42" s="9"/>
      <c r="AZ42" s="4">
        <f t="shared" si="43"/>
        <v>93.039003649894141</v>
      </c>
      <c r="BA42" s="360">
        <f t="shared" si="80"/>
        <v>0.30376947718593961</v>
      </c>
      <c r="BB42" s="360">
        <f t="shared" si="44"/>
        <v>1.7226883389651517</v>
      </c>
      <c r="BC42" s="360">
        <f t="shared" si="45"/>
        <v>1.3575683461244052</v>
      </c>
      <c r="BD42" s="360">
        <f t="shared" si="46"/>
        <v>0.35638819284074669</v>
      </c>
      <c r="BE42" s="360">
        <f t="shared" si="47"/>
        <v>2.7259602415263928E-2</v>
      </c>
    </row>
    <row r="43" spans="1:57" x14ac:dyDescent="0.2">
      <c r="A43" s="23" t="s">
        <v>69</v>
      </c>
      <c r="B43" s="5">
        <f>Gfs_Q3</f>
        <v>64</v>
      </c>
      <c r="C43" s="440" t="s">
        <v>66</v>
      </c>
      <c r="D43" s="21" t="s">
        <v>101</v>
      </c>
      <c r="G43">
        <v>34</v>
      </c>
      <c r="H43" s="548">
        <f t="shared" si="0"/>
        <v>21</v>
      </c>
      <c r="I43" s="4">
        <f t="shared" si="49"/>
        <v>1</v>
      </c>
      <c r="J43" s="360">
        <f t="shared" si="81"/>
        <v>1.7</v>
      </c>
      <c r="K43" s="4">
        <f t="shared" si="50"/>
        <v>1.7989417989417988</v>
      </c>
      <c r="L43" s="4"/>
      <c r="M43" s="360">
        <f t="shared" si="51"/>
        <v>0.95300068297395879</v>
      </c>
      <c r="N43" s="4">
        <f t="shared" si="52"/>
        <v>0.20369977044160129</v>
      </c>
      <c r="O43" s="4">
        <f t="shared" si="35"/>
        <v>1.8018498852208007</v>
      </c>
      <c r="P43" s="4">
        <f t="shared" si="36"/>
        <v>1.5981501147791992</v>
      </c>
      <c r="Q43" s="4">
        <f t="shared" si="53"/>
        <v>0</v>
      </c>
      <c r="R43" s="4">
        <f t="shared" si="54"/>
        <v>1.7010166958929287</v>
      </c>
      <c r="S43" s="360">
        <f t="shared" si="55"/>
        <v>3.9061680296037702E-3</v>
      </c>
      <c r="T43" s="360">
        <f t="shared" si="56"/>
        <v>0.3</v>
      </c>
      <c r="U43" s="360">
        <f t="shared" si="57"/>
        <v>0.30400116640057623</v>
      </c>
      <c r="V43" s="4">
        <f t="shared" si="37"/>
        <v>5.8803058649161744E-2</v>
      </c>
      <c r="W43" s="360">
        <f t="shared" si="58"/>
        <v>6.9155994129935115E-6</v>
      </c>
      <c r="X43" s="360">
        <f t="shared" si="38"/>
        <v>6.9155994129935115E-6</v>
      </c>
      <c r="Y43" s="4">
        <f t="shared" si="59"/>
        <v>0.3599987193139314</v>
      </c>
      <c r="Z43" s="360">
        <f t="shared" si="12"/>
        <v>1.2959907790767078E-4</v>
      </c>
      <c r="AA43" s="541">
        <f t="shared" si="39"/>
        <v>1.2959907790767078E-4</v>
      </c>
      <c r="AB43" s="360">
        <f t="shared" si="60"/>
        <v>1.6605623322467058</v>
      </c>
      <c r="AC43" s="360">
        <f t="shared" si="61"/>
        <v>1.6544803555659713E-2</v>
      </c>
      <c r="AD43" s="360">
        <f t="shared" si="62"/>
        <v>0.13330799223472281</v>
      </c>
      <c r="AE43" s="360">
        <f t="shared" si="63"/>
        <v>0.63444464999999983</v>
      </c>
      <c r="AF43" s="360">
        <f t="shared" si="64"/>
        <v>0</v>
      </c>
      <c r="AG43" s="360">
        <f t="shared" si="65"/>
        <v>0.78627477757421405</v>
      </c>
      <c r="AH43" s="360">
        <f t="shared" si="66"/>
        <v>0.36876895263820308</v>
      </c>
      <c r="AI43" s="360">
        <f t="shared" si="67"/>
        <v>3.3997635107469316E-4</v>
      </c>
      <c r="AJ43" s="360">
        <f t="shared" si="68"/>
        <v>6.9971999999999993E-2</v>
      </c>
      <c r="AK43" s="360">
        <f t="shared" si="69"/>
        <v>7.0316757558005483E-2</v>
      </c>
      <c r="AL43" s="360">
        <f t="shared" si="70"/>
        <v>6.9971999999999993E-2</v>
      </c>
      <c r="AM43" s="360">
        <f t="shared" si="71"/>
        <v>0.89963999999999988</v>
      </c>
      <c r="AN43" s="360">
        <f t="shared" si="72"/>
        <v>2.8934577997064965E-2</v>
      </c>
      <c r="AO43" s="360">
        <f t="shared" si="73"/>
        <v>7.3499999999999998E-4</v>
      </c>
      <c r="AP43" s="360">
        <f t="shared" si="74"/>
        <v>0.34650000000000003</v>
      </c>
      <c r="AQ43" s="360">
        <f t="shared" si="75"/>
        <v>1.3167</v>
      </c>
      <c r="AR43" s="360">
        <f t="shared" si="76"/>
        <v>1.1088</v>
      </c>
      <c r="AS43" s="360">
        <f t="shared" si="48"/>
        <v>0.34723500000000002</v>
      </c>
      <c r="AT43" s="360">
        <f t="shared" si="41"/>
        <v>2.5065107942071809</v>
      </c>
      <c r="AU43">
        <f t="shared" si="77"/>
        <v>34</v>
      </c>
      <c r="AV43" s="542">
        <f t="shared" si="42"/>
        <v>0.93134071869161184</v>
      </c>
      <c r="AW43" s="551">
        <f t="shared" si="78"/>
        <v>69.001858878710692</v>
      </c>
      <c r="AX43" s="551">
        <f t="shared" si="79"/>
        <v>13.953522387204206</v>
      </c>
      <c r="AY43" s="9"/>
      <c r="AZ43" s="4">
        <f t="shared" si="43"/>
        <v>93.13407186916119</v>
      </c>
      <c r="BA43" s="360">
        <f t="shared" si="80"/>
        <v>0.30400116640057623</v>
      </c>
      <c r="BB43" s="360">
        <f t="shared" si="44"/>
        <v>1.7562315351322195</v>
      </c>
      <c r="BC43" s="360">
        <f t="shared" si="45"/>
        <v>1.380037177574214</v>
      </c>
      <c r="BD43" s="360">
        <f t="shared" si="46"/>
        <v>0.36719795755800544</v>
      </c>
      <c r="BE43" s="360">
        <f t="shared" si="47"/>
        <v>2.8934577997064965E-2</v>
      </c>
    </row>
    <row r="44" spans="1:57" x14ac:dyDescent="0.2">
      <c r="A44" s="23" t="s">
        <v>92</v>
      </c>
      <c r="B44" s="5">
        <f>Vth_Q3</f>
        <v>2.9</v>
      </c>
      <c r="C44" s="440" t="s">
        <v>0</v>
      </c>
      <c r="D44" s="21" t="s">
        <v>102</v>
      </c>
      <c r="G44">
        <v>35</v>
      </c>
      <c r="H44" s="548">
        <f t="shared" si="0"/>
        <v>21</v>
      </c>
      <c r="I44" s="4">
        <f t="shared" si="49"/>
        <v>1</v>
      </c>
      <c r="J44" s="360">
        <f t="shared" si="81"/>
        <v>1.75</v>
      </c>
      <c r="K44" s="4">
        <f t="shared" si="50"/>
        <v>1.8518518518518516</v>
      </c>
      <c r="L44" s="4"/>
      <c r="M44" s="360">
        <f t="shared" si="51"/>
        <v>0.9530189004765276</v>
      </c>
      <c r="N44" s="4">
        <f t="shared" si="52"/>
        <v>0.20362785603228303</v>
      </c>
      <c r="O44" s="4">
        <f t="shared" si="35"/>
        <v>1.8518139280161414</v>
      </c>
      <c r="P44" s="4">
        <f t="shared" si="36"/>
        <v>1.6481860719838586</v>
      </c>
      <c r="Q44" s="4">
        <f t="shared" si="53"/>
        <v>0</v>
      </c>
      <c r="R44" s="4">
        <f t="shared" si="54"/>
        <v>1.7509869670120408</v>
      </c>
      <c r="S44" s="360">
        <f t="shared" si="55"/>
        <v>4.1390397341721343E-3</v>
      </c>
      <c r="T44" s="360">
        <f t="shared" si="56"/>
        <v>0.3</v>
      </c>
      <c r="U44" s="360">
        <f t="shared" si="57"/>
        <v>0.30423978057741419</v>
      </c>
      <c r="V44" s="4">
        <f t="shared" si="37"/>
        <v>5.8782298747372487E-2</v>
      </c>
      <c r="W44" s="360">
        <f t="shared" si="58"/>
        <v>6.9107172920506985E-6</v>
      </c>
      <c r="X44" s="360">
        <f t="shared" si="38"/>
        <v>6.9107172920506985E-6</v>
      </c>
      <c r="Y44" s="4">
        <f t="shared" si="59"/>
        <v>0.37050601138200656</v>
      </c>
      <c r="Z44" s="360">
        <f t="shared" si="12"/>
        <v>1.3727470447020358E-4</v>
      </c>
      <c r="AA44" s="541">
        <f t="shared" si="39"/>
        <v>1.3727470447020358E-4</v>
      </c>
      <c r="AB44" s="360">
        <f t="shared" si="60"/>
        <v>1.7093605251107657</v>
      </c>
      <c r="AC44" s="360">
        <f t="shared" si="61"/>
        <v>1.7531480428841718E-2</v>
      </c>
      <c r="AD44" s="360">
        <f t="shared" si="62"/>
        <v>0.13722881553574412</v>
      </c>
      <c r="AE44" s="360">
        <f t="shared" si="63"/>
        <v>0.63444464999999983</v>
      </c>
      <c r="AF44" s="360">
        <f t="shared" si="64"/>
        <v>0</v>
      </c>
      <c r="AG44" s="360">
        <f t="shared" si="65"/>
        <v>0.79131362666715233</v>
      </c>
      <c r="AH44" s="360">
        <f t="shared" si="66"/>
        <v>0.37952859423114943</v>
      </c>
      <c r="AI44" s="360">
        <f t="shared" si="67"/>
        <v>3.6010488459768122E-4</v>
      </c>
      <c r="AJ44" s="360">
        <f t="shared" si="68"/>
        <v>7.2029999999999997E-2</v>
      </c>
      <c r="AK44" s="360">
        <f t="shared" si="69"/>
        <v>7.2395318866186831E-2</v>
      </c>
      <c r="AL44" s="360">
        <f t="shared" si="70"/>
        <v>7.2029999999999997E-2</v>
      </c>
      <c r="AM44" s="360">
        <f t="shared" si="71"/>
        <v>0.92609999999999981</v>
      </c>
      <c r="AN44" s="360">
        <f t="shared" si="72"/>
        <v>3.0659553586460254E-2</v>
      </c>
      <c r="AO44" s="360">
        <f t="shared" si="73"/>
        <v>7.3499999999999998E-4</v>
      </c>
      <c r="AP44" s="360">
        <f t="shared" si="74"/>
        <v>0.34650000000000003</v>
      </c>
      <c r="AQ44" s="360">
        <f t="shared" si="75"/>
        <v>1.3167</v>
      </c>
      <c r="AR44" s="360">
        <f t="shared" si="76"/>
        <v>1.1088</v>
      </c>
      <c r="AS44" s="360">
        <f t="shared" si="48"/>
        <v>0.34723500000000002</v>
      </c>
      <c r="AT44" s="360">
        <f t="shared" si="41"/>
        <v>2.5441174651189757</v>
      </c>
      <c r="AU44">
        <f t="shared" si="77"/>
        <v>35</v>
      </c>
      <c r="AV44" s="542">
        <f t="shared" si="42"/>
        <v>0.93223658892814221</v>
      </c>
      <c r="AW44" s="551">
        <f t="shared" si="78"/>
        <v>70.12698133335762</v>
      </c>
      <c r="AX44" s="551">
        <f t="shared" si="79"/>
        <v>14.364316116915099</v>
      </c>
      <c r="AY44" s="9"/>
      <c r="AZ44" s="4">
        <f t="shared" si="43"/>
        <v>93.223658892814214</v>
      </c>
      <c r="BA44" s="360">
        <f t="shared" si="80"/>
        <v>0.30423978057741419</v>
      </c>
      <c r="BB44" s="360">
        <f t="shared" si="44"/>
        <v>1.789808945533339</v>
      </c>
      <c r="BC44" s="360">
        <f t="shared" si="45"/>
        <v>1.4025396266671524</v>
      </c>
      <c r="BD44" s="360">
        <f t="shared" si="46"/>
        <v>0.3780083188661868</v>
      </c>
      <c r="BE44" s="360">
        <f t="shared" si="47"/>
        <v>3.0659553586460254E-2</v>
      </c>
    </row>
    <row r="45" spans="1:57" x14ac:dyDescent="0.2">
      <c r="A45" s="28" t="s">
        <v>123</v>
      </c>
      <c r="B45" s="447">
        <f>Vsp_Q3</f>
        <v>2.9781249999999999</v>
      </c>
      <c r="C45" s="445" t="s">
        <v>0</v>
      </c>
      <c r="G45">
        <v>36</v>
      </c>
      <c r="H45" s="548">
        <f t="shared" si="0"/>
        <v>21</v>
      </c>
      <c r="I45" s="4">
        <f t="shared" si="49"/>
        <v>1</v>
      </c>
      <c r="J45" s="360">
        <f t="shared" si="81"/>
        <v>1.8</v>
      </c>
      <c r="K45" s="4">
        <f t="shared" si="50"/>
        <v>1.9047619047619047</v>
      </c>
      <c r="L45" s="4"/>
      <c r="M45" s="360">
        <f t="shared" si="51"/>
        <v>0.95303711741553521</v>
      </c>
      <c r="N45" s="4">
        <f t="shared" si="52"/>
        <v>0.20355593860435661</v>
      </c>
      <c r="O45" s="4">
        <f t="shared" si="35"/>
        <v>1.9017779693021784</v>
      </c>
      <c r="P45" s="4">
        <f t="shared" si="36"/>
        <v>1.6982220306978217</v>
      </c>
      <c r="Q45" s="4">
        <f t="shared" si="53"/>
        <v>0</v>
      </c>
      <c r="R45" s="4">
        <f t="shared" si="54"/>
        <v>1.8009588885771635</v>
      </c>
      <c r="S45" s="360">
        <f t="shared" si="55"/>
        <v>4.3786614397658746E-3</v>
      </c>
      <c r="T45" s="360">
        <f t="shared" si="56"/>
        <v>0.3</v>
      </c>
      <c r="U45" s="360">
        <f t="shared" si="57"/>
        <v>0.30448532049031035</v>
      </c>
      <c r="V45" s="4">
        <f t="shared" si="37"/>
        <v>5.8761537974186116E-2</v>
      </c>
      <c r="W45" s="360">
        <f t="shared" si="58"/>
        <v>6.9058366901834342E-6</v>
      </c>
      <c r="X45" s="360">
        <f t="shared" si="38"/>
        <v>6.9058366901834342E-6</v>
      </c>
      <c r="Y45" s="4">
        <f t="shared" si="59"/>
        <v>0.38100974152215333</v>
      </c>
      <c r="Z45" s="360">
        <f t="shared" si="12"/>
        <v>1.451684231347781E-4</v>
      </c>
      <c r="AA45" s="541">
        <f t="shared" si="39"/>
        <v>1.451684231347781E-4</v>
      </c>
      <c r="AB45" s="360">
        <f t="shared" si="60"/>
        <v>1.758161261026022</v>
      </c>
      <c r="AC45" s="360">
        <f t="shared" si="61"/>
        <v>1.854678611863567E-2</v>
      </c>
      <c r="AD45" s="360">
        <f t="shared" si="62"/>
        <v>0.1411496388367654</v>
      </c>
      <c r="AE45" s="360">
        <f t="shared" si="63"/>
        <v>0.63444464999999983</v>
      </c>
      <c r="AF45" s="360">
        <f t="shared" si="64"/>
        <v>0</v>
      </c>
      <c r="AG45" s="360">
        <f t="shared" si="65"/>
        <v>0.79638617637572495</v>
      </c>
      <c r="AH45" s="360">
        <f t="shared" si="66"/>
        <v>0.39028438166608748</v>
      </c>
      <c r="AI45" s="360">
        <f t="shared" si="67"/>
        <v>3.8080474643120059E-4</v>
      </c>
      <c r="AJ45" s="360">
        <f t="shared" si="68"/>
        <v>7.4087999999999987E-2</v>
      </c>
      <c r="AK45" s="360">
        <f t="shared" si="69"/>
        <v>7.4474476793281369E-2</v>
      </c>
      <c r="AL45" s="360">
        <f t="shared" si="70"/>
        <v>7.4087999999999987E-2</v>
      </c>
      <c r="AM45" s="360">
        <f t="shared" si="71"/>
        <v>0.95255999999999996</v>
      </c>
      <c r="AN45" s="360">
        <f t="shared" si="72"/>
        <v>3.2434529183450918E-2</v>
      </c>
      <c r="AO45" s="360">
        <f t="shared" si="73"/>
        <v>7.3499999999999998E-4</v>
      </c>
      <c r="AP45" s="360">
        <f t="shared" si="74"/>
        <v>0.34650000000000003</v>
      </c>
      <c r="AQ45" s="360">
        <f t="shared" si="75"/>
        <v>1.3167</v>
      </c>
      <c r="AR45" s="360">
        <f t="shared" si="76"/>
        <v>1.1088</v>
      </c>
      <c r="AS45" s="360">
        <f t="shared" si="48"/>
        <v>0.34723500000000002</v>
      </c>
      <c r="AT45" s="360">
        <f t="shared" si="41"/>
        <v>2.5818155771025926</v>
      </c>
      <c r="AU45">
        <f t="shared" si="77"/>
        <v>36</v>
      </c>
      <c r="AV45" s="542">
        <f t="shared" si="42"/>
        <v>0.93308206110873526</v>
      </c>
      <c r="AW45" s="551">
        <f t="shared" si="78"/>
        <v>71.253788818786248</v>
      </c>
      <c r="AX45" s="551">
        <f t="shared" si="79"/>
        <v>14.775132518144691</v>
      </c>
      <c r="AY45" s="9"/>
      <c r="AZ45" s="4">
        <f t="shared" si="43"/>
        <v>93.308206110873527</v>
      </c>
      <c r="BA45" s="360">
        <f t="shared" si="80"/>
        <v>0.30448532049031035</v>
      </c>
      <c r="BB45" s="360">
        <f t="shared" si="44"/>
        <v>1.8234206531690063</v>
      </c>
      <c r="BC45" s="360">
        <f t="shared" si="45"/>
        <v>1.4250757763757249</v>
      </c>
      <c r="BD45" s="360">
        <f t="shared" si="46"/>
        <v>0.38881927679328132</v>
      </c>
      <c r="BE45" s="360">
        <f t="shared" si="47"/>
        <v>3.2434529183450918E-2</v>
      </c>
    </row>
    <row r="46" spans="1:57" x14ac:dyDescent="0.2">
      <c r="A46" s="77" t="s">
        <v>203</v>
      </c>
      <c r="B46" s="5">
        <f>Vsd_Q3</f>
        <v>0.7</v>
      </c>
      <c r="C46" s="445" t="s">
        <v>0</v>
      </c>
      <c r="G46">
        <v>37</v>
      </c>
      <c r="H46" s="548">
        <f t="shared" si="0"/>
        <v>21</v>
      </c>
      <c r="I46" s="4">
        <f t="shared" si="49"/>
        <v>1</v>
      </c>
      <c r="J46" s="360">
        <f t="shared" si="81"/>
        <v>1.85</v>
      </c>
      <c r="K46" s="4">
        <f t="shared" si="50"/>
        <v>1.9576719576719575</v>
      </c>
      <c r="L46" s="4"/>
      <c r="M46" s="360">
        <f t="shared" si="51"/>
        <v>0.95305533379100771</v>
      </c>
      <c r="N46" s="4">
        <f t="shared" si="52"/>
        <v>0.20348401815796213</v>
      </c>
      <c r="O46" s="4">
        <f t="shared" si="35"/>
        <v>1.9517420090789812</v>
      </c>
      <c r="P46" s="4">
        <f t="shared" si="36"/>
        <v>1.748257990921019</v>
      </c>
      <c r="Q46" s="4">
        <f t="shared" si="53"/>
        <v>0</v>
      </c>
      <c r="R46" s="4">
        <f t="shared" si="54"/>
        <v>1.8509323269109028</v>
      </c>
      <c r="S46" s="360">
        <f t="shared" si="55"/>
        <v>4.6250331463851425E-3</v>
      </c>
      <c r="T46" s="360">
        <f t="shared" si="56"/>
        <v>0.3</v>
      </c>
      <c r="U46" s="360">
        <f t="shared" si="57"/>
        <v>0.30473778693562781</v>
      </c>
      <c r="V46" s="4">
        <f t="shared" si="37"/>
        <v>5.8740776329643071E-2</v>
      </c>
      <c r="W46" s="360">
        <f t="shared" si="58"/>
        <v>6.9009576076183117E-6</v>
      </c>
      <c r="X46" s="360">
        <f t="shared" si="38"/>
        <v>6.9009576076183117E-6</v>
      </c>
      <c r="Y46" s="4">
        <f t="shared" si="59"/>
        <v>0.39150988012621707</v>
      </c>
      <c r="Z46" s="360">
        <f t="shared" si="12"/>
        <v>1.5327998623644487E-4</v>
      </c>
      <c r="AA46" s="541">
        <f t="shared" si="39"/>
        <v>1.5327998623644487E-4</v>
      </c>
      <c r="AB46" s="360">
        <f t="shared" si="60"/>
        <v>1.8069644094801167</v>
      </c>
      <c r="AC46" s="360">
        <f t="shared" si="61"/>
        <v>1.9590722262766962E-2</v>
      </c>
      <c r="AD46" s="360">
        <f t="shared" si="62"/>
        <v>0.14507046213778663</v>
      </c>
      <c r="AE46" s="360">
        <f t="shared" si="63"/>
        <v>0.63444464999999983</v>
      </c>
      <c r="AF46" s="360">
        <f t="shared" si="64"/>
        <v>0</v>
      </c>
      <c r="AG46" s="360">
        <f t="shared" si="65"/>
        <v>0.80149251061055438</v>
      </c>
      <c r="AH46" s="360">
        <f t="shared" si="66"/>
        <v>0.40103628473740643</v>
      </c>
      <c r="AI46" s="360">
        <f t="shared" si="67"/>
        <v>4.0207525418995533E-4</v>
      </c>
      <c r="AJ46" s="360">
        <f t="shared" si="68"/>
        <v>7.6145999999999991E-2</v>
      </c>
      <c r="AK46" s="360">
        <f t="shared" si="69"/>
        <v>7.6554231366597156E-2</v>
      </c>
      <c r="AL46" s="360">
        <f t="shared" si="70"/>
        <v>7.6145999999999991E-2</v>
      </c>
      <c r="AM46" s="360">
        <f t="shared" si="71"/>
        <v>0.97902</v>
      </c>
      <c r="AN46" s="360">
        <f t="shared" si="72"/>
        <v>3.4259504788038096E-2</v>
      </c>
      <c r="AO46" s="360">
        <f t="shared" si="73"/>
        <v>7.3499999999999998E-4</v>
      </c>
      <c r="AP46" s="360">
        <f t="shared" si="74"/>
        <v>0.34650000000000003</v>
      </c>
      <c r="AQ46" s="360">
        <f t="shared" si="75"/>
        <v>1.3167</v>
      </c>
      <c r="AR46" s="360">
        <f t="shared" si="76"/>
        <v>1.1088</v>
      </c>
      <c r="AS46" s="360">
        <f t="shared" si="48"/>
        <v>0.34723500000000002</v>
      </c>
      <c r="AT46" s="360">
        <f t="shared" si="41"/>
        <v>2.6196052146446616</v>
      </c>
      <c r="AU46">
        <f t="shared" si="77"/>
        <v>37</v>
      </c>
      <c r="AV46" s="542">
        <f t="shared" si="42"/>
        <v>0.93388108739467257</v>
      </c>
      <c r="AW46" s="551">
        <f t="shared" si="78"/>
        <v>72.382285530527724</v>
      </c>
      <c r="AX46" s="551">
        <f t="shared" si="79"/>
        <v>15.185971591930691</v>
      </c>
      <c r="AY46" s="9"/>
      <c r="AZ46" s="4">
        <f t="shared" si="43"/>
        <v>93.388108739467256</v>
      </c>
      <c r="BA46" s="360">
        <f t="shared" si="80"/>
        <v>0.30473778693562781</v>
      </c>
      <c r="BB46" s="360">
        <f t="shared" si="44"/>
        <v>1.8570667419771514</v>
      </c>
      <c r="BC46" s="360">
        <f t="shared" si="45"/>
        <v>1.4476457106105545</v>
      </c>
      <c r="BD46" s="360">
        <f t="shared" si="46"/>
        <v>0.39963083136659716</v>
      </c>
      <c r="BE46" s="360">
        <f t="shared" si="47"/>
        <v>3.4259504788038096E-2</v>
      </c>
    </row>
    <row r="47" spans="1:57" ht="15.75" x14ac:dyDescent="0.3">
      <c r="A47" s="446" t="s">
        <v>472</v>
      </c>
      <c r="B47" s="5">
        <f>ThetaJA_Q3</f>
        <v>50</v>
      </c>
      <c r="C47" s="441" t="s">
        <v>205</v>
      </c>
      <c r="D47" s="21" t="s">
        <v>103</v>
      </c>
      <c r="G47">
        <v>38</v>
      </c>
      <c r="H47" s="548">
        <f t="shared" si="0"/>
        <v>21</v>
      </c>
      <c r="I47" s="4">
        <f t="shared" si="49"/>
        <v>1</v>
      </c>
      <c r="J47" s="360">
        <f t="shared" si="81"/>
        <v>1.9</v>
      </c>
      <c r="K47" s="4">
        <f t="shared" si="50"/>
        <v>2.0105820105820102</v>
      </c>
      <c r="L47" s="4"/>
      <c r="M47" s="360">
        <f t="shared" si="51"/>
        <v>0.95307354960297153</v>
      </c>
      <c r="N47" s="4">
        <f t="shared" si="52"/>
        <v>0.20341209469323962</v>
      </c>
      <c r="O47" s="4">
        <f t="shared" si="35"/>
        <v>2.0017060473466195</v>
      </c>
      <c r="P47" s="4">
        <f t="shared" si="36"/>
        <v>1.7982939526533801</v>
      </c>
      <c r="Q47" s="4">
        <f t="shared" si="53"/>
        <v>0</v>
      </c>
      <c r="R47" s="4">
        <f t="shared" si="54"/>
        <v>1.9009071623891292</v>
      </c>
      <c r="S47" s="360">
        <f t="shared" si="55"/>
        <v>4.8781548540300932E-3</v>
      </c>
      <c r="T47" s="360">
        <f t="shared" si="56"/>
        <v>0.3</v>
      </c>
      <c r="U47" s="360">
        <f t="shared" si="57"/>
        <v>0.30499718073224241</v>
      </c>
      <c r="V47" s="4">
        <f t="shared" si="37"/>
        <v>5.8720013813783771E-2</v>
      </c>
      <c r="W47" s="360">
        <f t="shared" si="58"/>
        <v>6.8960800445819133E-6</v>
      </c>
      <c r="X47" s="360">
        <f t="shared" si="38"/>
        <v>6.8960800445819133E-6</v>
      </c>
      <c r="Y47" s="4">
        <f t="shared" si="59"/>
        <v>0.40200640057801074</v>
      </c>
      <c r="Z47" s="360">
        <f t="shared" si="12"/>
        <v>1.6160914610568802E-4</v>
      </c>
      <c r="AA47" s="541">
        <f t="shared" si="39"/>
        <v>1.6160914610568802E-4</v>
      </c>
      <c r="AB47" s="360">
        <f t="shared" si="60"/>
        <v>1.8557698536752734</v>
      </c>
      <c r="AC47" s="360">
        <f t="shared" si="61"/>
        <v>2.0663290498859673E-2</v>
      </c>
      <c r="AD47" s="360">
        <f t="shared" si="62"/>
        <v>0.14899128543880788</v>
      </c>
      <c r="AE47" s="360">
        <f t="shared" si="63"/>
        <v>0.63444464999999983</v>
      </c>
      <c r="AF47" s="360">
        <f t="shared" si="64"/>
        <v>0</v>
      </c>
      <c r="AG47" s="360">
        <f t="shared" si="65"/>
        <v>0.80663271422485394</v>
      </c>
      <c r="AH47" s="360">
        <f t="shared" si="66"/>
        <v>0.41178427630538034</v>
      </c>
      <c r="AI47" s="360">
        <f t="shared" si="67"/>
        <v>4.2391572553086452E-4</v>
      </c>
      <c r="AJ47" s="360">
        <f t="shared" si="68"/>
        <v>7.8203999999999982E-2</v>
      </c>
      <c r="AK47" s="360">
        <f t="shared" si="69"/>
        <v>7.8634582612758866E-2</v>
      </c>
      <c r="AL47" s="360">
        <f t="shared" si="70"/>
        <v>7.8203999999999982E-2</v>
      </c>
      <c r="AM47" s="360">
        <f t="shared" si="71"/>
        <v>1.0054799999999999</v>
      </c>
      <c r="AN47" s="360">
        <f t="shared" si="72"/>
        <v>3.6134480400222914E-2</v>
      </c>
      <c r="AO47" s="360">
        <f t="shared" si="73"/>
        <v>7.3499999999999998E-4</v>
      </c>
      <c r="AP47" s="360">
        <f t="shared" si="74"/>
        <v>0.34650000000000003</v>
      </c>
      <c r="AQ47" s="360">
        <f t="shared" si="75"/>
        <v>1.3167</v>
      </c>
      <c r="AR47" s="360">
        <f t="shared" si="76"/>
        <v>1.1088</v>
      </c>
      <c r="AS47" s="360">
        <f t="shared" si="48"/>
        <v>0.34723500000000002</v>
      </c>
      <c r="AT47" s="360">
        <f t="shared" si="41"/>
        <v>2.6574864631962281</v>
      </c>
      <c r="AU47">
        <f t="shared" si="77"/>
        <v>38</v>
      </c>
      <c r="AV47" s="542">
        <f t="shared" si="42"/>
        <v>0.9346372170448406</v>
      </c>
      <c r="AW47" s="551">
        <f t="shared" si="78"/>
        <v>73.512475711242701</v>
      </c>
      <c r="AX47" s="551">
        <f t="shared" si="79"/>
        <v>15.596833339284837</v>
      </c>
      <c r="AY47" s="9"/>
      <c r="AZ47" s="4">
        <f t="shared" si="43"/>
        <v>93.463721704484058</v>
      </c>
      <c r="BA47" s="360">
        <f t="shared" si="80"/>
        <v>0.30499718073224241</v>
      </c>
      <c r="BB47" s="360">
        <f t="shared" si="44"/>
        <v>1.8907472968376129</v>
      </c>
      <c r="BC47" s="360">
        <f t="shared" si="45"/>
        <v>1.4702495142248539</v>
      </c>
      <c r="BD47" s="360">
        <f t="shared" si="46"/>
        <v>0.41044298261275886</v>
      </c>
      <c r="BE47" s="360">
        <f t="shared" si="47"/>
        <v>3.6134480400222914E-2</v>
      </c>
    </row>
    <row r="48" spans="1:57" x14ac:dyDescent="0.2">
      <c r="A48" s="24" t="s">
        <v>526</v>
      </c>
      <c r="B48" s="15" t="s">
        <v>111</v>
      </c>
      <c r="C48" s="24" t="s">
        <v>76</v>
      </c>
      <c r="D48" s="17" t="s">
        <v>107</v>
      </c>
      <c r="G48">
        <v>39</v>
      </c>
      <c r="H48" s="548">
        <f t="shared" si="0"/>
        <v>21</v>
      </c>
      <c r="I48" s="4">
        <f t="shared" si="49"/>
        <v>1</v>
      </c>
      <c r="J48" s="360">
        <f t="shared" si="81"/>
        <v>1.95</v>
      </c>
      <c r="K48" s="4">
        <f t="shared" si="50"/>
        <v>2.0634920634920633</v>
      </c>
      <c r="L48" s="4"/>
      <c r="M48" s="360">
        <f t="shared" si="51"/>
        <v>0.95309176485145264</v>
      </c>
      <c r="N48" s="4">
        <f t="shared" si="52"/>
        <v>0.20334016821032916</v>
      </c>
      <c r="O48" s="4">
        <f t="shared" si="35"/>
        <v>2.0516700841051647</v>
      </c>
      <c r="P48" s="4">
        <f t="shared" si="36"/>
        <v>1.8483299158948354</v>
      </c>
      <c r="Q48" s="4">
        <f t="shared" si="53"/>
        <v>0</v>
      </c>
      <c r="R48" s="4">
        <f t="shared" si="54"/>
        <v>1.9508832876419466</v>
      </c>
      <c r="S48" s="360">
        <f t="shared" si="55"/>
        <v>5.1380265627008776E-3</v>
      </c>
      <c r="T48" s="360">
        <f t="shared" si="56"/>
        <v>0.3</v>
      </c>
      <c r="U48" s="360">
        <f t="shared" si="57"/>
        <v>0.3052635027215494</v>
      </c>
      <c r="V48" s="4">
        <f t="shared" si="37"/>
        <v>5.8699250426648662E-2</v>
      </c>
      <c r="W48" s="360">
        <f t="shared" si="58"/>
        <v>6.8912040013008269E-6</v>
      </c>
      <c r="X48" s="360">
        <f t="shared" si="38"/>
        <v>6.8912040013008269E-6</v>
      </c>
      <c r="Y48" s="4">
        <f t="shared" si="59"/>
        <v>0.41249927887019322</v>
      </c>
      <c r="Z48" s="360">
        <f t="shared" si="12"/>
        <v>1.7015565506842945E-4</v>
      </c>
      <c r="AA48" s="541">
        <f t="shared" si="39"/>
        <v>1.7015565506842945E-4</v>
      </c>
      <c r="AB48" s="360">
        <f t="shared" si="60"/>
        <v>1.904577488772621</v>
      </c>
      <c r="AC48" s="360">
        <f t="shared" si="61"/>
        <v>2.1764492464436541E-2</v>
      </c>
      <c r="AD48" s="360">
        <f t="shared" si="62"/>
        <v>0.15291210873982913</v>
      </c>
      <c r="AE48" s="360">
        <f t="shared" si="63"/>
        <v>0.63444464999999983</v>
      </c>
      <c r="AF48" s="360">
        <f t="shared" si="64"/>
        <v>0</v>
      </c>
      <c r="AG48" s="360">
        <f t="shared" si="65"/>
        <v>0.81180687301896615</v>
      </c>
      <c r="AH48" s="360">
        <f t="shared" si="66"/>
        <v>0.42252833190358507</v>
      </c>
      <c r="AI48" s="360">
        <f t="shared" si="67"/>
        <v>4.4632547815306539E-4</v>
      </c>
      <c r="AJ48" s="360">
        <f t="shared" si="68"/>
        <v>8.0261999999999986E-2</v>
      </c>
      <c r="AK48" s="360">
        <f t="shared" si="69"/>
        <v>8.0715530557707166E-2</v>
      </c>
      <c r="AL48" s="360">
        <f t="shared" si="70"/>
        <v>8.0261999999999986E-2</v>
      </c>
      <c r="AM48" s="360">
        <f t="shared" si="71"/>
        <v>1.0319399999999999</v>
      </c>
      <c r="AN48" s="360">
        <f t="shared" si="72"/>
        <v>3.8059456020006502E-2</v>
      </c>
      <c r="AO48" s="360">
        <f t="shared" si="73"/>
        <v>7.3499999999999998E-4</v>
      </c>
      <c r="AP48" s="360">
        <f t="shared" si="74"/>
        <v>0.34650000000000003</v>
      </c>
      <c r="AQ48" s="360">
        <f t="shared" si="75"/>
        <v>1.3167</v>
      </c>
      <c r="AR48" s="360">
        <f t="shared" si="76"/>
        <v>1.1088</v>
      </c>
      <c r="AS48" s="360">
        <f t="shared" si="48"/>
        <v>0.34723500000000002</v>
      </c>
      <c r="AT48" s="360">
        <f t="shared" si="41"/>
        <v>2.6954594091772992</v>
      </c>
      <c r="AU48">
        <f t="shared" si="77"/>
        <v>39</v>
      </c>
      <c r="AV48" s="542">
        <f t="shared" si="42"/>
        <v>0.93535364647921315</v>
      </c>
      <c r="AW48" s="551">
        <f t="shared" si="78"/>
        <v>74.644363650948307</v>
      </c>
      <c r="AX48" s="551">
        <f t="shared" si="79"/>
        <v>16.007717761192872</v>
      </c>
      <c r="AY48" s="9"/>
      <c r="AZ48" s="4">
        <f t="shared" si="43"/>
        <v>93.535364647921313</v>
      </c>
      <c r="BA48" s="360">
        <f t="shared" si="80"/>
        <v>0.3052635027215494</v>
      </c>
      <c r="BB48" s="360">
        <f t="shared" si="44"/>
        <v>1.9244624035766731</v>
      </c>
      <c r="BC48" s="360">
        <f t="shared" si="45"/>
        <v>1.4928872730189662</v>
      </c>
      <c r="BD48" s="360">
        <f t="shared" si="46"/>
        <v>0.42125573055770715</v>
      </c>
      <c r="BE48" s="360">
        <f t="shared" si="47"/>
        <v>3.8059456020006502E-2</v>
      </c>
    </row>
    <row r="49" spans="1:64" x14ac:dyDescent="0.2">
      <c r="A49" s="23" t="s">
        <v>68</v>
      </c>
      <c r="B49" s="5">
        <f>Rdson4*1000</f>
        <v>2.5</v>
      </c>
      <c r="C49" s="442" t="s">
        <v>466</v>
      </c>
      <c r="D49" s="440" t="s">
        <v>527</v>
      </c>
      <c r="G49">
        <v>40</v>
      </c>
      <c r="H49" s="548">
        <f t="shared" si="0"/>
        <v>21</v>
      </c>
      <c r="I49" s="4">
        <f t="shared" si="49"/>
        <v>1</v>
      </c>
      <c r="J49" s="360">
        <f t="shared" si="81"/>
        <v>2</v>
      </c>
      <c r="K49" s="4">
        <f t="shared" si="50"/>
        <v>2.1164021164021163</v>
      </c>
      <c r="L49" s="4"/>
      <c r="M49" s="360">
        <f t="shared" si="51"/>
        <v>0.95310997953647736</v>
      </c>
      <c r="N49" s="4">
        <f t="shared" si="52"/>
        <v>0.20326823870937011</v>
      </c>
      <c r="O49" s="4">
        <f t="shared" si="35"/>
        <v>2.101634119354685</v>
      </c>
      <c r="P49" s="4">
        <f t="shared" si="36"/>
        <v>1.898365880645315</v>
      </c>
      <c r="Q49" s="4">
        <f t="shared" si="53"/>
        <v>0</v>
      </c>
      <c r="R49" s="4">
        <f t="shared" si="54"/>
        <v>2.0008606060240681</v>
      </c>
      <c r="S49" s="360">
        <f t="shared" si="55"/>
        <v>5.4046482723976519E-3</v>
      </c>
      <c r="T49" s="360">
        <f t="shared" si="56"/>
        <v>0.3</v>
      </c>
      <c r="U49" s="360">
        <f t="shared" si="57"/>
        <v>0.30553675376746992</v>
      </c>
      <c r="V49" s="4">
        <f t="shared" si="37"/>
        <v>5.8678486168277977E-2</v>
      </c>
      <c r="W49" s="360">
        <f t="shared" si="58"/>
        <v>6.8863294780015797E-6</v>
      </c>
      <c r="X49" s="360">
        <f t="shared" si="38"/>
        <v>6.8863294780015797E-6</v>
      </c>
      <c r="Y49" s="4">
        <f t="shared" si="59"/>
        <v>0.42298849327851501</v>
      </c>
      <c r="Z49" s="360">
        <f t="shared" si="12"/>
        <v>1.7891926544602834E-4</v>
      </c>
      <c r="AA49" s="541">
        <f t="shared" si="39"/>
        <v>1.7891926544602834E-4</v>
      </c>
      <c r="AB49" s="360">
        <f t="shared" si="60"/>
        <v>1.9533872203994374</v>
      </c>
      <c r="AC49" s="360">
        <f t="shared" si="61"/>
        <v>2.2894329796919039E-2</v>
      </c>
      <c r="AD49" s="360">
        <f t="shared" si="62"/>
        <v>0.15683293204085041</v>
      </c>
      <c r="AE49" s="360">
        <f t="shared" si="63"/>
        <v>0.63444464999999983</v>
      </c>
      <c r="AF49" s="360">
        <f t="shared" si="64"/>
        <v>0</v>
      </c>
      <c r="AG49" s="360">
        <f t="shared" si="65"/>
        <v>0.81701507374496973</v>
      </c>
      <c r="AH49" s="360">
        <f t="shared" si="66"/>
        <v>0.43326842940509935</v>
      </c>
      <c r="AI49" s="360">
        <f t="shared" si="67"/>
        <v>4.6930382979790391E-4</v>
      </c>
      <c r="AJ49" s="360">
        <f t="shared" si="68"/>
        <v>8.231999999999999E-2</v>
      </c>
      <c r="AK49" s="360">
        <f t="shared" si="69"/>
        <v>8.279707522669788E-2</v>
      </c>
      <c r="AL49" s="360">
        <f t="shared" si="70"/>
        <v>8.231999999999999E-2</v>
      </c>
      <c r="AM49" s="360">
        <f t="shared" si="71"/>
        <v>1.0583999999999998</v>
      </c>
      <c r="AN49" s="360">
        <f t="shared" si="72"/>
        <v>4.0034431647390012E-2</v>
      </c>
      <c r="AO49" s="360">
        <f t="shared" si="73"/>
        <v>7.3499999999999998E-4</v>
      </c>
      <c r="AP49" s="360">
        <f t="shared" si="74"/>
        <v>0.34650000000000003</v>
      </c>
      <c r="AQ49" s="360">
        <f t="shared" si="75"/>
        <v>1.3167</v>
      </c>
      <c r="AR49" s="360">
        <f t="shared" si="76"/>
        <v>1.1088</v>
      </c>
      <c r="AS49" s="360">
        <f t="shared" si="48"/>
        <v>0.34723500000000002</v>
      </c>
      <c r="AT49" s="360">
        <f t="shared" si="41"/>
        <v>2.7335241399814518</v>
      </c>
      <c r="AU49">
        <f t="shared" si="77"/>
        <v>40</v>
      </c>
      <c r="AV49" s="542">
        <f t="shared" si="42"/>
        <v>0.93603326205844162</v>
      </c>
      <c r="AW49" s="551">
        <f t="shared" si="78"/>
        <v>75.777953687248484</v>
      </c>
      <c r="AX49" s="551">
        <f t="shared" si="79"/>
        <v>16.418624858614518</v>
      </c>
      <c r="AY49" s="9"/>
      <c r="AZ49" s="4">
        <f t="shared" si="43"/>
        <v>93.603326205844155</v>
      </c>
      <c r="BA49" s="360">
        <f t="shared" si="80"/>
        <v>0.30553675376746992</v>
      </c>
      <c r="BB49" s="360">
        <f t="shared" si="44"/>
        <v>1.9582121489716675</v>
      </c>
      <c r="BC49" s="360">
        <f t="shared" si="45"/>
        <v>1.5155590737449698</v>
      </c>
      <c r="BD49" s="360">
        <f t="shared" si="46"/>
        <v>0.43206907522669785</v>
      </c>
      <c r="BE49" s="360">
        <f t="shared" si="47"/>
        <v>4.0034431647390012E-2</v>
      </c>
    </row>
    <row r="50" spans="1:64" x14ac:dyDescent="0.2">
      <c r="A50" s="23" t="s">
        <v>80</v>
      </c>
      <c r="B50" s="5">
        <f>RdsonBotTc*1000000</f>
        <v>4000</v>
      </c>
      <c r="C50" s="440" t="s">
        <v>81</v>
      </c>
      <c r="D50" s="21" t="s">
        <v>104</v>
      </c>
      <c r="G50">
        <v>41</v>
      </c>
      <c r="H50" s="548">
        <f t="shared" si="0"/>
        <v>21</v>
      </c>
      <c r="I50" s="4">
        <f t="shared" si="49"/>
        <v>1</v>
      </c>
      <c r="J50" s="360">
        <f t="shared" si="81"/>
        <v>2.0499999999999998</v>
      </c>
      <c r="K50" s="4">
        <f t="shared" si="50"/>
        <v>2.1693121693121689</v>
      </c>
      <c r="L50" s="4"/>
      <c r="M50" s="360">
        <f t="shared" si="51"/>
        <v>0.95312819365807178</v>
      </c>
      <c r="N50" s="4">
        <f t="shared" si="52"/>
        <v>0.20319630619050394</v>
      </c>
      <c r="O50" s="4">
        <f t="shared" si="35"/>
        <v>2.1515981530952519</v>
      </c>
      <c r="P50" s="4">
        <f t="shared" si="36"/>
        <v>1.9484018469047479</v>
      </c>
      <c r="Q50" s="4">
        <f t="shared" si="53"/>
        <v>0</v>
      </c>
      <c r="R50" s="4">
        <f t="shared" si="54"/>
        <v>2.0508390303086821</v>
      </c>
      <c r="S50" s="360">
        <f t="shared" si="55"/>
        <v>5.6780199831205653E-3</v>
      </c>
      <c r="T50" s="360">
        <f t="shared" si="56"/>
        <v>0.3</v>
      </c>
      <c r="U50" s="360">
        <f t="shared" si="57"/>
        <v>0.30581693475645844</v>
      </c>
      <c r="V50" s="4">
        <f t="shared" si="37"/>
        <v>5.8657721038712536E-2</v>
      </c>
      <c r="W50" s="360">
        <f t="shared" si="58"/>
        <v>6.8814564749108386E-6</v>
      </c>
      <c r="X50" s="360">
        <f t="shared" si="38"/>
        <v>6.8814564749108386E-6</v>
      </c>
      <c r="Y50" s="4">
        <f t="shared" si="59"/>
        <v>0.43347402408366387</v>
      </c>
      <c r="Z50" s="360">
        <f t="shared" si="12"/>
        <v>1.8789972955528481E-4</v>
      </c>
      <c r="AA50" s="541">
        <f t="shared" si="39"/>
        <v>1.8789972955528481E-4</v>
      </c>
      <c r="AB50" s="360">
        <f t="shared" si="60"/>
        <v>2.0021989633744899</v>
      </c>
      <c r="AC50" s="360">
        <f t="shared" si="61"/>
        <v>2.405280413362729E-2</v>
      </c>
      <c r="AD50" s="360">
        <f t="shared" si="62"/>
        <v>0.16075375534187167</v>
      </c>
      <c r="AE50" s="360">
        <f t="shared" si="63"/>
        <v>0.63444464999999983</v>
      </c>
      <c r="AF50" s="360">
        <f t="shared" si="64"/>
        <v>0</v>
      </c>
      <c r="AG50" s="360">
        <f t="shared" si="65"/>
        <v>0.82225740411135306</v>
      </c>
      <c r="AH50" s="360">
        <f t="shared" si="66"/>
        <v>0.44400454873748152</v>
      </c>
      <c r="AI50" s="360">
        <f t="shared" si="67"/>
        <v>4.9285009824893652E-4</v>
      </c>
      <c r="AJ50" s="360">
        <f t="shared" si="68"/>
        <v>8.4377999999999981E-2</v>
      </c>
      <c r="AK50" s="360">
        <f t="shared" si="69"/>
        <v>8.4879216644301411E-2</v>
      </c>
      <c r="AL50" s="360">
        <f t="shared" si="70"/>
        <v>8.4377999999999981E-2</v>
      </c>
      <c r="AM50" s="360">
        <f t="shared" si="71"/>
        <v>1.0848599999999997</v>
      </c>
      <c r="AN50" s="360">
        <f t="shared" si="72"/>
        <v>4.2059407282374554E-2</v>
      </c>
      <c r="AO50" s="360">
        <f t="shared" si="73"/>
        <v>7.3499999999999998E-4</v>
      </c>
      <c r="AP50" s="360">
        <f t="shared" si="74"/>
        <v>0.34650000000000003</v>
      </c>
      <c r="AQ50" s="360">
        <f t="shared" si="75"/>
        <v>1.3167</v>
      </c>
      <c r="AR50" s="360">
        <f t="shared" si="76"/>
        <v>1.1088</v>
      </c>
      <c r="AS50" s="360">
        <f t="shared" si="48"/>
        <v>0.34723500000000002</v>
      </c>
      <c r="AT50" s="360">
        <f t="shared" si="41"/>
        <v>2.7716807439805171</v>
      </c>
      <c r="AU50">
        <f t="shared" si="77"/>
        <v>41</v>
      </c>
      <c r="AV50" s="542">
        <f t="shared" si="42"/>
        <v>0.93667867678666461</v>
      </c>
      <c r="AW50" s="551">
        <f t="shared" si="78"/>
        <v>76.91325020556765</v>
      </c>
      <c r="AX50" s="551">
        <f t="shared" si="79"/>
        <v>16.82955463248345</v>
      </c>
      <c r="AY50" s="9"/>
      <c r="AZ50" s="4">
        <f t="shared" si="43"/>
        <v>93.667867678666454</v>
      </c>
      <c r="BA50" s="360">
        <f t="shared" si="80"/>
        <v>0.30581693475645844</v>
      </c>
      <c r="BB50" s="360">
        <f t="shared" si="44"/>
        <v>1.9919966207556543</v>
      </c>
      <c r="BC50" s="360">
        <f t="shared" si="45"/>
        <v>1.538265004111353</v>
      </c>
      <c r="BD50" s="360">
        <f t="shared" si="46"/>
        <v>0.44288301664430135</v>
      </c>
      <c r="BE50" s="360">
        <f t="shared" si="47"/>
        <v>4.2059407282374554E-2</v>
      </c>
    </row>
    <row r="51" spans="1:64" x14ac:dyDescent="0.2">
      <c r="A51" s="23" t="s">
        <v>67</v>
      </c>
      <c r="B51" s="5">
        <f>Qg_Q4*1000000000</f>
        <v>25</v>
      </c>
      <c r="C51" s="440" t="s">
        <v>65</v>
      </c>
      <c r="D51" s="21" t="s">
        <v>99</v>
      </c>
      <c r="G51">
        <v>42</v>
      </c>
      <c r="H51" s="548">
        <f t="shared" si="0"/>
        <v>21</v>
      </c>
      <c r="I51" s="4">
        <f t="shared" si="49"/>
        <v>1</v>
      </c>
      <c r="J51" s="360">
        <f t="shared" si="81"/>
        <v>2.1</v>
      </c>
      <c r="K51" s="4">
        <f t="shared" si="50"/>
        <v>2.2222222222222219</v>
      </c>
      <c r="L51" s="4"/>
      <c r="M51" s="360">
        <f t="shared" si="51"/>
        <v>0.95314640721626176</v>
      </c>
      <c r="N51" s="4">
        <f t="shared" si="52"/>
        <v>0.20312437065386985</v>
      </c>
      <c r="O51" s="4">
        <f t="shared" si="35"/>
        <v>2.2015621853269352</v>
      </c>
      <c r="P51" s="4">
        <f t="shared" si="36"/>
        <v>1.9984378146730652</v>
      </c>
      <c r="Q51" s="4">
        <f t="shared" si="53"/>
        <v>0</v>
      </c>
      <c r="R51" s="4">
        <f t="shared" si="54"/>
        <v>2.1008184815676314</v>
      </c>
      <c r="S51" s="360">
        <f t="shared" si="55"/>
        <v>5.9581416948697738E-3</v>
      </c>
      <c r="T51" s="360">
        <f t="shared" si="56"/>
        <v>0.3</v>
      </c>
      <c r="U51" s="360">
        <f t="shared" si="57"/>
        <v>0.30610404659750989</v>
      </c>
      <c r="V51" s="4">
        <f t="shared" si="37"/>
        <v>5.8636955037992544E-2</v>
      </c>
      <c r="W51" s="360">
        <f t="shared" si="58"/>
        <v>6.876584992255118E-6</v>
      </c>
      <c r="X51" s="360">
        <f t="shared" si="38"/>
        <v>6.876584992255118E-6</v>
      </c>
      <c r="Y51" s="4">
        <f t="shared" si="59"/>
        <v>0.44395585333278609</v>
      </c>
      <c r="Z51" s="360">
        <f t="shared" si="12"/>
        <v>1.9709679970844227E-4</v>
      </c>
      <c r="AA51" s="541">
        <f t="shared" si="39"/>
        <v>1.9709679970844227E-4</v>
      </c>
      <c r="AB51" s="360">
        <f t="shared" si="60"/>
        <v>2.0510126406152054</v>
      </c>
      <c r="AC51" s="360">
        <f t="shared" si="61"/>
        <v>2.5239917111780148E-2</v>
      </c>
      <c r="AD51" s="360">
        <f t="shared" si="62"/>
        <v>0.16467457864289292</v>
      </c>
      <c r="AE51" s="360">
        <f t="shared" si="63"/>
        <v>0.63444464999999983</v>
      </c>
      <c r="AF51" s="360">
        <f t="shared" si="64"/>
        <v>0</v>
      </c>
      <c r="AG51" s="360">
        <f t="shared" si="65"/>
        <v>0.82753395278775599</v>
      </c>
      <c r="AH51" s="360">
        <f t="shared" si="66"/>
        <v>0.4547366716384007</v>
      </c>
      <c r="AI51" s="360">
        <f t="shared" si="67"/>
        <v>5.1696360133192659E-4</v>
      </c>
      <c r="AJ51" s="360">
        <f t="shared" si="68"/>
        <v>8.6435999999999999E-2</v>
      </c>
      <c r="AK51" s="360">
        <f t="shared" si="69"/>
        <v>8.6961954834401931E-2</v>
      </c>
      <c r="AL51" s="360">
        <f t="shared" si="70"/>
        <v>8.6435999999999999E-2</v>
      </c>
      <c r="AM51" s="360">
        <f t="shared" si="71"/>
        <v>1.1113199999999999</v>
      </c>
      <c r="AN51" s="360">
        <f t="shared" si="72"/>
        <v>4.4134382924961288E-2</v>
      </c>
      <c r="AO51" s="360">
        <f t="shared" si="73"/>
        <v>7.3499999999999998E-4</v>
      </c>
      <c r="AP51" s="360">
        <f t="shared" si="74"/>
        <v>0.34650000000000003</v>
      </c>
      <c r="AQ51" s="360">
        <f t="shared" si="75"/>
        <v>1.3167</v>
      </c>
      <c r="AR51" s="360">
        <f t="shared" si="76"/>
        <v>1.1088</v>
      </c>
      <c r="AS51" s="360">
        <f t="shared" si="48"/>
        <v>0.34723500000000002</v>
      </c>
      <c r="AT51" s="360">
        <f t="shared" si="41"/>
        <v>2.8099293105293297</v>
      </c>
      <c r="AU51">
        <f t="shared" si="77"/>
        <v>42</v>
      </c>
      <c r="AV51" s="542">
        <f t="shared" si="42"/>
        <v>0.9372922619213091</v>
      </c>
      <c r="AW51" s="551">
        <f t="shared" si="78"/>
        <v>78.050257639387794</v>
      </c>
      <c r="AX51" s="551">
        <f t="shared" si="79"/>
        <v>17.240507083707275</v>
      </c>
      <c r="AY51" s="9"/>
      <c r="AZ51" s="4">
        <f t="shared" si="43"/>
        <v>93.729226192130909</v>
      </c>
      <c r="BA51" s="360">
        <f t="shared" si="80"/>
        <v>0.30610404659750989</v>
      </c>
      <c r="BB51" s="360">
        <f t="shared" si="44"/>
        <v>2.0258159076221576</v>
      </c>
      <c r="BC51" s="360">
        <f t="shared" si="45"/>
        <v>1.561005152787756</v>
      </c>
      <c r="BD51" s="360">
        <f t="shared" si="46"/>
        <v>0.45369755483440194</v>
      </c>
      <c r="BE51" s="360">
        <f t="shared" si="47"/>
        <v>4.4134382924961288E-2</v>
      </c>
    </row>
    <row r="52" spans="1:64" x14ac:dyDescent="0.2">
      <c r="A52" s="23" t="s">
        <v>91</v>
      </c>
      <c r="B52" s="5">
        <f>Rgate4</f>
        <v>0.5</v>
      </c>
      <c r="C52" s="444" t="s">
        <v>116</v>
      </c>
      <c r="D52" s="21" t="s">
        <v>100</v>
      </c>
      <c r="G52">
        <v>43</v>
      </c>
      <c r="H52" s="548">
        <f t="shared" si="0"/>
        <v>21</v>
      </c>
      <c r="I52" s="4">
        <f t="shared" si="49"/>
        <v>1</v>
      </c>
      <c r="J52" s="360">
        <f t="shared" si="81"/>
        <v>2.15</v>
      </c>
      <c r="K52" s="4">
        <f t="shared" si="50"/>
        <v>2.2751322751322749</v>
      </c>
      <c r="L52" s="4"/>
      <c r="M52" s="360">
        <f t="shared" si="51"/>
        <v>0.95316462021107395</v>
      </c>
      <c r="N52" s="4">
        <f t="shared" si="52"/>
        <v>0.20305243209960799</v>
      </c>
      <c r="O52" s="4">
        <f t="shared" si="35"/>
        <v>2.251526216049804</v>
      </c>
      <c r="P52" s="4">
        <f t="shared" si="36"/>
        <v>2.0484737839501959</v>
      </c>
      <c r="Q52" s="4">
        <f t="shared" si="53"/>
        <v>0</v>
      </c>
      <c r="R52" s="4">
        <f t="shared" si="54"/>
        <v>2.150798888207619</v>
      </c>
      <c r="S52" s="360">
        <f t="shared" si="55"/>
        <v>6.2450134076454259E-3</v>
      </c>
      <c r="T52" s="360">
        <f t="shared" si="56"/>
        <v>0.3</v>
      </c>
      <c r="U52" s="360">
        <f t="shared" si="57"/>
        <v>0.30639809022216657</v>
      </c>
      <c r="V52" s="4">
        <f t="shared" si="37"/>
        <v>5.8616188166158448E-2</v>
      </c>
      <c r="W52" s="360">
        <f t="shared" si="58"/>
        <v>6.8717150302609873E-6</v>
      </c>
      <c r="X52" s="360">
        <f t="shared" si="38"/>
        <v>6.8717150302609873E-6</v>
      </c>
      <c r="Y52" s="4">
        <f t="shared" si="59"/>
        <v>0.45443396463423025</v>
      </c>
      <c r="Z52" s="360">
        <f t="shared" si="12"/>
        <v>2.0651022821318481E-4</v>
      </c>
      <c r="AA52" s="541">
        <f t="shared" si="39"/>
        <v>2.0651022821318481E-4</v>
      </c>
      <c r="AB52" s="360">
        <f t="shared" si="60"/>
        <v>2.0998281821971045</v>
      </c>
      <c r="AC52" s="360">
        <f t="shared" si="61"/>
        <v>2.6455670368495179E-2</v>
      </c>
      <c r="AD52" s="360">
        <f t="shared" si="62"/>
        <v>0.16859540194391417</v>
      </c>
      <c r="AE52" s="360">
        <f t="shared" si="63"/>
        <v>0.63444464999999983</v>
      </c>
      <c r="AF52" s="360">
        <f t="shared" si="64"/>
        <v>0</v>
      </c>
      <c r="AG52" s="360">
        <f t="shared" si="65"/>
        <v>0.83284480940977956</v>
      </c>
      <c r="AH52" s="360">
        <f t="shared" si="66"/>
        <v>0.46546478144531234</v>
      </c>
      <c r="AI52" s="360">
        <f t="shared" si="67"/>
        <v>5.4164365691483098E-4</v>
      </c>
      <c r="AJ52" s="360">
        <f t="shared" si="68"/>
        <v>8.8493999999999989E-2</v>
      </c>
      <c r="AK52" s="360">
        <f t="shared" si="69"/>
        <v>8.9045289820196674E-2</v>
      </c>
      <c r="AL52" s="360">
        <f t="shared" si="70"/>
        <v>8.8493999999999989E-2</v>
      </c>
      <c r="AM52" s="360">
        <f t="shared" si="71"/>
        <v>1.1377799999999998</v>
      </c>
      <c r="AN52" s="360">
        <f t="shared" si="72"/>
        <v>4.6259358575151302E-2</v>
      </c>
      <c r="AO52" s="360">
        <f t="shared" si="73"/>
        <v>7.3499999999999998E-4</v>
      </c>
      <c r="AP52" s="360">
        <f t="shared" si="74"/>
        <v>0.34650000000000003</v>
      </c>
      <c r="AQ52" s="360">
        <f t="shared" si="75"/>
        <v>1.3167</v>
      </c>
      <c r="AR52" s="360">
        <f t="shared" si="76"/>
        <v>1.1088</v>
      </c>
      <c r="AS52" s="360">
        <f t="shared" si="48"/>
        <v>0.34723500000000002</v>
      </c>
      <c r="AT52" s="360">
        <f t="shared" si="41"/>
        <v>2.8482699299705376</v>
      </c>
      <c r="AU52">
        <f t="shared" si="77"/>
        <v>43</v>
      </c>
      <c r="AV52" s="542">
        <f t="shared" si="42"/>
        <v>0.93787617429575787</v>
      </c>
      <c r="AW52" s="551">
        <f t="shared" si="78"/>
        <v>79.188980470488971</v>
      </c>
      <c r="AX52" s="551">
        <f t="shared" si="79"/>
        <v>17.651482213167473</v>
      </c>
      <c r="AY52" s="9"/>
      <c r="AZ52" s="4">
        <f t="shared" si="43"/>
        <v>93.787617429575789</v>
      </c>
      <c r="BA52" s="360">
        <f t="shared" si="80"/>
        <v>0.30639809022216657</v>
      </c>
      <c r="BB52" s="360">
        <f t="shared" si="44"/>
        <v>2.0596700992299759</v>
      </c>
      <c r="BC52" s="360">
        <f t="shared" si="45"/>
        <v>1.5837796094097794</v>
      </c>
      <c r="BD52" s="360">
        <f t="shared" si="46"/>
        <v>0.46451268982019661</v>
      </c>
      <c r="BE52" s="360">
        <f t="shared" si="47"/>
        <v>4.6259358575151302E-2</v>
      </c>
    </row>
    <row r="53" spans="1:64" x14ac:dyDescent="0.2">
      <c r="A53" s="23" t="s">
        <v>72</v>
      </c>
      <c r="B53" s="5">
        <f>Vsd_Q4</f>
        <v>0.7</v>
      </c>
      <c r="C53" s="440" t="s">
        <v>0</v>
      </c>
      <c r="D53" s="21" t="s">
        <v>105</v>
      </c>
      <c r="G53">
        <v>44</v>
      </c>
      <c r="H53" s="548">
        <f t="shared" si="0"/>
        <v>21</v>
      </c>
      <c r="I53" s="4">
        <f t="shared" si="49"/>
        <v>1</v>
      </c>
      <c r="J53" s="360">
        <f t="shared" si="81"/>
        <v>2.2000000000000002</v>
      </c>
      <c r="K53" s="4">
        <f t="shared" si="50"/>
        <v>2.3280423280423279</v>
      </c>
      <c r="L53" s="4"/>
      <c r="M53" s="360">
        <f t="shared" si="51"/>
        <v>0.95318283264253401</v>
      </c>
      <c r="N53" s="4">
        <f t="shared" si="52"/>
        <v>0.20298049052785827</v>
      </c>
      <c r="O53" s="4">
        <f t="shared" si="35"/>
        <v>2.3014902452639294</v>
      </c>
      <c r="P53" s="4">
        <f t="shared" si="36"/>
        <v>2.0985097547360709</v>
      </c>
      <c r="Q53" s="4">
        <f t="shared" si="53"/>
        <v>0</v>
      </c>
      <c r="R53" s="4">
        <f t="shared" si="54"/>
        <v>2.2007801851376656</v>
      </c>
      <c r="S53" s="360">
        <f t="shared" si="55"/>
        <v>6.5386351214476793E-3</v>
      </c>
      <c r="T53" s="360">
        <f t="shared" si="56"/>
        <v>0.3</v>
      </c>
      <c r="U53" s="360">
        <f t="shared" si="57"/>
        <v>0.30669906658452645</v>
      </c>
      <c r="V53" s="4">
        <f t="shared" si="37"/>
        <v>5.8595420423250631E-2</v>
      </c>
      <c r="W53" s="360">
        <f t="shared" si="58"/>
        <v>6.8668465891549939E-6</v>
      </c>
      <c r="X53" s="360">
        <f t="shared" si="38"/>
        <v>6.8668465891549939E-6</v>
      </c>
      <c r="Y53" s="4">
        <f t="shared" si="59"/>
        <v>0.46490834298025557</v>
      </c>
      <c r="Z53" s="360">
        <f t="shared" si="12"/>
        <v>2.1613976737264696E-4</v>
      </c>
      <c r="AA53" s="541">
        <f t="shared" si="39"/>
        <v>2.1613976737264696E-4</v>
      </c>
      <c r="AB53" s="360">
        <f t="shared" si="60"/>
        <v>2.1486455245413216</v>
      </c>
      <c r="AC53" s="360">
        <f t="shared" si="61"/>
        <v>2.7700065540788708E-2</v>
      </c>
      <c r="AD53" s="360">
        <f t="shared" si="62"/>
        <v>0.17251622524493546</v>
      </c>
      <c r="AE53" s="360">
        <f t="shared" si="63"/>
        <v>0.63444464999999983</v>
      </c>
      <c r="AF53" s="360">
        <f t="shared" si="64"/>
        <v>0</v>
      </c>
      <c r="AG53" s="360">
        <f t="shared" si="65"/>
        <v>0.83819006458386491</v>
      </c>
      <c r="AH53" s="360">
        <f t="shared" si="66"/>
        <v>0.47618886291378831</v>
      </c>
      <c r="AI53" s="360">
        <f t="shared" si="67"/>
        <v>5.6688958290781663E-4</v>
      </c>
      <c r="AJ53" s="360">
        <f t="shared" si="68"/>
        <v>9.0551999999999994E-2</v>
      </c>
      <c r="AK53" s="360">
        <f t="shared" si="69"/>
        <v>9.1129221624195275E-2</v>
      </c>
      <c r="AL53" s="360">
        <f t="shared" si="70"/>
        <v>9.0551999999999994E-2</v>
      </c>
      <c r="AM53" s="360">
        <f t="shared" si="71"/>
        <v>1.1642399999999999</v>
      </c>
      <c r="AN53" s="360">
        <f t="shared" si="72"/>
        <v>4.8434334232945776E-2</v>
      </c>
      <c r="AO53" s="360">
        <f t="shared" si="73"/>
        <v>7.3499999999999998E-4</v>
      </c>
      <c r="AP53" s="360">
        <f t="shared" si="74"/>
        <v>0.34650000000000003</v>
      </c>
      <c r="AQ53" s="360">
        <f t="shared" si="75"/>
        <v>1.3167</v>
      </c>
      <c r="AR53" s="360">
        <f t="shared" si="76"/>
        <v>1.1088</v>
      </c>
      <c r="AS53" s="360">
        <f t="shared" si="48"/>
        <v>0.34723500000000002</v>
      </c>
      <c r="AT53" s="360">
        <f t="shared" si="41"/>
        <v>2.8867026936394939</v>
      </c>
      <c r="AU53">
        <f t="shared" si="77"/>
        <v>44</v>
      </c>
      <c r="AV53" s="542">
        <f t="shared" si="42"/>
        <v>0.93843238001824569</v>
      </c>
      <c r="AW53" s="551">
        <f t="shared" si="78"/>
        <v>80.329423229193253</v>
      </c>
      <c r="AX53" s="551">
        <f t="shared" si="79"/>
        <v>18.062480021719423</v>
      </c>
      <c r="AY53" s="9"/>
      <c r="AZ53" s="4">
        <f t="shared" si="43"/>
        <v>93.843238001824574</v>
      </c>
      <c r="BA53" s="360">
        <f t="shared" si="80"/>
        <v>0.30669906658452645</v>
      </c>
      <c r="BB53" s="360">
        <f t="shared" si="44"/>
        <v>2.0935592862080599</v>
      </c>
      <c r="BC53" s="360">
        <f t="shared" si="45"/>
        <v>1.6065884645838651</v>
      </c>
      <c r="BD53" s="360">
        <f t="shared" si="46"/>
        <v>0.47532842162419531</v>
      </c>
      <c r="BE53" s="360">
        <f t="shared" si="47"/>
        <v>4.8434334232945776E-2</v>
      </c>
    </row>
    <row r="54" spans="1:64" x14ac:dyDescent="0.2">
      <c r="A54" s="23" t="s">
        <v>73</v>
      </c>
      <c r="B54" s="5">
        <f>Qrr_Q4*1000000000</f>
        <v>59.999999999999993</v>
      </c>
      <c r="C54" s="440" t="s">
        <v>65</v>
      </c>
      <c r="D54" s="21" t="s">
        <v>110</v>
      </c>
      <c r="G54">
        <v>45</v>
      </c>
      <c r="H54" s="548">
        <f t="shared" si="0"/>
        <v>21</v>
      </c>
      <c r="I54" s="4">
        <f t="shared" si="49"/>
        <v>1</v>
      </c>
      <c r="J54" s="360">
        <f t="shared" si="81"/>
        <v>2.25</v>
      </c>
      <c r="K54" s="4">
        <f t="shared" si="50"/>
        <v>2.3809523809523805</v>
      </c>
      <c r="L54" s="4"/>
      <c r="M54" s="360">
        <f t="shared" si="51"/>
        <v>0.95320104451066823</v>
      </c>
      <c r="N54" s="4">
        <f t="shared" si="52"/>
        <v>0.20290854593876076</v>
      </c>
      <c r="O54" s="4">
        <f t="shared" si="35"/>
        <v>2.3514542729693804</v>
      </c>
      <c r="P54" s="4">
        <f t="shared" si="36"/>
        <v>2.1485457270306196</v>
      </c>
      <c r="Q54" s="4">
        <f t="shared" si="53"/>
        <v>0</v>
      </c>
      <c r="R54" s="4">
        <f t="shared" si="54"/>
        <v>2.2507623130474221</v>
      </c>
      <c r="S54" s="360">
        <f t="shared" si="55"/>
        <v>6.8390068362766858E-3</v>
      </c>
      <c r="T54" s="360">
        <f t="shared" si="56"/>
        <v>0.3</v>
      </c>
      <c r="U54" s="360">
        <f t="shared" si="57"/>
        <v>0.30700697666125032</v>
      </c>
      <c r="V54" s="4">
        <f t="shared" si="37"/>
        <v>5.8574651809309541E-2</v>
      </c>
      <c r="W54" s="360">
        <f t="shared" si="58"/>
        <v>6.8619796691636997E-6</v>
      </c>
      <c r="X54" s="360">
        <f t="shared" si="38"/>
        <v>6.8619796691636997E-6</v>
      </c>
      <c r="Y54" s="4">
        <f t="shared" si="59"/>
        <v>0.47537897459333195</v>
      </c>
      <c r="Z54" s="360">
        <f t="shared" si="12"/>
        <v>2.2598516948540775E-4</v>
      </c>
      <c r="AA54" s="541">
        <f t="shared" si="39"/>
        <v>2.2598516948540775E-4</v>
      </c>
      <c r="AB54" s="360">
        <f t="shared" si="60"/>
        <v>2.1974646097103103</v>
      </c>
      <c r="AC54" s="360">
        <f t="shared" si="61"/>
        <v>2.8973104265575717E-2</v>
      </c>
      <c r="AD54" s="360">
        <f t="shared" si="62"/>
        <v>0.17643704854595671</v>
      </c>
      <c r="AE54" s="360">
        <f t="shared" si="63"/>
        <v>0.63444464999999983</v>
      </c>
      <c r="AF54" s="360">
        <f t="shared" si="64"/>
        <v>0</v>
      </c>
      <c r="AG54" s="360">
        <f t="shared" si="65"/>
        <v>0.84356980989224195</v>
      </c>
      <c r="AH54" s="360">
        <f t="shared" si="66"/>
        <v>0.48690890206002091</v>
      </c>
      <c r="AI54" s="360">
        <f t="shared" si="67"/>
        <v>5.9270069726323764E-4</v>
      </c>
      <c r="AJ54" s="360">
        <f t="shared" si="68"/>
        <v>9.2609999999999984E-2</v>
      </c>
      <c r="AK54" s="360">
        <f t="shared" si="69"/>
        <v>9.3213750268218917E-2</v>
      </c>
      <c r="AL54" s="360">
        <f t="shared" si="70"/>
        <v>9.2609999999999984E-2</v>
      </c>
      <c r="AM54" s="360">
        <f t="shared" si="71"/>
        <v>1.1906999999999999</v>
      </c>
      <c r="AN54" s="360">
        <f t="shared" si="72"/>
        <v>5.0659309898345821E-2</v>
      </c>
      <c r="AO54" s="360">
        <f t="shared" si="73"/>
        <v>7.3499999999999998E-4</v>
      </c>
      <c r="AP54" s="360">
        <f t="shared" si="74"/>
        <v>0.34650000000000003</v>
      </c>
      <c r="AQ54" s="360">
        <f t="shared" si="75"/>
        <v>1.3167</v>
      </c>
      <c r="AR54" s="360">
        <f t="shared" si="76"/>
        <v>1.1088</v>
      </c>
      <c r="AS54" s="360">
        <f t="shared" si="48"/>
        <v>0.34723500000000002</v>
      </c>
      <c r="AT54" s="360">
        <f t="shared" si="41"/>
        <v>2.925227693869211</v>
      </c>
      <c r="AU54">
        <f t="shared" si="77"/>
        <v>45</v>
      </c>
      <c r="AV54" s="542">
        <f t="shared" si="42"/>
        <v>0.93896267509557563</v>
      </c>
      <c r="AW54" s="551">
        <f t="shared" si="78"/>
        <v>81.471590494612101</v>
      </c>
      <c r="AX54" s="551">
        <f t="shared" si="79"/>
        <v>18.47350051019232</v>
      </c>
      <c r="AY54" s="9"/>
      <c r="AZ54" s="4">
        <f t="shared" si="43"/>
        <v>93.896267509557561</v>
      </c>
      <c r="BA54" s="360">
        <f t="shared" si="80"/>
        <v>0.30700697666125032</v>
      </c>
      <c r="BB54" s="360">
        <f t="shared" si="44"/>
        <v>2.1274835601604609</v>
      </c>
      <c r="BC54" s="360">
        <f t="shared" si="45"/>
        <v>1.629431809892242</v>
      </c>
      <c r="BD54" s="360">
        <f t="shared" si="46"/>
        <v>0.48614475026821891</v>
      </c>
      <c r="BE54" s="360">
        <f t="shared" si="47"/>
        <v>5.0659309898345821E-2</v>
      </c>
    </row>
    <row r="55" spans="1:64" x14ac:dyDescent="0.2">
      <c r="A55" s="23" t="s">
        <v>74</v>
      </c>
      <c r="B55" s="5">
        <f>Trr_Q4*1000000000</f>
        <v>40</v>
      </c>
      <c r="C55" s="440" t="s">
        <v>75</v>
      </c>
      <c r="D55" s="76" t="s">
        <v>106</v>
      </c>
      <c r="G55">
        <v>46</v>
      </c>
      <c r="H55" s="548">
        <f t="shared" si="0"/>
        <v>21</v>
      </c>
      <c r="I55" s="4">
        <f t="shared" si="49"/>
        <v>1</v>
      </c>
      <c r="J55" s="360">
        <f t="shared" si="81"/>
        <v>2.2999999999999998</v>
      </c>
      <c r="K55" s="4">
        <f t="shared" si="50"/>
        <v>2.4338624338624335</v>
      </c>
      <c r="L55" s="4"/>
      <c r="M55" s="360">
        <f t="shared" si="51"/>
        <v>0.95321925581550282</v>
      </c>
      <c r="N55" s="4">
        <f t="shared" si="52"/>
        <v>0.20283659833245465</v>
      </c>
      <c r="O55" s="4">
        <f t="shared" si="35"/>
        <v>2.401418299166227</v>
      </c>
      <c r="P55" s="4">
        <f t="shared" si="36"/>
        <v>2.1985817008337727</v>
      </c>
      <c r="Q55" s="4">
        <f t="shared" si="53"/>
        <v>0</v>
      </c>
      <c r="R55" s="4">
        <f t="shared" si="54"/>
        <v>2.3007452177795038</v>
      </c>
      <c r="S55" s="360">
        <f t="shared" si="55"/>
        <v>7.1461285521325964E-3</v>
      </c>
      <c r="T55" s="360">
        <f t="shared" si="56"/>
        <v>0.3</v>
      </c>
      <c r="U55" s="360">
        <f t="shared" si="57"/>
        <v>0.30732182145157005</v>
      </c>
      <c r="V55" s="4">
        <f t="shared" si="37"/>
        <v>5.8553882324375348E-2</v>
      </c>
      <c r="W55" s="360">
        <f t="shared" si="58"/>
        <v>6.8571142705135919E-6</v>
      </c>
      <c r="X55" s="360">
        <f t="shared" si="38"/>
        <v>6.8571142705135919E-6</v>
      </c>
      <c r="Y55" s="4">
        <f t="shared" si="59"/>
        <v>0.48584584679247478</v>
      </c>
      <c r="Z55" s="360">
        <f t="shared" si="12"/>
        <v>2.360461868454969E-4</v>
      </c>
      <c r="AA55" s="541">
        <f t="shared" si="39"/>
        <v>2.360461868454969E-4</v>
      </c>
      <c r="AB55" s="360">
        <f t="shared" si="60"/>
        <v>2.246285384795307</v>
      </c>
      <c r="AC55" s="360">
        <f t="shared" si="61"/>
        <v>3.0274788179670005E-2</v>
      </c>
      <c r="AD55" s="360">
        <f t="shared" si="62"/>
        <v>0.18035787184697796</v>
      </c>
      <c r="AE55" s="360">
        <f t="shared" si="63"/>
        <v>0.63444464999999983</v>
      </c>
      <c r="AF55" s="360">
        <f t="shared" si="64"/>
        <v>0</v>
      </c>
      <c r="AG55" s="360">
        <f t="shared" si="65"/>
        <v>0.84898413789794724</v>
      </c>
      <c r="AH55" s="360">
        <f t="shared" si="66"/>
        <v>0.49762488602385679</v>
      </c>
      <c r="AI55" s="360">
        <f t="shared" si="67"/>
        <v>6.1907631797564113E-4</v>
      </c>
      <c r="AJ55" s="360">
        <f t="shared" si="68"/>
        <v>9.4667999999999988E-2</v>
      </c>
      <c r="AK55" s="360">
        <f t="shared" si="69"/>
        <v>9.5298875773399835E-2</v>
      </c>
      <c r="AL55" s="360">
        <f t="shared" si="70"/>
        <v>9.4667999999999988E-2</v>
      </c>
      <c r="AM55" s="360">
        <f t="shared" si="71"/>
        <v>1.2171599999999996</v>
      </c>
      <c r="AN55" s="360">
        <f t="shared" si="72"/>
        <v>5.2934285571352567E-2</v>
      </c>
      <c r="AO55" s="360">
        <f t="shared" si="73"/>
        <v>7.3499999999999998E-4</v>
      </c>
      <c r="AP55" s="360">
        <f t="shared" si="74"/>
        <v>0.34650000000000003</v>
      </c>
      <c r="AQ55" s="360">
        <f t="shared" si="75"/>
        <v>1.3167</v>
      </c>
      <c r="AR55" s="360">
        <f t="shared" si="76"/>
        <v>1.1088</v>
      </c>
      <c r="AS55" s="360">
        <f t="shared" si="48"/>
        <v>0.34723500000000002</v>
      </c>
      <c r="AT55" s="360">
        <f t="shared" si="41"/>
        <v>2.9638450239953853</v>
      </c>
      <c r="AU55">
        <f t="shared" si="77"/>
        <v>46</v>
      </c>
      <c r="AV55" s="542">
        <f t="shared" si="42"/>
        <v>0.93946870343734423</v>
      </c>
      <c r="AW55" s="551">
        <f t="shared" si="78"/>
        <v>82.615486894897344</v>
      </c>
      <c r="AX55" s="551">
        <f t="shared" si="79"/>
        <v>18.884543679389189</v>
      </c>
      <c r="AY55" s="9"/>
      <c r="AZ55" s="4">
        <f t="shared" si="43"/>
        <v>93.946870343734417</v>
      </c>
      <c r="BA55" s="360">
        <f t="shared" si="80"/>
        <v>0.30732182145157005</v>
      </c>
      <c r="BB55" s="360">
        <f t="shared" si="44"/>
        <v>2.1614430136713465</v>
      </c>
      <c r="BC55" s="360">
        <f t="shared" si="45"/>
        <v>1.652309737897947</v>
      </c>
      <c r="BD55" s="360">
        <f t="shared" si="46"/>
        <v>0.49696167577339972</v>
      </c>
      <c r="BE55" s="360">
        <f t="shared" si="47"/>
        <v>5.2934285571352567E-2</v>
      </c>
    </row>
    <row r="56" spans="1:64" ht="15.75" x14ac:dyDescent="0.3">
      <c r="A56" s="446" t="s">
        <v>471</v>
      </c>
      <c r="B56" s="5">
        <f>ThetaJA_Q4</f>
        <v>38</v>
      </c>
      <c r="C56" s="441" t="s">
        <v>205</v>
      </c>
      <c r="D56" s="76" t="s">
        <v>103</v>
      </c>
      <c r="E56" s="2"/>
      <c r="G56">
        <v>47</v>
      </c>
      <c r="H56" s="548">
        <f t="shared" si="0"/>
        <v>21</v>
      </c>
      <c r="I56" s="4">
        <f t="shared" si="49"/>
        <v>1</v>
      </c>
      <c r="J56" s="360">
        <f t="shared" si="81"/>
        <v>2.35</v>
      </c>
      <c r="K56" s="4">
        <f t="shared" si="50"/>
        <v>2.4867724867724865</v>
      </c>
      <c r="L56" s="4"/>
      <c r="M56" s="360">
        <f t="shared" si="51"/>
        <v>0.95323746655706387</v>
      </c>
      <c r="N56" s="4">
        <f t="shared" si="52"/>
        <v>0.20276464770908145</v>
      </c>
      <c r="O56" s="4">
        <f t="shared" si="35"/>
        <v>2.4513823238545407</v>
      </c>
      <c r="P56" s="4">
        <f t="shared" si="36"/>
        <v>2.2486176761454595</v>
      </c>
      <c r="Q56" s="4">
        <f t="shared" si="53"/>
        <v>0</v>
      </c>
      <c r="R56" s="4">
        <f t="shared" si="54"/>
        <v>2.3507288497818535</v>
      </c>
      <c r="S56" s="360">
        <f t="shared" si="55"/>
        <v>7.4600002690155673E-3</v>
      </c>
      <c r="T56" s="360">
        <f t="shared" si="56"/>
        <v>0.3</v>
      </c>
      <c r="U56" s="360">
        <f t="shared" si="57"/>
        <v>0.30764360197729645</v>
      </c>
      <c r="V56" s="4">
        <f t="shared" si="37"/>
        <v>5.8533111968488906E-2</v>
      </c>
      <c r="W56" s="360">
        <f t="shared" si="58"/>
        <v>6.8522503934313189E-6</v>
      </c>
      <c r="X56" s="360">
        <f t="shared" si="38"/>
        <v>6.8522503934313189E-6</v>
      </c>
      <c r="Y56" s="4">
        <f t="shared" si="59"/>
        <v>0.49630894787661833</v>
      </c>
      <c r="Z56" s="360">
        <f t="shared" si="12"/>
        <v>2.4632257174239588E-4</v>
      </c>
      <c r="AA56" s="541">
        <f t="shared" si="39"/>
        <v>2.4632257174239588E-4</v>
      </c>
      <c r="AB56" s="360">
        <f t="shared" si="60"/>
        <v>2.2951078013818895</v>
      </c>
      <c r="AC56" s="360">
        <f t="shared" si="61"/>
        <v>3.1605118919784063E-2</v>
      </c>
      <c r="AD56" s="360">
        <f t="shared" si="62"/>
        <v>0.18427869514799922</v>
      </c>
      <c r="AE56" s="360">
        <f t="shared" si="63"/>
        <v>0.63444464999999983</v>
      </c>
      <c r="AF56" s="360">
        <f t="shared" si="64"/>
        <v>0</v>
      </c>
      <c r="AG56" s="360">
        <f t="shared" si="65"/>
        <v>0.85443314214991428</v>
      </c>
      <c r="AH56" s="360">
        <f t="shared" si="66"/>
        <v>0.50833680294929062</v>
      </c>
      <c r="AI56" s="360">
        <f t="shared" si="67"/>
        <v>6.4601576308176477E-4</v>
      </c>
      <c r="AJ56" s="360">
        <f t="shared" si="68"/>
        <v>9.6725999999999993E-2</v>
      </c>
      <c r="AK56" s="360">
        <f t="shared" si="69"/>
        <v>9.738459816018033E-2</v>
      </c>
      <c r="AL56" s="360">
        <f t="shared" si="70"/>
        <v>9.6725999999999993E-2</v>
      </c>
      <c r="AM56" s="360">
        <f t="shared" si="71"/>
        <v>1.2436199999999999</v>
      </c>
      <c r="AN56" s="360">
        <f t="shared" si="72"/>
        <v>5.5259261251967166E-2</v>
      </c>
      <c r="AO56" s="360">
        <f t="shared" si="73"/>
        <v>7.3499999999999998E-4</v>
      </c>
      <c r="AP56" s="360">
        <f t="shared" si="74"/>
        <v>0.34650000000000003</v>
      </c>
      <c r="AQ56" s="360">
        <f t="shared" si="75"/>
        <v>1.3167</v>
      </c>
      <c r="AR56" s="360">
        <f t="shared" si="76"/>
        <v>1.1088</v>
      </c>
      <c r="AS56" s="360">
        <f t="shared" si="48"/>
        <v>0.34723500000000002</v>
      </c>
      <c r="AT56" s="360">
        <f t="shared" si="41"/>
        <v>3.0025547783614939</v>
      </c>
      <c r="AU56">
        <f t="shared" si="77"/>
        <v>47</v>
      </c>
      <c r="AV56" s="542">
        <f t="shared" si="42"/>
        <v>0.93995197262079011</v>
      </c>
      <c r="AW56" s="551">
        <f t="shared" si="78"/>
        <v>83.761117107495721</v>
      </c>
      <c r="AX56" s="551">
        <f t="shared" si="79"/>
        <v>19.295609530086853</v>
      </c>
      <c r="AY56" s="9"/>
      <c r="AZ56" s="4">
        <f t="shared" si="43"/>
        <v>93.995197262079017</v>
      </c>
      <c r="BA56" s="360">
        <f t="shared" si="80"/>
        <v>0.30764360197729645</v>
      </c>
      <c r="BB56" s="360">
        <f t="shared" si="44"/>
        <v>2.1954377403100946</v>
      </c>
      <c r="BC56" s="360">
        <f t="shared" si="45"/>
        <v>1.6752223421499144</v>
      </c>
      <c r="BD56" s="360">
        <f t="shared" si="46"/>
        <v>0.50777919816018036</v>
      </c>
      <c r="BE56" s="360">
        <f t="shared" si="47"/>
        <v>5.5259261251967166E-2</v>
      </c>
      <c r="BK56" s="18"/>
      <c r="BL56" s="19"/>
    </row>
    <row r="57" spans="1:64" x14ac:dyDescent="0.2">
      <c r="A57" s="24" t="s">
        <v>224</v>
      </c>
      <c r="B57" s="15" t="s">
        <v>111</v>
      </c>
      <c r="C57" s="24" t="s">
        <v>76</v>
      </c>
      <c r="D57" s="24" t="s">
        <v>213</v>
      </c>
      <c r="G57">
        <v>48</v>
      </c>
      <c r="H57" s="548">
        <f t="shared" si="0"/>
        <v>21</v>
      </c>
      <c r="I57" s="4">
        <f t="shared" si="49"/>
        <v>1</v>
      </c>
      <c r="J57" s="360">
        <f t="shared" si="81"/>
        <v>2.4</v>
      </c>
      <c r="K57" s="4">
        <f t="shared" si="50"/>
        <v>2.5396825396825395</v>
      </c>
      <c r="L57" s="4"/>
      <c r="M57" s="360">
        <f t="shared" si="51"/>
        <v>0.95325567673537748</v>
      </c>
      <c r="N57" s="4">
        <f t="shared" si="52"/>
        <v>0.20269269406878038</v>
      </c>
      <c r="O57" s="4">
        <f t="shared" si="35"/>
        <v>2.50134634703439</v>
      </c>
      <c r="P57" s="4">
        <f t="shared" si="36"/>
        <v>2.2986536529656099</v>
      </c>
      <c r="Q57" s="4">
        <f t="shared" si="53"/>
        <v>0</v>
      </c>
      <c r="R57" s="4">
        <f t="shared" si="54"/>
        <v>2.4007131636284811</v>
      </c>
      <c r="S57" s="360">
        <f t="shared" si="55"/>
        <v>7.7806219869257448E-3</v>
      </c>
      <c r="T57" s="360">
        <f t="shared" si="56"/>
        <v>0.3</v>
      </c>
      <c r="U57" s="360">
        <f t="shared" si="57"/>
        <v>0.30797231928282787</v>
      </c>
      <c r="V57" s="4">
        <f t="shared" si="37"/>
        <v>5.8512340741690406E-2</v>
      </c>
      <c r="W57" s="360">
        <f t="shared" si="58"/>
        <v>6.8473880381433661E-6</v>
      </c>
      <c r="X57" s="360">
        <f t="shared" si="38"/>
        <v>6.8473880381433661E-6</v>
      </c>
      <c r="Y57" s="4">
        <f t="shared" si="59"/>
        <v>0.50676826702255129</v>
      </c>
      <c r="Z57" s="360">
        <f t="shared" si="12"/>
        <v>2.5681407646103982E-4</v>
      </c>
      <c r="AA57" s="541">
        <f t="shared" si="39"/>
        <v>2.5681407646103982E-4</v>
      </c>
      <c r="AB57" s="360">
        <f t="shared" si="60"/>
        <v>2.3439318150822688</v>
      </c>
      <c r="AC57" s="360">
        <f t="shared" si="61"/>
        <v>3.2964098122529158E-2</v>
      </c>
      <c r="AD57" s="360">
        <f t="shared" si="62"/>
        <v>0.1881995184490205</v>
      </c>
      <c r="AE57" s="360">
        <f t="shared" si="63"/>
        <v>0.63444464999999983</v>
      </c>
      <c r="AF57" s="360">
        <f t="shared" si="64"/>
        <v>0</v>
      </c>
      <c r="AG57" s="360">
        <f t="shared" si="65"/>
        <v>0.85991691718813223</v>
      </c>
      <c r="AH57" s="360">
        <f t="shared" si="66"/>
        <v>0.51904464187987942</v>
      </c>
      <c r="AI57" s="360">
        <f t="shared" si="67"/>
        <v>6.7351835066053068E-4</v>
      </c>
      <c r="AJ57" s="360">
        <f t="shared" si="68"/>
        <v>9.8783999999999983E-2</v>
      </c>
      <c r="AK57" s="360">
        <f t="shared" si="69"/>
        <v>9.9470917448312213E-2</v>
      </c>
      <c r="AL57" s="360">
        <f t="shared" si="70"/>
        <v>9.8783999999999983E-2</v>
      </c>
      <c r="AM57" s="360">
        <f t="shared" si="71"/>
        <v>1.2700799999999999</v>
      </c>
      <c r="AN57" s="360">
        <f t="shared" si="72"/>
        <v>5.7634236940190701E-2</v>
      </c>
      <c r="AO57" s="360">
        <f t="shared" si="73"/>
        <v>7.3499999999999998E-4</v>
      </c>
      <c r="AP57" s="360">
        <f t="shared" si="74"/>
        <v>0.34650000000000003</v>
      </c>
      <c r="AQ57" s="360">
        <f t="shared" si="75"/>
        <v>1.3167</v>
      </c>
      <c r="AR57" s="360">
        <f t="shared" si="76"/>
        <v>1.1088</v>
      </c>
      <c r="AS57" s="360">
        <f t="shared" si="48"/>
        <v>0.34723500000000002</v>
      </c>
      <c r="AT57" s="360">
        <f t="shared" si="41"/>
        <v>3.0413570523239621</v>
      </c>
      <c r="AU57">
        <f t="shared" si="77"/>
        <v>48</v>
      </c>
      <c r="AV57" s="542">
        <f t="shared" si="42"/>
        <v>0.94041386773462587</v>
      </c>
      <c r="AW57" s="551">
        <f t="shared" si="78"/>
        <v>84.908485859406596</v>
      </c>
      <c r="AX57" s="551">
        <f t="shared" si="79"/>
        <v>19.706698063035862</v>
      </c>
      <c r="AY57" s="9"/>
      <c r="AZ57" s="4">
        <f t="shared" si="43"/>
        <v>94.041386773462591</v>
      </c>
      <c r="BA57" s="360">
        <f t="shared" si="80"/>
        <v>0.30797231928282787</v>
      </c>
      <c r="BB57" s="360">
        <f t="shared" si="44"/>
        <v>2.229467834636444</v>
      </c>
      <c r="BC57" s="360">
        <f t="shared" si="45"/>
        <v>1.698169717188132</v>
      </c>
      <c r="BD57" s="360">
        <f t="shared" si="46"/>
        <v>0.51859731744831217</v>
      </c>
      <c r="BE57" s="360">
        <f t="shared" si="47"/>
        <v>5.7634236940190701E-2</v>
      </c>
      <c r="BK57" s="18"/>
      <c r="BL57" s="19"/>
    </row>
    <row r="58" spans="1:64" x14ac:dyDescent="0.2">
      <c r="A58" s="23" t="s">
        <v>195</v>
      </c>
      <c r="B58" s="73">
        <f>VfdSky_Q4</f>
        <v>0</v>
      </c>
      <c r="C58" s="440" t="s">
        <v>0</v>
      </c>
      <c r="D58" s="76" t="s">
        <v>198</v>
      </c>
      <c r="G58">
        <v>49</v>
      </c>
      <c r="H58" s="548">
        <f t="shared" si="0"/>
        <v>21</v>
      </c>
      <c r="I58" s="4">
        <f t="shared" si="49"/>
        <v>1</v>
      </c>
      <c r="J58" s="360">
        <f t="shared" si="81"/>
        <v>2.4500000000000002</v>
      </c>
      <c r="K58" s="4">
        <f t="shared" si="50"/>
        <v>2.5925925925925921</v>
      </c>
      <c r="L58" s="4"/>
      <c r="M58" s="360">
        <f t="shared" si="51"/>
        <v>0.95327388635046995</v>
      </c>
      <c r="N58" s="4">
        <f t="shared" si="52"/>
        <v>0.2026207374116914</v>
      </c>
      <c r="O58" s="4">
        <f t="shared" si="35"/>
        <v>2.5513103687058458</v>
      </c>
      <c r="P58" s="4">
        <f t="shared" si="36"/>
        <v>2.3486896312941545</v>
      </c>
      <c r="Q58" s="4">
        <f t="shared" si="53"/>
        <v>0</v>
      </c>
      <c r="R58" s="4">
        <f t="shared" si="54"/>
        <v>2.4506981175988281</v>
      </c>
      <c r="S58" s="360">
        <f t="shared" si="55"/>
        <v>8.107993705863294E-3</v>
      </c>
      <c r="T58" s="360">
        <f t="shared" si="56"/>
        <v>0.3</v>
      </c>
      <c r="U58" s="360">
        <f t="shared" si="57"/>
        <v>0.30830797443515828</v>
      </c>
      <c r="V58" s="4">
        <f t="shared" si="37"/>
        <v>5.8491568644020255E-2</v>
      </c>
      <c r="W58" s="360">
        <f t="shared" si="58"/>
        <v>6.8425272048762676E-6</v>
      </c>
      <c r="X58" s="360">
        <f t="shared" si="38"/>
        <v>6.8425272048762676E-6</v>
      </c>
      <c r="Y58" s="4">
        <f t="shared" si="59"/>
        <v>0.51722379419533493</v>
      </c>
      <c r="Z58" s="360">
        <f t="shared" si="12"/>
        <v>2.6752045328181815E-4</v>
      </c>
      <c r="AA58" s="541">
        <f t="shared" si="39"/>
        <v>2.6752045328181815E-4</v>
      </c>
      <c r="AB58" s="360">
        <f t="shared" si="60"/>
        <v>2.3927573851247899</v>
      </c>
      <c r="AC58" s="360">
        <f t="shared" si="61"/>
        <v>3.4351727424415335E-2</v>
      </c>
      <c r="AD58" s="360">
        <f t="shared" si="62"/>
        <v>0.19212034175004175</v>
      </c>
      <c r="AE58" s="360">
        <f t="shared" si="63"/>
        <v>0.63444464999999983</v>
      </c>
      <c r="AF58" s="360">
        <f t="shared" si="64"/>
        <v>0</v>
      </c>
      <c r="AG58" s="360">
        <f t="shared" si="65"/>
        <v>0.86543555854887833</v>
      </c>
      <c r="AH58" s="360">
        <f t="shared" si="66"/>
        <v>0.52974839266694973</v>
      </c>
      <c r="AI58" s="360">
        <f t="shared" si="67"/>
        <v>7.0158339883304199E-4</v>
      </c>
      <c r="AJ58" s="360">
        <f t="shared" si="68"/>
        <v>0.100842</v>
      </c>
      <c r="AK58" s="360">
        <f t="shared" si="69"/>
        <v>0.10155783365685607</v>
      </c>
      <c r="AL58" s="360">
        <f t="shared" si="70"/>
        <v>0.100842</v>
      </c>
      <c r="AM58" s="360">
        <f t="shared" si="71"/>
        <v>1.29654</v>
      </c>
      <c r="AN58" s="360">
        <f t="shared" si="72"/>
        <v>6.0059212636024394E-2</v>
      </c>
      <c r="AO58" s="360">
        <f t="shared" si="73"/>
        <v>7.3499999999999998E-4</v>
      </c>
      <c r="AP58" s="360">
        <f t="shared" si="74"/>
        <v>0.34650000000000003</v>
      </c>
      <c r="AQ58" s="360">
        <f t="shared" si="75"/>
        <v>1.3167</v>
      </c>
      <c r="AR58" s="360">
        <f t="shared" si="76"/>
        <v>1.1088</v>
      </c>
      <c r="AS58" s="360">
        <f t="shared" si="48"/>
        <v>0.34723500000000002</v>
      </c>
      <c r="AT58" s="360">
        <f t="shared" si="41"/>
        <v>3.0802519422574037</v>
      </c>
      <c r="AU58">
        <f t="shared" si="77"/>
        <v>49</v>
      </c>
      <c r="AV58" s="542">
        <f t="shared" si="42"/>
        <v>0.94085566356951278</v>
      </c>
      <c r="AW58" s="551">
        <f t="shared" si="78"/>
        <v>86.057597927443922</v>
      </c>
      <c r="AX58" s="551">
        <f t="shared" si="79"/>
        <v>20.117809278960532</v>
      </c>
      <c r="AY58" s="9"/>
      <c r="AZ58" s="4">
        <f t="shared" si="43"/>
        <v>94.085566356951276</v>
      </c>
      <c r="BA58" s="360">
        <f t="shared" si="80"/>
        <v>0.30830797443515828</v>
      </c>
      <c r="BB58" s="360">
        <f t="shared" si="44"/>
        <v>2.2635333922057344</v>
      </c>
      <c r="BC58" s="360">
        <f t="shared" si="45"/>
        <v>1.7211519585488784</v>
      </c>
      <c r="BD58" s="360">
        <f t="shared" si="46"/>
        <v>0.52941603365685608</v>
      </c>
      <c r="BE58" s="360">
        <f t="shared" si="47"/>
        <v>6.0059212636024394E-2</v>
      </c>
      <c r="BK58" s="18"/>
      <c r="BL58" s="19"/>
    </row>
    <row r="59" spans="1:64" x14ac:dyDescent="0.2">
      <c r="A59" s="23" t="s">
        <v>196</v>
      </c>
      <c r="B59" s="73">
        <f>QrrSky_Q4*1000000000</f>
        <v>0</v>
      </c>
      <c r="C59" s="440" t="s">
        <v>65</v>
      </c>
      <c r="D59" s="76" t="s">
        <v>199</v>
      </c>
      <c r="G59">
        <v>50</v>
      </c>
      <c r="H59" s="548">
        <f t="shared" si="0"/>
        <v>21</v>
      </c>
      <c r="I59" s="4">
        <f t="shared" si="49"/>
        <v>1</v>
      </c>
      <c r="J59" s="360">
        <f t="shared" si="81"/>
        <v>2.5</v>
      </c>
      <c r="K59" s="4">
        <f t="shared" si="50"/>
        <v>2.6455026455026451</v>
      </c>
      <c r="L59" s="4"/>
      <c r="M59" s="360">
        <f t="shared" si="51"/>
        <v>0.95329209540236715</v>
      </c>
      <c r="N59" s="4">
        <f t="shared" si="52"/>
        <v>0.20254877773795446</v>
      </c>
      <c r="O59" s="4">
        <f t="shared" si="35"/>
        <v>2.6012743888689771</v>
      </c>
      <c r="P59" s="4">
        <f t="shared" si="36"/>
        <v>2.3987256111310229</v>
      </c>
      <c r="Q59" s="4">
        <f t="shared" si="53"/>
        <v>0</v>
      </c>
      <c r="R59" s="4">
        <f t="shared" si="54"/>
        <v>2.5006836733075475</v>
      </c>
      <c r="S59" s="360">
        <f t="shared" si="55"/>
        <v>8.4421154258283553E-3</v>
      </c>
      <c r="T59" s="360">
        <f t="shared" si="56"/>
        <v>0.3</v>
      </c>
      <c r="U59" s="360">
        <f t="shared" si="57"/>
        <v>0.30865056852388645</v>
      </c>
      <c r="V59" s="4">
        <f t="shared" si="37"/>
        <v>5.8470795675518848E-2</v>
      </c>
      <c r="W59" s="360">
        <f t="shared" si="58"/>
        <v>6.8376678938565478E-6</v>
      </c>
      <c r="X59" s="360">
        <f t="shared" si="38"/>
        <v>6.8376678938565478E-6</v>
      </c>
      <c r="Y59" s="4">
        <f t="shared" si="59"/>
        <v>0.52767552006946439</v>
      </c>
      <c r="Z59" s="360">
        <f t="shared" si="12"/>
        <v>2.7844145448057973E-4</v>
      </c>
      <c r="AA59" s="541">
        <f t="shared" si="39"/>
        <v>2.7844145448057973E-4</v>
      </c>
      <c r="AB59" s="360">
        <f t="shared" si="60"/>
        <v>2.4415844739926356</v>
      </c>
      <c r="AC59" s="360">
        <f t="shared" si="61"/>
        <v>3.5768008461851367E-2</v>
      </c>
      <c r="AD59" s="360">
        <f t="shared" si="62"/>
        <v>0.196041165051063</v>
      </c>
      <c r="AE59" s="360">
        <f t="shared" si="63"/>
        <v>0.63444464999999983</v>
      </c>
      <c r="AF59" s="360">
        <f t="shared" si="64"/>
        <v>0</v>
      </c>
      <c r="AG59" s="360">
        <f t="shared" si="65"/>
        <v>0.87098916277002325</v>
      </c>
      <c r="AH59" s="360">
        <f t="shared" si="66"/>
        <v>0.54044804588881035</v>
      </c>
      <c r="AI59" s="360">
        <f t="shared" si="67"/>
        <v>7.302102257625841E-4</v>
      </c>
      <c r="AJ59" s="360">
        <f t="shared" si="68"/>
        <v>0.10289999999999999</v>
      </c>
      <c r="AK59" s="360">
        <f t="shared" si="69"/>
        <v>0.1036453468041804</v>
      </c>
      <c r="AL59" s="360">
        <f t="shared" si="70"/>
        <v>0.10289999999999999</v>
      </c>
      <c r="AM59" s="360">
        <f t="shared" si="71"/>
        <v>1.323</v>
      </c>
      <c r="AN59" s="360">
        <f t="shared" si="72"/>
        <v>6.253418833946929E-2</v>
      </c>
      <c r="AO59" s="360">
        <f t="shared" si="73"/>
        <v>7.3499999999999998E-4</v>
      </c>
      <c r="AP59" s="360">
        <f t="shared" si="74"/>
        <v>0.34650000000000003</v>
      </c>
      <c r="AQ59" s="360">
        <f t="shared" si="75"/>
        <v>1.3167</v>
      </c>
      <c r="AR59" s="360">
        <f t="shared" si="76"/>
        <v>1.1088</v>
      </c>
      <c r="AS59" s="360">
        <f t="shared" si="48"/>
        <v>0.34723500000000002</v>
      </c>
      <c r="AT59" s="360">
        <f t="shared" si="41"/>
        <v>3.1192395455599335</v>
      </c>
      <c r="AU59">
        <f t="shared" si="77"/>
        <v>50</v>
      </c>
      <c r="AV59" s="542">
        <f t="shared" si="42"/>
        <v>0.94127853538105366</v>
      </c>
      <c r="AW59" s="551">
        <f t="shared" si="78"/>
        <v>87.208458138501157</v>
      </c>
      <c r="AX59" s="551">
        <f t="shared" si="79"/>
        <v>20.528943178558855</v>
      </c>
      <c r="AY59" s="9"/>
      <c r="AZ59" s="4">
        <f t="shared" si="43"/>
        <v>94.12785353810537</v>
      </c>
      <c r="BA59" s="360">
        <f t="shared" si="80"/>
        <v>0.30865056852388645</v>
      </c>
      <c r="BB59" s="360">
        <f t="shared" si="44"/>
        <v>2.2976345095742037</v>
      </c>
      <c r="BC59" s="360">
        <f t="shared" si="45"/>
        <v>1.7441691627700231</v>
      </c>
      <c r="BD59" s="360">
        <f t="shared" si="46"/>
        <v>0.54023534680418039</v>
      </c>
      <c r="BE59" s="360">
        <f t="shared" si="47"/>
        <v>6.253418833946929E-2</v>
      </c>
      <c r="BK59" s="18"/>
      <c r="BL59" s="19"/>
    </row>
    <row r="60" spans="1:64" x14ac:dyDescent="0.2">
      <c r="A60" s="23" t="s">
        <v>197</v>
      </c>
      <c r="B60" s="73">
        <f>Ireverse</f>
        <v>0</v>
      </c>
      <c r="C60" s="440" t="s">
        <v>64</v>
      </c>
      <c r="D60" s="76" t="s">
        <v>200</v>
      </c>
      <c r="E60" s="2"/>
      <c r="G60">
        <v>51</v>
      </c>
      <c r="H60" s="548">
        <f t="shared" si="0"/>
        <v>21</v>
      </c>
      <c r="I60" s="4">
        <f t="shared" si="49"/>
        <v>1</v>
      </c>
      <c r="J60" s="360">
        <f t="shared" si="81"/>
        <v>2.5499999999999998</v>
      </c>
      <c r="K60" s="4">
        <f t="shared" si="50"/>
        <v>2.6984126984126982</v>
      </c>
      <c r="L60" s="4"/>
      <c r="M60" s="360">
        <f t="shared" si="51"/>
        <v>0.95331030389109561</v>
      </c>
      <c r="N60" s="4">
        <f t="shared" si="52"/>
        <v>0.20247681504770959</v>
      </c>
      <c r="O60" s="4">
        <f t="shared" si="35"/>
        <v>2.6512384075238544</v>
      </c>
      <c r="P60" s="4">
        <f t="shared" si="36"/>
        <v>2.4487615924761452</v>
      </c>
      <c r="Q60" s="4">
        <f t="shared" si="53"/>
        <v>0</v>
      </c>
      <c r="R60" s="4">
        <f t="shared" si="54"/>
        <v>2.550669795377805</v>
      </c>
      <c r="S60" s="360">
        <f t="shared" si="55"/>
        <v>8.7829871468210821E-3</v>
      </c>
      <c r="T60" s="360">
        <f t="shared" si="56"/>
        <v>0.3</v>
      </c>
      <c r="U60" s="360">
        <f t="shared" si="57"/>
        <v>0.30900010266122424</v>
      </c>
      <c r="V60" s="4">
        <f t="shared" si="37"/>
        <v>5.8450021836226607E-2</v>
      </c>
      <c r="W60" s="360">
        <f t="shared" si="58"/>
        <v>6.8328101053107338E-6</v>
      </c>
      <c r="X60" s="360">
        <f t="shared" si="38"/>
        <v>6.8328101053107338E-6</v>
      </c>
      <c r="Y60" s="4">
        <f t="shared" si="59"/>
        <v>0.53812343595928702</v>
      </c>
      <c r="Z60" s="360">
        <f t="shared" si="12"/>
        <v>2.8957683232862892E-4</v>
      </c>
      <c r="AA60" s="541">
        <f t="shared" si="39"/>
        <v>2.8957683232862892E-4</v>
      </c>
      <c r="AB60" s="360">
        <f t="shared" si="60"/>
        <v>2.4904130471049997</v>
      </c>
      <c r="AC60" s="360">
        <f t="shared" si="61"/>
        <v>3.7212942871144856E-2</v>
      </c>
      <c r="AD60" s="360">
        <f t="shared" si="62"/>
        <v>0.19996198835208426</v>
      </c>
      <c r="AE60" s="360">
        <f t="shared" si="63"/>
        <v>0.63444464999999983</v>
      </c>
      <c r="AF60" s="360">
        <f t="shared" si="64"/>
        <v>0</v>
      </c>
      <c r="AG60" s="360">
        <f t="shared" si="65"/>
        <v>0.87657782739640722</v>
      </c>
      <c r="AH60" s="360">
        <f t="shared" si="66"/>
        <v>0.55114359277945357</v>
      </c>
      <c r="AI60" s="360">
        <f t="shared" si="67"/>
        <v>7.5939814965461042E-4</v>
      </c>
      <c r="AJ60" s="360">
        <f t="shared" si="68"/>
        <v>0.10495799999999998</v>
      </c>
      <c r="AK60" s="360">
        <f t="shared" si="69"/>
        <v>0.1057334569079611</v>
      </c>
      <c r="AL60" s="360">
        <f t="shared" si="70"/>
        <v>0.10495799999999998</v>
      </c>
      <c r="AM60" s="360">
        <f t="shared" si="71"/>
        <v>1.3494599999999999</v>
      </c>
      <c r="AN60" s="360">
        <f t="shared" si="72"/>
        <v>6.5059164050526544E-2</v>
      </c>
      <c r="AO60" s="360">
        <f t="shared" si="73"/>
        <v>7.3499999999999998E-4</v>
      </c>
      <c r="AP60" s="360">
        <f t="shared" si="74"/>
        <v>0.34650000000000003</v>
      </c>
      <c r="AQ60" s="360">
        <f t="shared" si="75"/>
        <v>1.3167</v>
      </c>
      <c r="AR60" s="360">
        <f t="shared" si="76"/>
        <v>1.1088</v>
      </c>
      <c r="AS60" s="360">
        <f t="shared" si="48"/>
        <v>0.34723500000000002</v>
      </c>
      <c r="AT60" s="360">
        <f t="shared" si="41"/>
        <v>3.1583199606585528</v>
      </c>
      <c r="AU60">
        <f t="shared" si="77"/>
        <v>51</v>
      </c>
      <c r="AV60" s="542">
        <f t="shared" si="42"/>
        <v>0.94168356841658296</v>
      </c>
      <c r="AW60" s="551">
        <f t="shared" si="78"/>
        <v>88.361071369820365</v>
      </c>
      <c r="AX60" s="551">
        <f t="shared" si="79"/>
        <v>20.94009976250252</v>
      </c>
      <c r="AY60" s="9"/>
      <c r="AZ60" s="4">
        <f t="shared" si="43"/>
        <v>94.168356841658294</v>
      </c>
      <c r="BA60" s="360">
        <f t="shared" si="80"/>
        <v>0.30900010266122424</v>
      </c>
      <c r="BB60" s="360">
        <f t="shared" si="44"/>
        <v>2.3317712843043683</v>
      </c>
      <c r="BC60" s="360">
        <f t="shared" si="45"/>
        <v>1.7672214273964073</v>
      </c>
      <c r="BD60" s="360">
        <f t="shared" si="46"/>
        <v>0.55105525690796109</v>
      </c>
      <c r="BE60" s="360">
        <f t="shared" si="47"/>
        <v>6.5059164050526544E-2</v>
      </c>
      <c r="BK60" s="18"/>
      <c r="BL60" s="19"/>
    </row>
    <row r="61" spans="1:64" x14ac:dyDescent="0.2">
      <c r="A61" s="24" t="s">
        <v>117</v>
      </c>
      <c r="B61" s="15" t="s">
        <v>111</v>
      </c>
      <c r="C61" s="24" t="s">
        <v>76</v>
      </c>
      <c r="D61" s="24" t="s">
        <v>213</v>
      </c>
      <c r="G61">
        <v>52</v>
      </c>
      <c r="H61" s="548">
        <f t="shared" si="0"/>
        <v>21</v>
      </c>
      <c r="I61" s="4">
        <f t="shared" si="49"/>
        <v>1</v>
      </c>
      <c r="J61" s="360">
        <f t="shared" si="81"/>
        <v>2.6</v>
      </c>
      <c r="K61" s="4">
        <f t="shared" si="50"/>
        <v>2.7513227513227512</v>
      </c>
      <c r="L61" s="4"/>
      <c r="M61" s="360">
        <f t="shared" si="51"/>
        <v>0.95332851181668088</v>
      </c>
      <c r="N61" s="4">
        <f t="shared" si="52"/>
        <v>0.20240484934109584</v>
      </c>
      <c r="O61" s="4">
        <f t="shared" si="35"/>
        <v>2.7012024246705479</v>
      </c>
      <c r="P61" s="4">
        <f t="shared" si="36"/>
        <v>2.4987975753294522</v>
      </c>
      <c r="Q61" s="4">
        <f t="shared" si="53"/>
        <v>0</v>
      </c>
      <c r="R61" s="4">
        <f t="shared" si="54"/>
        <v>2.6006564511522341</v>
      </c>
      <c r="S61" s="360">
        <f t="shared" si="55"/>
        <v>9.1306088688416394E-3</v>
      </c>
      <c r="T61" s="360">
        <f t="shared" si="56"/>
        <v>0.3</v>
      </c>
      <c r="U61" s="360">
        <f t="shared" si="57"/>
        <v>0.30935657798200622</v>
      </c>
      <c r="V61" s="4">
        <f t="shared" si="37"/>
        <v>5.8429247126183671E-2</v>
      </c>
      <c r="W61" s="360">
        <f t="shared" si="58"/>
        <v>6.8279538394652858E-6</v>
      </c>
      <c r="X61" s="360">
        <f t="shared" si="38"/>
        <v>6.8279538394652858E-6</v>
      </c>
      <c r="Y61" s="4">
        <f t="shared" si="59"/>
        <v>0.54856753375745559</v>
      </c>
      <c r="Z61" s="360">
        <f t="shared" si="12"/>
        <v>3.009263390927372E-4</v>
      </c>
      <c r="AA61" s="541">
        <f t="shared" si="39"/>
        <v>3.009263390927372E-4</v>
      </c>
      <c r="AB61" s="360">
        <f t="shared" si="60"/>
        <v>2.5392430725350081</v>
      </c>
      <c r="AC61" s="360">
        <f t="shared" si="61"/>
        <v>3.8686532288502169E-2</v>
      </c>
      <c r="AD61" s="360">
        <f t="shared" si="62"/>
        <v>0.20388281165310554</v>
      </c>
      <c r="AE61" s="360">
        <f t="shared" si="63"/>
        <v>0.63444464999999983</v>
      </c>
      <c r="AF61" s="360">
        <f t="shared" si="64"/>
        <v>0</v>
      </c>
      <c r="AG61" s="360">
        <f t="shared" si="65"/>
        <v>0.88220165098529102</v>
      </c>
      <c r="AH61" s="360">
        <f t="shared" si="66"/>
        <v>0.56183502516548811</v>
      </c>
      <c r="AI61" s="360">
        <f t="shared" si="67"/>
        <v>7.8914648875676164E-4</v>
      </c>
      <c r="AJ61" s="360">
        <f t="shared" si="68"/>
        <v>0.10701599999999999</v>
      </c>
      <c r="AK61" s="360">
        <f t="shared" si="69"/>
        <v>0.10782216398518056</v>
      </c>
      <c r="AL61" s="360">
        <f t="shared" si="70"/>
        <v>0.10701599999999999</v>
      </c>
      <c r="AM61" s="360">
        <f t="shared" si="71"/>
        <v>1.3759200000000003</v>
      </c>
      <c r="AN61" s="360">
        <f t="shared" si="72"/>
        <v>6.7634139769197327E-2</v>
      </c>
      <c r="AO61" s="360">
        <f t="shared" si="73"/>
        <v>7.3499999999999998E-4</v>
      </c>
      <c r="AP61" s="360">
        <f t="shared" si="74"/>
        <v>0.34650000000000003</v>
      </c>
      <c r="AQ61" s="360">
        <f t="shared" si="75"/>
        <v>1.3167</v>
      </c>
      <c r="AR61" s="360">
        <f t="shared" si="76"/>
        <v>1.1088</v>
      </c>
      <c r="AS61" s="360">
        <f t="shared" si="48"/>
        <v>0.34723500000000002</v>
      </c>
      <c r="AT61" s="360">
        <f t="shared" si="41"/>
        <v>3.1974932870146078</v>
      </c>
      <c r="AU61">
        <f t="shared" si="77"/>
        <v>52</v>
      </c>
      <c r="AV61" s="542">
        <f t="shared" si="42"/>
        <v>0.9420717663682957</v>
      </c>
      <c r="AW61" s="551">
        <f t="shared" si="78"/>
        <v>89.515442549264563</v>
      </c>
      <c r="AX61" s="551">
        <f t="shared" si="79"/>
        <v>21.351279031436867</v>
      </c>
      <c r="AY61" s="9"/>
      <c r="AZ61" s="4">
        <f t="shared" si="43"/>
        <v>94.207176636829573</v>
      </c>
      <c r="BA61" s="360">
        <f t="shared" si="80"/>
        <v>0.30935657798200622</v>
      </c>
      <c r="BB61" s="360">
        <f t="shared" si="44"/>
        <v>2.3659438149704717</v>
      </c>
      <c r="BC61" s="360">
        <f t="shared" si="45"/>
        <v>1.7903088509852911</v>
      </c>
      <c r="BD61" s="360">
        <f t="shared" si="46"/>
        <v>0.56187576398518069</v>
      </c>
      <c r="BE61" s="360">
        <f t="shared" si="47"/>
        <v>6.7634139769197327E-2</v>
      </c>
      <c r="BK61" s="18"/>
      <c r="BL61" s="19"/>
    </row>
    <row r="62" spans="1:64" ht="15.75" x14ac:dyDescent="0.3">
      <c r="A62" s="446" t="s">
        <v>470</v>
      </c>
      <c r="B62" s="74">
        <v>30</v>
      </c>
      <c r="C62" s="441" t="s">
        <v>205</v>
      </c>
      <c r="D62" s="76" t="s">
        <v>103</v>
      </c>
      <c r="G62">
        <v>53</v>
      </c>
      <c r="H62" s="548">
        <f t="shared" si="0"/>
        <v>21</v>
      </c>
      <c r="I62" s="4">
        <f t="shared" si="49"/>
        <v>1</v>
      </c>
      <c r="J62" s="360">
        <f t="shared" si="81"/>
        <v>2.65</v>
      </c>
      <c r="K62" s="4">
        <f t="shared" si="50"/>
        <v>2.8042328042328037</v>
      </c>
      <c r="L62" s="4"/>
      <c r="M62" s="360">
        <f t="shared" si="51"/>
        <v>0.95334671917914948</v>
      </c>
      <c r="N62" s="4">
        <f t="shared" si="52"/>
        <v>0.20233288061825475</v>
      </c>
      <c r="O62" s="4">
        <f t="shared" si="35"/>
        <v>2.7511664403091274</v>
      </c>
      <c r="P62" s="4">
        <f t="shared" si="36"/>
        <v>2.5488335596908724</v>
      </c>
      <c r="Q62" s="4">
        <f t="shared" si="53"/>
        <v>0</v>
      </c>
      <c r="R62" s="4">
        <f t="shared" si="54"/>
        <v>2.6506436104365809</v>
      </c>
      <c r="S62" s="360">
        <f t="shared" si="55"/>
        <v>9.4849805918901693E-3</v>
      </c>
      <c r="T62" s="360">
        <f t="shared" si="56"/>
        <v>0.3</v>
      </c>
      <c r="U62" s="360">
        <f t="shared" si="57"/>
        <v>0.30971999564369823</v>
      </c>
      <c r="V62" s="4">
        <f t="shared" si="37"/>
        <v>5.8408471545430898E-2</v>
      </c>
      <c r="W62" s="360">
        <f t="shared" si="58"/>
        <v>6.8230990965468217E-6</v>
      </c>
      <c r="X62" s="360">
        <f t="shared" si="38"/>
        <v>6.8230990965468217E-6</v>
      </c>
      <c r="Y62" s="4">
        <f t="shared" si="59"/>
        <v>0.55900780588032251</v>
      </c>
      <c r="Z62" s="360">
        <f t="shared" si="12"/>
        <v>3.1248972703513234E-4</v>
      </c>
      <c r="AA62" s="541">
        <f t="shared" si="39"/>
        <v>3.1248972703513234E-4</v>
      </c>
      <c r="AB62" s="360">
        <f t="shared" si="60"/>
        <v>2.5880745207595433</v>
      </c>
      <c r="AC62" s="360">
        <f t="shared" si="61"/>
        <v>4.0188778350028438E-2</v>
      </c>
      <c r="AD62" s="360">
        <f t="shared" si="62"/>
        <v>0.20780363495412679</v>
      </c>
      <c r="AE62" s="360">
        <f t="shared" si="63"/>
        <v>0.63444464999999983</v>
      </c>
      <c r="AF62" s="360">
        <f t="shared" si="64"/>
        <v>0</v>
      </c>
      <c r="AG62" s="360">
        <f t="shared" si="65"/>
        <v>0.88786073311188163</v>
      </c>
      <c r="AH62" s="360">
        <f t="shared" si="66"/>
        <v>0.57252233541018516</v>
      </c>
      <c r="AI62" s="360">
        <f t="shared" si="67"/>
        <v>8.1945456135883144E-4</v>
      </c>
      <c r="AJ62" s="360">
        <f t="shared" si="68"/>
        <v>0.10907399999999999</v>
      </c>
      <c r="AK62" s="360">
        <f t="shared" si="69"/>
        <v>0.10991146805212701</v>
      </c>
      <c r="AL62" s="360">
        <f t="shared" si="70"/>
        <v>0.10907399999999999</v>
      </c>
      <c r="AM62" s="360">
        <f t="shared" si="71"/>
        <v>1.4023799999999997</v>
      </c>
      <c r="AN62" s="360">
        <f t="shared" si="72"/>
        <v>7.0259115495482735E-2</v>
      </c>
      <c r="AO62" s="360">
        <f t="shared" si="73"/>
        <v>7.3499999999999998E-4</v>
      </c>
      <c r="AP62" s="360">
        <f t="shared" si="74"/>
        <v>0.34650000000000003</v>
      </c>
      <c r="AQ62" s="360">
        <f t="shared" si="75"/>
        <v>1.3167</v>
      </c>
      <c r="AR62" s="360">
        <f t="shared" si="76"/>
        <v>1.1088</v>
      </c>
      <c r="AS62" s="360">
        <f t="shared" si="48"/>
        <v>0.34723500000000002</v>
      </c>
      <c r="AT62" s="360">
        <f t="shared" si="41"/>
        <v>3.2367596251293205</v>
      </c>
      <c r="AU62">
        <f t="shared" si="77"/>
        <v>53</v>
      </c>
      <c r="AV62" s="542">
        <f t="shared" si="42"/>
        <v>0.94244405889127758</v>
      </c>
      <c r="AW62" s="551">
        <f t="shared" si="78"/>
        <v>90.67157665559408</v>
      </c>
      <c r="AX62" s="551">
        <f t="shared" si="79"/>
        <v>21.762480985980822</v>
      </c>
      <c r="AY62" s="9"/>
      <c r="AZ62" s="4">
        <f t="shared" si="43"/>
        <v>94.244405889127762</v>
      </c>
      <c r="BA62" s="360">
        <f t="shared" si="80"/>
        <v>0.30971999564369823</v>
      </c>
      <c r="BB62" s="360">
        <f t="shared" si="44"/>
        <v>2.4001522011640084</v>
      </c>
      <c r="BC62" s="360">
        <f t="shared" si="45"/>
        <v>1.8134315331118815</v>
      </c>
      <c r="BD62" s="360">
        <f t="shared" si="46"/>
        <v>0.57269686805212694</v>
      </c>
      <c r="BE62" s="360">
        <f t="shared" si="47"/>
        <v>7.0259115495482735E-2</v>
      </c>
      <c r="BK62" s="18"/>
      <c r="BL62" s="19"/>
    </row>
    <row r="63" spans="1:64" x14ac:dyDescent="0.2">
      <c r="A63" s="23" t="s">
        <v>118</v>
      </c>
      <c r="B63" s="74">
        <v>2</v>
      </c>
      <c r="C63" s="441" t="s">
        <v>205</v>
      </c>
      <c r="D63" s="21" t="s">
        <v>103</v>
      </c>
      <c r="G63">
        <v>54</v>
      </c>
      <c r="H63" s="548">
        <f t="shared" si="0"/>
        <v>21</v>
      </c>
      <c r="I63" s="4">
        <f t="shared" si="49"/>
        <v>1</v>
      </c>
      <c r="J63" s="360">
        <f t="shared" si="81"/>
        <v>2.7</v>
      </c>
      <c r="K63" s="4">
        <f t="shared" si="50"/>
        <v>2.8571428571428568</v>
      </c>
      <c r="L63" s="4"/>
      <c r="M63" s="360">
        <f t="shared" si="51"/>
        <v>0.95336492597852751</v>
      </c>
      <c r="N63" s="4">
        <f t="shared" si="52"/>
        <v>0.20226090887932544</v>
      </c>
      <c r="O63" s="4">
        <f t="shared" si="35"/>
        <v>2.8011304544396629</v>
      </c>
      <c r="P63" s="4">
        <f t="shared" si="36"/>
        <v>2.5988695455603374</v>
      </c>
      <c r="Q63" s="4">
        <f t="shared" si="53"/>
        <v>0</v>
      </c>
      <c r="R63" s="4">
        <f t="shared" si="54"/>
        <v>2.7006312452718144</v>
      </c>
      <c r="S63" s="360">
        <f t="shared" si="55"/>
        <v>9.846102315966828E-3</v>
      </c>
      <c r="T63" s="360">
        <f t="shared" si="56"/>
        <v>0.3</v>
      </c>
      <c r="U63" s="360">
        <f t="shared" si="57"/>
        <v>0.3100903568264074</v>
      </c>
      <c r="V63" s="4">
        <f t="shared" si="37"/>
        <v>5.8387695094008457E-2</v>
      </c>
      <c r="W63" s="360">
        <f t="shared" si="58"/>
        <v>6.8182458767817989E-6</v>
      </c>
      <c r="X63" s="360">
        <f t="shared" si="38"/>
        <v>6.8182458767817989E-6</v>
      </c>
      <c r="Y63" s="4">
        <f t="shared" si="59"/>
        <v>0.56944424521941617</v>
      </c>
      <c r="Z63" s="360">
        <f t="shared" si="12"/>
        <v>3.2426674841351056E-4</v>
      </c>
      <c r="AA63" s="541">
        <f t="shared" si="39"/>
        <v>3.2426674841351056E-4</v>
      </c>
      <c r="AB63" s="360">
        <f t="shared" si="60"/>
        <v>2.6369073644368468</v>
      </c>
      <c r="AC63" s="360">
        <f t="shared" si="61"/>
        <v>4.1719682691727662E-2</v>
      </c>
      <c r="AD63" s="360">
        <f t="shared" si="62"/>
        <v>0.21172445825514805</v>
      </c>
      <c r="AE63" s="360">
        <f t="shared" si="63"/>
        <v>0.63444464999999983</v>
      </c>
      <c r="AF63" s="360">
        <f t="shared" si="64"/>
        <v>0</v>
      </c>
      <c r="AG63" s="360">
        <f t="shared" si="65"/>
        <v>0.89355517437493159</v>
      </c>
      <c r="AH63" s="360">
        <f t="shared" si="66"/>
        <v>0.58320551636375551</v>
      </c>
      <c r="AI63" s="360">
        <f t="shared" si="67"/>
        <v>8.5032168579278673E-4</v>
      </c>
      <c r="AJ63" s="360">
        <f t="shared" si="68"/>
        <v>0.11113199999999999</v>
      </c>
      <c r="AK63" s="360">
        <f t="shared" si="69"/>
        <v>0.11200136912439378</v>
      </c>
      <c r="AL63" s="360">
        <f t="shared" si="70"/>
        <v>0.11113199999999999</v>
      </c>
      <c r="AM63" s="360">
        <f t="shared" si="71"/>
        <v>1.4288400000000001</v>
      </c>
      <c r="AN63" s="360">
        <f t="shared" si="72"/>
        <v>7.2934091229383907E-2</v>
      </c>
      <c r="AO63" s="360">
        <f t="shared" si="73"/>
        <v>7.3499999999999998E-4</v>
      </c>
      <c r="AP63" s="360">
        <f t="shared" si="74"/>
        <v>0.34650000000000003</v>
      </c>
      <c r="AQ63" s="360">
        <f t="shared" si="75"/>
        <v>1.3167</v>
      </c>
      <c r="AR63" s="360">
        <f t="shared" si="76"/>
        <v>1.1088</v>
      </c>
      <c r="AS63" s="360">
        <f t="shared" si="48"/>
        <v>0.34723500000000002</v>
      </c>
      <c r="AT63" s="360">
        <f t="shared" si="41"/>
        <v>3.2761190765494073</v>
      </c>
      <c r="AU63">
        <f t="shared" si="77"/>
        <v>54</v>
      </c>
      <c r="AV63" s="542">
        <f t="shared" si="42"/>
        <v>0.94280130830493458</v>
      </c>
      <c r="AW63" s="551">
        <f t="shared" si="78"/>
        <v>91.829478718746586</v>
      </c>
      <c r="AX63" s="551">
        <f t="shared" si="79"/>
        <v>22.173705626726964</v>
      </c>
      <c r="AY63" s="9"/>
      <c r="AZ63" s="4">
        <f t="shared" si="43"/>
        <v>94.280130830493462</v>
      </c>
      <c r="BA63" s="360">
        <f t="shared" si="80"/>
        <v>0.3100903568264074</v>
      </c>
      <c r="BB63" s="360">
        <f t="shared" si="44"/>
        <v>2.4343965434993255</v>
      </c>
      <c r="BC63" s="360">
        <f t="shared" si="45"/>
        <v>1.8365895743749316</v>
      </c>
      <c r="BD63" s="360">
        <f t="shared" si="46"/>
        <v>0.58351856912439382</v>
      </c>
      <c r="BE63" s="360">
        <f t="shared" si="47"/>
        <v>7.2934091229383907E-2</v>
      </c>
      <c r="BK63" s="18"/>
      <c r="BL63" s="19"/>
    </row>
    <row r="64" spans="1:64" x14ac:dyDescent="0.2">
      <c r="A64" s="75"/>
      <c r="B64" s="30"/>
      <c r="G64">
        <v>55</v>
      </c>
      <c r="H64" s="548">
        <f t="shared" si="0"/>
        <v>21</v>
      </c>
      <c r="I64" s="4">
        <f t="shared" si="49"/>
        <v>1</v>
      </c>
      <c r="J64" s="360">
        <f t="shared" si="81"/>
        <v>2.75</v>
      </c>
      <c r="K64" s="4">
        <f t="shared" si="50"/>
        <v>2.9100529100529098</v>
      </c>
      <c r="L64" s="4"/>
      <c r="M64" s="360">
        <f t="shared" si="51"/>
        <v>0.95338313221484094</v>
      </c>
      <c r="N64" s="4">
        <f t="shared" si="52"/>
        <v>0.20218893412444783</v>
      </c>
      <c r="O64" s="4">
        <f t="shared" si="35"/>
        <v>2.8510944670622238</v>
      </c>
      <c r="P64" s="4">
        <f t="shared" si="36"/>
        <v>2.6489055329377762</v>
      </c>
      <c r="Q64" s="4">
        <f t="shared" si="53"/>
        <v>0</v>
      </c>
      <c r="R64" s="4">
        <f t="shared" si="54"/>
        <v>2.7506193297310695</v>
      </c>
      <c r="S64" s="360">
        <f t="shared" si="55"/>
        <v>1.0213974041071768E-2</v>
      </c>
      <c r="T64" s="360">
        <f t="shared" si="56"/>
        <v>0.3</v>
      </c>
      <c r="U64" s="360">
        <f t="shared" si="57"/>
        <v>0.31046766273289145</v>
      </c>
      <c r="V64" s="4">
        <f t="shared" si="37"/>
        <v>5.8366917771956732E-2</v>
      </c>
      <c r="W64" s="360">
        <f t="shared" si="58"/>
        <v>6.8133941803967175E-6</v>
      </c>
      <c r="X64" s="360">
        <f t="shared" si="38"/>
        <v>6.8133941803967175E-6</v>
      </c>
      <c r="Y64" s="4">
        <f t="shared" si="59"/>
        <v>0.57987684509819404</v>
      </c>
      <c r="Z64" s="360">
        <f t="shared" si="12"/>
        <v>3.3625715548103491E-4</v>
      </c>
      <c r="AA64" s="541">
        <f t="shared" si="39"/>
        <v>3.3625715548103491E-4</v>
      </c>
      <c r="AB64" s="360">
        <f t="shared" si="60"/>
        <v>2.6857415782083529</v>
      </c>
      <c r="AC64" s="360">
        <f t="shared" si="61"/>
        <v>4.3279246949502567E-2</v>
      </c>
      <c r="AD64" s="360">
        <f t="shared" si="62"/>
        <v>0.2156452815561693</v>
      </c>
      <c r="AE64" s="360">
        <f t="shared" si="63"/>
        <v>0.63444464999999983</v>
      </c>
      <c r="AF64" s="360">
        <f t="shared" si="64"/>
        <v>0</v>
      </c>
      <c r="AG64" s="360">
        <f t="shared" si="65"/>
        <v>0.8992850764024144</v>
      </c>
      <c r="AH64" s="360">
        <f t="shared" si="66"/>
        <v>0.59388456131903544</v>
      </c>
      <c r="AI64" s="360">
        <f t="shared" si="67"/>
        <v>8.8174718043275804E-4</v>
      </c>
      <c r="AJ64" s="360">
        <f t="shared" si="68"/>
        <v>0.11318999999999999</v>
      </c>
      <c r="AK64" s="360">
        <f t="shared" si="69"/>
        <v>0.1140918672168785</v>
      </c>
      <c r="AL64" s="360">
        <f t="shared" si="70"/>
        <v>0.11318999999999999</v>
      </c>
      <c r="AM64" s="360">
        <f t="shared" si="71"/>
        <v>1.4553</v>
      </c>
      <c r="AN64" s="360">
        <f t="shared" si="72"/>
        <v>7.5659066970901981E-2</v>
      </c>
      <c r="AO64" s="360">
        <f t="shared" si="73"/>
        <v>7.3499999999999998E-4</v>
      </c>
      <c r="AP64" s="360">
        <f t="shared" si="74"/>
        <v>0.34650000000000003</v>
      </c>
      <c r="AQ64" s="360">
        <f t="shared" si="75"/>
        <v>1.3167</v>
      </c>
      <c r="AR64" s="360">
        <f t="shared" si="76"/>
        <v>1.1088</v>
      </c>
      <c r="AS64" s="360">
        <f t="shared" si="48"/>
        <v>0.34723500000000002</v>
      </c>
      <c r="AT64" s="360">
        <f t="shared" si="41"/>
        <v>3.3155717438727477</v>
      </c>
      <c r="AU64">
        <f t="shared" si="77"/>
        <v>55</v>
      </c>
      <c r="AV64" s="542">
        <f t="shared" si="42"/>
        <v>0.94314431557946421</v>
      </c>
      <c r="AW64" s="551">
        <f t="shared" si="78"/>
        <v>92.98915382012072</v>
      </c>
      <c r="AX64" s="551">
        <f t="shared" si="79"/>
        <v>22.584952954241384</v>
      </c>
      <c r="AY64" s="9"/>
      <c r="AZ64" s="4">
        <f t="shared" si="43"/>
        <v>94.314431557946421</v>
      </c>
      <c r="BA64" s="360">
        <f t="shared" si="80"/>
        <v>0.31046766273289145</v>
      </c>
      <c r="BB64" s="360">
        <f t="shared" si="44"/>
        <v>2.4686769436192932</v>
      </c>
      <c r="BC64" s="360">
        <f t="shared" si="45"/>
        <v>1.8597830764024144</v>
      </c>
      <c r="BD64" s="360">
        <f t="shared" si="46"/>
        <v>0.59434086721687851</v>
      </c>
      <c r="BE64" s="360">
        <f t="shared" si="47"/>
        <v>7.5659066970901981E-2</v>
      </c>
      <c r="BK64" s="18"/>
      <c r="BL64" s="19"/>
    </row>
    <row r="65" spans="1:64" x14ac:dyDescent="0.2">
      <c r="G65">
        <v>56</v>
      </c>
      <c r="H65" s="548">
        <f t="shared" si="0"/>
        <v>21</v>
      </c>
      <c r="I65" s="4">
        <f t="shared" si="49"/>
        <v>1</v>
      </c>
      <c r="J65" s="360">
        <f t="shared" si="81"/>
        <v>2.8</v>
      </c>
      <c r="K65" s="4">
        <f t="shared" si="50"/>
        <v>2.9629629629629628</v>
      </c>
      <c r="L65" s="4"/>
      <c r="M65" s="360">
        <f t="shared" si="51"/>
        <v>0.95340133788811599</v>
      </c>
      <c r="N65" s="4">
        <f t="shared" si="52"/>
        <v>0.20211695635376181</v>
      </c>
      <c r="O65" s="4">
        <f t="shared" si="35"/>
        <v>2.9010584781768807</v>
      </c>
      <c r="P65" s="4">
        <f t="shared" si="36"/>
        <v>2.698941521823119</v>
      </c>
      <c r="Q65" s="4">
        <f t="shared" si="53"/>
        <v>0</v>
      </c>
      <c r="R65" s="4">
        <f t="shared" si="54"/>
        <v>2.8006078397383325</v>
      </c>
      <c r="S65" s="360">
        <f t="shared" si="55"/>
        <v>1.0588595767205142E-2</v>
      </c>
      <c r="T65" s="360">
        <f t="shared" si="56"/>
        <v>0.3</v>
      </c>
      <c r="U65" s="360">
        <f t="shared" si="57"/>
        <v>0.31085191458856837</v>
      </c>
      <c r="V65" s="4">
        <f t="shared" si="37"/>
        <v>5.8346139579316114E-2</v>
      </c>
      <c r="W65" s="360">
        <f t="shared" si="58"/>
        <v>6.8085440076180767E-6</v>
      </c>
      <c r="X65" s="360">
        <f t="shared" si="38"/>
        <v>6.8085440076180767E-6</v>
      </c>
      <c r="Y65" s="4">
        <f t="shared" si="59"/>
        <v>0.59030559923342729</v>
      </c>
      <c r="Z65" s="360">
        <f t="shared" si="12"/>
        <v>3.4846070048633564E-4</v>
      </c>
      <c r="AA65" s="541">
        <f t="shared" si="39"/>
        <v>3.4846070048633564E-4</v>
      </c>
      <c r="AB65" s="360">
        <f t="shared" si="60"/>
        <v>2.734577138521749</v>
      </c>
      <c r="AC65" s="360">
        <f t="shared" si="61"/>
        <v>4.4867472759154779E-2</v>
      </c>
      <c r="AD65" s="360">
        <f t="shared" si="62"/>
        <v>0.21956610485719058</v>
      </c>
      <c r="AE65" s="360">
        <f t="shared" si="63"/>
        <v>0.63444464999999983</v>
      </c>
      <c r="AF65" s="360">
        <f t="shared" si="64"/>
        <v>0</v>
      </c>
      <c r="AG65" s="360">
        <f t="shared" si="65"/>
        <v>0.90505054185727607</v>
      </c>
      <c r="AH65" s="360">
        <f t="shared" si="66"/>
        <v>0.60455946397191829</v>
      </c>
      <c r="AI65" s="360">
        <f t="shared" si="67"/>
        <v>9.1373036369503293E-4</v>
      </c>
      <c r="AJ65" s="360">
        <f t="shared" si="68"/>
        <v>0.11524799999999998</v>
      </c>
      <c r="AK65" s="360">
        <f t="shared" si="69"/>
        <v>0.11618296234378253</v>
      </c>
      <c r="AL65" s="360">
        <f t="shared" si="70"/>
        <v>0.11524799999999998</v>
      </c>
      <c r="AM65" s="360">
        <f t="shared" si="71"/>
        <v>1.48176</v>
      </c>
      <c r="AN65" s="360">
        <f t="shared" si="72"/>
        <v>7.8434042720038094E-2</v>
      </c>
      <c r="AO65" s="360">
        <f t="shared" si="73"/>
        <v>7.3499999999999998E-4</v>
      </c>
      <c r="AP65" s="360">
        <f t="shared" si="74"/>
        <v>0.34650000000000003</v>
      </c>
      <c r="AQ65" s="360">
        <f t="shared" si="75"/>
        <v>1.3167</v>
      </c>
      <c r="AR65" s="360">
        <f t="shared" si="76"/>
        <v>1.1088</v>
      </c>
      <c r="AS65" s="360">
        <f t="shared" si="48"/>
        <v>0.34723500000000002</v>
      </c>
      <c r="AT65" s="360">
        <f t="shared" si="41"/>
        <v>3.3551177307541593</v>
      </c>
      <c r="AU65">
        <f t="shared" si="77"/>
        <v>56</v>
      </c>
      <c r="AV65" s="542">
        <f t="shared" si="42"/>
        <v>0.94347382569480198</v>
      </c>
      <c r="AW65" s="551">
        <f t="shared" si="78"/>
        <v>94.150607092863808</v>
      </c>
      <c r="AX65" s="551">
        <f t="shared" si="79"/>
        <v>22.996222969063737</v>
      </c>
      <c r="AY65" s="9"/>
      <c r="AZ65" s="4">
        <f t="shared" si="43"/>
        <v>94.347382569480203</v>
      </c>
      <c r="BA65" s="360">
        <f t="shared" si="80"/>
        <v>0.31085191458856837</v>
      </c>
      <c r="BB65" s="360">
        <f t="shared" si="44"/>
        <v>2.5029935042010587</v>
      </c>
      <c r="BC65" s="360">
        <f t="shared" si="45"/>
        <v>1.8830121418572761</v>
      </c>
      <c r="BD65" s="360">
        <f t="shared" si="46"/>
        <v>0.60516376234378255</v>
      </c>
      <c r="BE65" s="360">
        <f t="shared" si="47"/>
        <v>7.8434042720038094E-2</v>
      </c>
      <c r="BK65" s="18"/>
      <c r="BL65" s="19"/>
    </row>
    <row r="66" spans="1:64" x14ac:dyDescent="0.2">
      <c r="A66" s="11" t="s">
        <v>77</v>
      </c>
      <c r="B66" s="31"/>
      <c r="C66" s="31"/>
      <c r="G66">
        <v>57</v>
      </c>
      <c r="H66" s="548">
        <f t="shared" si="0"/>
        <v>21</v>
      </c>
      <c r="I66" s="4">
        <f t="shared" si="49"/>
        <v>1</v>
      </c>
      <c r="J66" s="360">
        <f t="shared" si="81"/>
        <v>2.85</v>
      </c>
      <c r="K66" s="4">
        <f t="shared" si="50"/>
        <v>3.0158730158730154</v>
      </c>
      <c r="L66" s="4"/>
      <c r="M66" s="360">
        <f t="shared" si="51"/>
        <v>0.95341954299837872</v>
      </c>
      <c r="N66" s="4">
        <f t="shared" si="52"/>
        <v>0.2020449755674073</v>
      </c>
      <c r="O66" s="4">
        <f t="shared" si="35"/>
        <v>2.9510224877837037</v>
      </c>
      <c r="P66" s="4">
        <f t="shared" si="36"/>
        <v>2.7489775122162965</v>
      </c>
      <c r="Q66" s="4">
        <f t="shared" si="53"/>
        <v>0</v>
      </c>
      <c r="R66" s="4">
        <f t="shared" si="54"/>
        <v>2.8505967529061942</v>
      </c>
      <c r="S66" s="360">
        <f t="shared" si="55"/>
        <v>1.0969967494367105E-2</v>
      </c>
      <c r="T66" s="360">
        <f t="shared" si="56"/>
        <v>0.3</v>
      </c>
      <c r="U66" s="360">
        <f t="shared" si="57"/>
        <v>0.31124311364152657</v>
      </c>
      <c r="V66" s="4">
        <f t="shared" si="37"/>
        <v>5.8325360516126988E-2</v>
      </c>
      <c r="W66" s="360">
        <f t="shared" si="58"/>
        <v>6.8036953586723697E-6</v>
      </c>
      <c r="X66" s="360">
        <f t="shared" si="38"/>
        <v>6.8036953586723697E-6</v>
      </c>
      <c r="Y66" s="4">
        <f t="shared" si="59"/>
        <v>0.60073050170064968</v>
      </c>
      <c r="Z66" s="360">
        <f t="shared" si="12"/>
        <v>3.6087713567351426E-4</v>
      </c>
      <c r="AA66" s="541">
        <f t="shared" si="39"/>
        <v>3.6087713567351426E-4</v>
      </c>
      <c r="AB66" s="360">
        <f t="shared" si="60"/>
        <v>2.7834140234726337</v>
      </c>
      <c r="AC66" s="360">
        <f t="shared" si="61"/>
        <v>4.6484361756384693E-2</v>
      </c>
      <c r="AD66" s="360">
        <f t="shared" si="62"/>
        <v>0.22348692815821183</v>
      </c>
      <c r="AE66" s="360">
        <f t="shared" si="63"/>
        <v>0.63444464999999983</v>
      </c>
      <c r="AF66" s="360">
        <f t="shared" si="64"/>
        <v>0</v>
      </c>
      <c r="AG66" s="360">
        <f t="shared" si="65"/>
        <v>0.9108516744432632</v>
      </c>
      <c r="AH66" s="360">
        <f t="shared" si="66"/>
        <v>0.61523021838594882</v>
      </c>
      <c r="AI66" s="360">
        <f t="shared" si="67"/>
        <v>9.4627055403805581E-4</v>
      </c>
      <c r="AJ66" s="360">
        <f t="shared" si="68"/>
        <v>0.11730599999999999</v>
      </c>
      <c r="AK66" s="360">
        <f t="shared" si="69"/>
        <v>0.11827465451861004</v>
      </c>
      <c r="AL66" s="360">
        <f t="shared" si="70"/>
        <v>0.11730599999999999</v>
      </c>
      <c r="AM66" s="360">
        <f t="shared" si="71"/>
        <v>1.5082199999999999</v>
      </c>
      <c r="AN66" s="360">
        <f t="shared" si="72"/>
        <v>8.1259018476793371E-2</v>
      </c>
      <c r="AO66" s="360">
        <f t="shared" si="73"/>
        <v>7.3499999999999998E-4</v>
      </c>
      <c r="AP66" s="360">
        <f t="shared" si="74"/>
        <v>0.34650000000000003</v>
      </c>
      <c r="AQ66" s="360">
        <f t="shared" si="75"/>
        <v>1.3167</v>
      </c>
      <c r="AR66" s="360">
        <f t="shared" si="76"/>
        <v>1.1088</v>
      </c>
      <c r="AS66" s="360">
        <f t="shared" si="48"/>
        <v>0.34723500000000002</v>
      </c>
      <c r="AT66" s="360">
        <f t="shared" si="41"/>
        <v>3.3947571419112248</v>
      </c>
      <c r="AU66">
        <f t="shared" si="77"/>
        <v>57</v>
      </c>
      <c r="AV66" s="542">
        <f t="shared" si="42"/>
        <v>0.94379053244746935</v>
      </c>
      <c r="AW66" s="551">
        <f t="shared" si="78"/>
        <v>95.313843722163156</v>
      </c>
      <c r="AX66" s="551">
        <f t="shared" si="79"/>
        <v>23.407515671707181</v>
      </c>
      <c r="AY66" s="9"/>
      <c r="AZ66" s="4">
        <f t="shared" si="43"/>
        <v>94.379053244746942</v>
      </c>
      <c r="BA66" s="360">
        <f t="shared" si="80"/>
        <v>0.31124311364152657</v>
      </c>
      <c r="BB66" s="360">
        <f t="shared" si="44"/>
        <v>2.5373463289618732</v>
      </c>
      <c r="BC66" s="360">
        <f t="shared" si="45"/>
        <v>1.9062768744432632</v>
      </c>
      <c r="BD66" s="360">
        <f t="shared" si="46"/>
        <v>0.61598725451861003</v>
      </c>
      <c r="BE66" s="360">
        <f t="shared" si="47"/>
        <v>8.1259018476793371E-2</v>
      </c>
      <c r="BK66" s="18"/>
      <c r="BL66" s="19"/>
    </row>
    <row r="67" spans="1:64" x14ac:dyDescent="0.2">
      <c r="A67" s="14" t="s">
        <v>55</v>
      </c>
      <c r="B67" s="15" t="s">
        <v>7</v>
      </c>
      <c r="C67" s="15" t="s">
        <v>76</v>
      </c>
      <c r="G67">
        <v>58</v>
      </c>
      <c r="H67" s="548">
        <f t="shared" si="0"/>
        <v>21</v>
      </c>
      <c r="I67" s="4">
        <f t="shared" si="49"/>
        <v>1</v>
      </c>
      <c r="J67" s="360">
        <f t="shared" si="81"/>
        <v>2.9</v>
      </c>
      <c r="K67" s="4">
        <f t="shared" si="50"/>
        <v>3.0687830687830684</v>
      </c>
      <c r="L67" s="4"/>
      <c r="M67" s="360">
        <f t="shared" si="51"/>
        <v>0.95343774754565536</v>
      </c>
      <c r="N67" s="4">
        <f t="shared" si="52"/>
        <v>0.20197299176552347</v>
      </c>
      <c r="O67" s="4">
        <f t="shared" si="35"/>
        <v>3.0009864958827617</v>
      </c>
      <c r="P67" s="4">
        <f t="shared" si="36"/>
        <v>2.7990135041172381</v>
      </c>
      <c r="Q67" s="4">
        <f t="shared" si="53"/>
        <v>0</v>
      </c>
      <c r="R67" s="4">
        <f t="shared" si="54"/>
        <v>2.9005860483903754</v>
      </c>
      <c r="S67" s="360">
        <f t="shared" si="55"/>
        <v>1.1358089222557806E-2</v>
      </c>
      <c r="T67" s="360">
        <f t="shared" si="56"/>
        <v>0.3</v>
      </c>
      <c r="U67" s="360">
        <f t="shared" si="57"/>
        <v>0.31164126116253493</v>
      </c>
      <c r="V67" s="4">
        <f t="shared" si="37"/>
        <v>5.8304580582429523E-2</v>
      </c>
      <c r="W67" s="360">
        <f t="shared" si="58"/>
        <v>6.7988482337860355E-6</v>
      </c>
      <c r="X67" s="360">
        <f t="shared" si="38"/>
        <v>6.7988482337860355E-6</v>
      </c>
      <c r="Y67" s="4">
        <f t="shared" si="59"/>
        <v>0.61115154690317508</v>
      </c>
      <c r="Z67" s="360">
        <f t="shared" si="12"/>
        <v>3.735062132821438E-4</v>
      </c>
      <c r="AA67" s="541">
        <f t="shared" si="39"/>
        <v>3.735062132821438E-4</v>
      </c>
      <c r="AB67" s="360">
        <f t="shared" si="60"/>
        <v>2.8322522126625524</v>
      </c>
      <c r="AC67" s="360">
        <f t="shared" si="61"/>
        <v>4.8129915576791547E-2</v>
      </c>
      <c r="AD67" s="360">
        <f t="shared" si="62"/>
        <v>0.22740775145923309</v>
      </c>
      <c r="AE67" s="360">
        <f t="shared" si="63"/>
        <v>0.63444464999999983</v>
      </c>
      <c r="AF67" s="360">
        <f t="shared" si="64"/>
        <v>0</v>
      </c>
      <c r="AG67" s="360">
        <f t="shared" si="65"/>
        <v>0.916688578910829</v>
      </c>
      <c r="AH67" s="360">
        <f t="shared" si="66"/>
        <v>0.62589681896057636</v>
      </c>
      <c r="AI67" s="360">
        <f t="shared" si="67"/>
        <v>9.7936706996242136E-4</v>
      </c>
      <c r="AJ67" s="360">
        <f t="shared" si="68"/>
        <v>0.11936399999999998</v>
      </c>
      <c r="AK67" s="360">
        <f t="shared" si="69"/>
        <v>0.12036694375416737</v>
      </c>
      <c r="AL67" s="360">
        <f t="shared" si="70"/>
        <v>0.11936399999999998</v>
      </c>
      <c r="AM67" s="360">
        <f t="shared" si="71"/>
        <v>1.5346799999999998</v>
      </c>
      <c r="AN67" s="360">
        <f t="shared" si="72"/>
        <v>8.4133994241168936E-2</v>
      </c>
      <c r="AO67" s="360">
        <f t="shared" si="73"/>
        <v>7.3499999999999998E-4</v>
      </c>
      <c r="AP67" s="360">
        <f t="shared" si="74"/>
        <v>0.34650000000000003</v>
      </c>
      <c r="AQ67" s="360">
        <f t="shared" si="75"/>
        <v>1.3167</v>
      </c>
      <c r="AR67" s="360">
        <f t="shared" si="76"/>
        <v>1.1088</v>
      </c>
      <c r="AS67" s="360">
        <f t="shared" si="48"/>
        <v>0.34723500000000002</v>
      </c>
      <c r="AT67" s="360">
        <f t="shared" si="41"/>
        <v>3.4344900831302163</v>
      </c>
      <c r="AU67">
        <f t="shared" si="77"/>
        <v>58</v>
      </c>
      <c r="AV67" s="542">
        <f t="shared" si="42"/>
        <v>0.94409508277056053</v>
      </c>
      <c r="AW67" s="551">
        <f t="shared" si="78"/>
        <v>96.47886894554145</v>
      </c>
      <c r="AX67" s="551">
        <f t="shared" si="79"/>
        <v>23.818831062658361</v>
      </c>
      <c r="AY67" s="9"/>
      <c r="AZ67" s="4">
        <f t="shared" si="43"/>
        <v>94.409508277056048</v>
      </c>
      <c r="BA67" s="360">
        <f t="shared" si="80"/>
        <v>0.31164126116253493</v>
      </c>
      <c r="BB67" s="360">
        <f t="shared" si="44"/>
        <v>2.5717355226649961</v>
      </c>
      <c r="BC67" s="360">
        <f t="shared" si="45"/>
        <v>1.929577378910829</v>
      </c>
      <c r="BD67" s="360">
        <f t="shared" si="46"/>
        <v>0.62681134375416736</v>
      </c>
      <c r="BE67" s="360">
        <f t="shared" si="47"/>
        <v>8.4133994241168936E-2</v>
      </c>
      <c r="BK67" s="18"/>
      <c r="BL67" s="19"/>
    </row>
    <row r="68" spans="1:64" x14ac:dyDescent="0.2">
      <c r="A68" s="32" t="s">
        <v>208</v>
      </c>
      <c r="B68" s="449">
        <f>D2_Vinmin</f>
        <v>1</v>
      </c>
      <c r="C68" s="21" t="s">
        <v>18</v>
      </c>
      <c r="G68">
        <v>59</v>
      </c>
      <c r="H68" s="548">
        <f t="shared" si="0"/>
        <v>21</v>
      </c>
      <c r="I68" s="4">
        <f t="shared" si="49"/>
        <v>1</v>
      </c>
      <c r="J68" s="360">
        <f t="shared" si="81"/>
        <v>2.95</v>
      </c>
      <c r="K68" s="4">
        <f t="shared" si="50"/>
        <v>3.1216931216931214</v>
      </c>
      <c r="L68" s="4"/>
      <c r="M68" s="360">
        <f t="shared" si="51"/>
        <v>0.95345595152997209</v>
      </c>
      <c r="N68" s="4">
        <f t="shared" si="52"/>
        <v>0.20190100494825169</v>
      </c>
      <c r="O68" s="4">
        <f t="shared" si="35"/>
        <v>3.0509505024741261</v>
      </c>
      <c r="P68" s="4">
        <f t="shared" si="36"/>
        <v>2.8490494975258742</v>
      </c>
      <c r="Q68" s="4">
        <f t="shared" si="53"/>
        <v>0</v>
      </c>
      <c r="R68" s="4">
        <f t="shared" si="54"/>
        <v>2.9505757067590372</v>
      </c>
      <c r="S68" s="360">
        <f t="shared" si="55"/>
        <v>1.17529609517774E-2</v>
      </c>
      <c r="T68" s="360">
        <f t="shared" si="56"/>
        <v>0.3</v>
      </c>
      <c r="U68" s="360">
        <f t="shared" si="57"/>
        <v>0.31204635844505335</v>
      </c>
      <c r="V68" s="4">
        <f t="shared" si="37"/>
        <v>5.828379977826454E-2</v>
      </c>
      <c r="W68" s="360">
        <f t="shared" si="58"/>
        <v>6.7940026331856597E-6</v>
      </c>
      <c r="X68" s="360">
        <f t="shared" si="38"/>
        <v>6.7940026331856597E-6</v>
      </c>
      <c r="Y68" s="4">
        <f t="shared" si="59"/>
        <v>0.6215687295442649</v>
      </c>
      <c r="Z68" s="360">
        <f t="shared" si="12"/>
        <v>3.863476855472715E-4</v>
      </c>
      <c r="AA68" s="541">
        <f t="shared" si="39"/>
        <v>3.863476855472715E-4</v>
      </c>
      <c r="AB68" s="360">
        <f t="shared" si="60"/>
        <v>2.8810916870714549</v>
      </c>
      <c r="AC68" s="360">
        <f t="shared" si="61"/>
        <v>4.9804135855873455E-2</v>
      </c>
      <c r="AD68" s="360">
        <f t="shared" si="62"/>
        <v>0.23132857476025434</v>
      </c>
      <c r="AE68" s="360">
        <f t="shared" si="63"/>
        <v>0.63444464999999983</v>
      </c>
      <c r="AF68" s="360">
        <f t="shared" si="64"/>
        <v>0</v>
      </c>
      <c r="AG68" s="360">
        <f t="shared" si="65"/>
        <v>0.92256136106311626</v>
      </c>
      <c r="AH68" s="360">
        <f t="shared" si="66"/>
        <v>0.63655926040263533</v>
      </c>
      <c r="AI68" s="360">
        <f t="shared" si="67"/>
        <v>1.0130192300108751E-3</v>
      </c>
      <c r="AJ68" s="360">
        <f t="shared" si="68"/>
        <v>0.12142199999999999</v>
      </c>
      <c r="AK68" s="360">
        <f t="shared" si="69"/>
        <v>0.12245983006256231</v>
      </c>
      <c r="AL68" s="360">
        <f t="shared" si="70"/>
        <v>0.12142199999999999</v>
      </c>
      <c r="AM68" s="360">
        <f t="shared" si="71"/>
        <v>1.56114</v>
      </c>
      <c r="AN68" s="360">
        <f t="shared" si="72"/>
        <v>8.7058970013165912E-2</v>
      </c>
      <c r="AO68" s="360">
        <f t="shared" si="73"/>
        <v>7.3499999999999998E-4</v>
      </c>
      <c r="AP68" s="360">
        <f t="shared" si="74"/>
        <v>0.34650000000000003</v>
      </c>
      <c r="AQ68" s="360">
        <f t="shared" si="75"/>
        <v>1.3167</v>
      </c>
      <c r="AR68" s="360">
        <f t="shared" si="76"/>
        <v>1.1088</v>
      </c>
      <c r="AS68" s="360">
        <f t="shared" si="48"/>
        <v>0.34723500000000002</v>
      </c>
      <c r="AT68" s="360">
        <f t="shared" si="41"/>
        <v>3.4743166612720784</v>
      </c>
      <c r="AU68">
        <f t="shared" si="77"/>
        <v>59</v>
      </c>
      <c r="AV68" s="542">
        <f t="shared" si="42"/>
        <v>0.94438808062344426</v>
      </c>
      <c r="AW68" s="551">
        <f t="shared" si="78"/>
        <v>97.645688053155808</v>
      </c>
      <c r="AX68" s="551">
        <f t="shared" si="79"/>
        <v>24.230169142377367</v>
      </c>
      <c r="AY68" s="9"/>
      <c r="AZ68" s="4">
        <f t="shared" si="43"/>
        <v>94.438808062344421</v>
      </c>
      <c r="BA68" s="360">
        <f t="shared" si="80"/>
        <v>0.31204635844505335</v>
      </c>
      <c r="BB68" s="360">
        <f t="shared" si="44"/>
        <v>2.6061611911256786</v>
      </c>
      <c r="BC68" s="360">
        <f t="shared" si="45"/>
        <v>1.9529137610631162</v>
      </c>
      <c r="BD68" s="360">
        <f t="shared" si="46"/>
        <v>0.63763603006256231</v>
      </c>
      <c r="BE68" s="360">
        <f t="shared" si="47"/>
        <v>8.7058970013165912E-2</v>
      </c>
      <c r="BK68" s="18"/>
      <c r="BL68" s="19"/>
    </row>
    <row r="69" spans="1:64" x14ac:dyDescent="0.2">
      <c r="A69" s="23" t="s">
        <v>78</v>
      </c>
      <c r="B69" s="449">
        <f>1-B68</f>
        <v>0</v>
      </c>
      <c r="C69" s="21" t="s">
        <v>18</v>
      </c>
      <c r="G69">
        <v>60</v>
      </c>
      <c r="H69" s="548">
        <f t="shared" si="0"/>
        <v>21</v>
      </c>
      <c r="I69" s="4">
        <f t="shared" si="49"/>
        <v>1</v>
      </c>
      <c r="J69" s="360">
        <f t="shared" si="81"/>
        <v>3</v>
      </c>
      <c r="K69" s="4">
        <f t="shared" si="50"/>
        <v>3.1746031746031744</v>
      </c>
      <c r="L69" s="4"/>
      <c r="M69" s="360">
        <f t="shared" si="51"/>
        <v>0.95347415495135468</v>
      </c>
      <c r="N69" s="4">
        <f t="shared" si="52"/>
        <v>0.20182901511573098</v>
      </c>
      <c r="O69" s="4">
        <f t="shared" si="35"/>
        <v>3.1009145075578655</v>
      </c>
      <c r="P69" s="4">
        <f t="shared" si="36"/>
        <v>2.8990854924421345</v>
      </c>
      <c r="Q69" s="4">
        <f t="shared" si="53"/>
        <v>0</v>
      </c>
      <c r="R69" s="4">
        <f t="shared" si="54"/>
        <v>3.0005657098751475</v>
      </c>
      <c r="S69" s="360">
        <f t="shared" si="55"/>
        <v>1.2154582682026039E-2</v>
      </c>
      <c r="T69" s="360">
        <f t="shared" si="56"/>
        <v>0.3</v>
      </c>
      <c r="U69" s="360">
        <f t="shared" si="57"/>
        <v>0.31245840680524267</v>
      </c>
      <c r="V69" s="4">
        <f t="shared" si="37"/>
        <v>5.8263018103672168E-2</v>
      </c>
      <c r="W69" s="360">
        <f t="shared" si="58"/>
        <v>6.7891585570976617E-6</v>
      </c>
      <c r="X69" s="360">
        <f t="shared" si="38"/>
        <v>6.7891585570976617E-6</v>
      </c>
      <c r="Y69" s="4">
        <f t="shared" si="59"/>
        <v>0.63198204460207907</v>
      </c>
      <c r="Z69" s="360">
        <f t="shared" si="12"/>
        <v>3.9940130469942424E-4</v>
      </c>
      <c r="AA69" s="541">
        <f t="shared" si="39"/>
        <v>3.9940130469942424E-4</v>
      </c>
      <c r="AB69" s="360">
        <f t="shared" si="60"/>
        <v>2.9299324289428967</v>
      </c>
      <c r="AC69" s="360">
        <f t="shared" si="61"/>
        <v>5.1507024229027344E-2</v>
      </c>
      <c r="AD69" s="360">
        <f t="shared" si="62"/>
        <v>0.23524939806127562</v>
      </c>
      <c r="AE69" s="360">
        <f t="shared" si="63"/>
        <v>0.63444464999999983</v>
      </c>
      <c r="AF69" s="360">
        <f t="shared" si="64"/>
        <v>0</v>
      </c>
      <c r="AG69" s="360">
        <f t="shared" si="65"/>
        <v>0.92847012776202087</v>
      </c>
      <c r="AH69" s="360">
        <f t="shared" si="66"/>
        <v>0.6472175377006768</v>
      </c>
      <c r="AI69" s="360">
        <f t="shared" si="67"/>
        <v>1.0472263527683174E-3</v>
      </c>
      <c r="AJ69" s="360">
        <f t="shared" si="68"/>
        <v>0.12347999999999998</v>
      </c>
      <c r="AK69" s="360">
        <f t="shared" si="69"/>
        <v>0.12455331345520328</v>
      </c>
      <c r="AL69" s="360">
        <f t="shared" si="70"/>
        <v>0.12347999999999998</v>
      </c>
      <c r="AM69" s="360">
        <f t="shared" si="71"/>
        <v>1.5875999999999997</v>
      </c>
      <c r="AN69" s="360">
        <f t="shared" si="72"/>
        <v>9.0033945792785466E-2</v>
      </c>
      <c r="AO69" s="360">
        <f t="shared" si="73"/>
        <v>7.3499999999999998E-4</v>
      </c>
      <c r="AP69" s="360">
        <f t="shared" si="74"/>
        <v>0.34650000000000003</v>
      </c>
      <c r="AQ69" s="360">
        <f t="shared" si="75"/>
        <v>1.3167</v>
      </c>
      <c r="AR69" s="360">
        <f t="shared" si="76"/>
        <v>1.1088</v>
      </c>
      <c r="AS69" s="360">
        <f t="shared" si="48"/>
        <v>0.34723500000000002</v>
      </c>
      <c r="AT69" s="360">
        <f t="shared" si="41"/>
        <v>3.5142369842785084</v>
      </c>
      <c r="AU69">
        <f t="shared" si="77"/>
        <v>60</v>
      </c>
      <c r="AV69" s="542">
        <f t="shared" si="42"/>
        <v>0.94467009050036488</v>
      </c>
      <c r="AW69" s="551">
        <f t="shared" si="78"/>
        <v>98.814306388101031</v>
      </c>
      <c r="AX69" s="551">
        <f t="shared" si="79"/>
        <v>24.64152991129772</v>
      </c>
      <c r="AY69" s="9"/>
      <c r="AZ69" s="4">
        <f t="shared" si="43"/>
        <v>94.467009050036495</v>
      </c>
      <c r="BA69" s="360">
        <f t="shared" si="80"/>
        <v>0.31245840680524267</v>
      </c>
      <c r="BB69" s="360">
        <f t="shared" si="44"/>
        <v>2.6406234412172238</v>
      </c>
      <c r="BC69" s="360">
        <f t="shared" si="45"/>
        <v>1.9762861277620207</v>
      </c>
      <c r="BD69" s="360">
        <f t="shared" si="46"/>
        <v>0.64846131345520319</v>
      </c>
      <c r="BE69" s="360">
        <f t="shared" si="47"/>
        <v>9.0033945792785466E-2</v>
      </c>
      <c r="BK69" s="18"/>
      <c r="BL69" s="19"/>
    </row>
    <row r="70" spans="1:64" x14ac:dyDescent="0.2">
      <c r="A70" s="33" t="s">
        <v>209</v>
      </c>
      <c r="B70" s="449">
        <f>Iripple2_Vinnom</f>
        <v>0.20623695386165694</v>
      </c>
      <c r="C70" s="21" t="s">
        <v>1</v>
      </c>
      <c r="G70">
        <v>61</v>
      </c>
      <c r="H70" s="548">
        <f t="shared" si="0"/>
        <v>21</v>
      </c>
      <c r="I70" s="4">
        <f t="shared" si="49"/>
        <v>1</v>
      </c>
      <c r="J70" s="360">
        <f t="shared" si="81"/>
        <v>3.05</v>
      </c>
      <c r="K70" s="4">
        <f t="shared" si="50"/>
        <v>3.227513227513227</v>
      </c>
      <c r="L70" s="4"/>
      <c r="M70" s="360">
        <f t="shared" si="51"/>
        <v>0.95349235780982955</v>
      </c>
      <c r="N70" s="4">
        <f t="shared" si="52"/>
        <v>0.20175702226810133</v>
      </c>
      <c r="O70" s="4">
        <f t="shared" si="35"/>
        <v>3.1508785111340503</v>
      </c>
      <c r="P70" s="4">
        <f t="shared" si="36"/>
        <v>2.9491214888659494</v>
      </c>
      <c r="Q70" s="4">
        <f t="shared" si="53"/>
        <v>0</v>
      </c>
      <c r="R70" s="4">
        <f t="shared" si="54"/>
        <v>3.0505560407904118</v>
      </c>
      <c r="S70" s="360">
        <f t="shared" si="55"/>
        <v>1.256295441330388E-2</v>
      </c>
      <c r="T70" s="360">
        <f t="shared" si="56"/>
        <v>0.3</v>
      </c>
      <c r="U70" s="360">
        <f t="shared" si="57"/>
        <v>0.3128774075819763</v>
      </c>
      <c r="V70" s="4">
        <f t="shared" si="37"/>
        <v>5.8242235558692811E-2</v>
      </c>
      <c r="W70" s="360">
        <f t="shared" si="58"/>
        <v>6.7843160057485229E-6</v>
      </c>
      <c r="X70" s="360">
        <f t="shared" si="38"/>
        <v>6.7843160057485229E-6</v>
      </c>
      <c r="Y70" s="4">
        <f t="shared" si="59"/>
        <v>0.64239148730707951</v>
      </c>
      <c r="Z70" s="360">
        <f t="shared" si="12"/>
        <v>4.1266682296460175E-4</v>
      </c>
      <c r="AA70" s="541">
        <f t="shared" si="39"/>
        <v>4.1266682296460175E-4</v>
      </c>
      <c r="AB70" s="360">
        <f t="shared" si="60"/>
        <v>2.9787744216805274</v>
      </c>
      <c r="AC70" s="360">
        <f t="shared" si="61"/>
        <v>5.3238582331548961E-2</v>
      </c>
      <c r="AD70" s="360">
        <f t="shared" si="62"/>
        <v>0.23917022136229688</v>
      </c>
      <c r="AE70" s="360">
        <f t="shared" si="63"/>
        <v>0.63444464999999983</v>
      </c>
      <c r="AF70" s="360">
        <f t="shared" si="64"/>
        <v>0</v>
      </c>
      <c r="AG70" s="360">
        <f t="shared" si="65"/>
        <v>0.93441498693433367</v>
      </c>
      <c r="AH70" s="360">
        <f t="shared" si="66"/>
        <v>0.65787164610181426</v>
      </c>
      <c r="AI70" s="360">
        <f t="shared" si="67"/>
        <v>1.0819877568617768E-3</v>
      </c>
      <c r="AJ70" s="360">
        <f t="shared" si="68"/>
        <v>0.12553799999999998</v>
      </c>
      <c r="AK70" s="360">
        <f t="shared" si="69"/>
        <v>0.12664739394279867</v>
      </c>
      <c r="AL70" s="360">
        <f t="shared" si="70"/>
        <v>0.12553799999999998</v>
      </c>
      <c r="AM70" s="360">
        <f t="shared" si="71"/>
        <v>1.6140600000000001</v>
      </c>
      <c r="AN70" s="360">
        <f t="shared" si="72"/>
        <v>9.3058921580028736E-2</v>
      </c>
      <c r="AO70" s="360">
        <f t="shared" si="73"/>
        <v>7.3499999999999998E-4</v>
      </c>
      <c r="AP70" s="360">
        <f t="shared" si="74"/>
        <v>0.34650000000000003</v>
      </c>
      <c r="AQ70" s="360">
        <f t="shared" si="75"/>
        <v>1.3167</v>
      </c>
      <c r="AR70" s="360">
        <f t="shared" si="76"/>
        <v>1.1088</v>
      </c>
      <c r="AS70" s="360">
        <f t="shared" si="48"/>
        <v>0.34723500000000002</v>
      </c>
      <c r="AT70" s="360">
        <f t="shared" si="41"/>
        <v>3.5542511611781076</v>
      </c>
      <c r="AU70">
        <f t="shared" si="77"/>
        <v>61</v>
      </c>
      <c r="AV70" s="542">
        <f t="shared" si="42"/>
        <v>0.9449416406008041</v>
      </c>
      <c r="AW70" s="551">
        <f t="shared" si="78"/>
        <v>99.984729346716676</v>
      </c>
      <c r="AX70" s="551">
        <f t="shared" si="79"/>
        <v>25.052913369826349</v>
      </c>
      <c r="AY70" s="9"/>
      <c r="AZ70" s="4">
        <f t="shared" si="43"/>
        <v>94.494164060080408</v>
      </c>
      <c r="BA70" s="360">
        <f t="shared" si="80"/>
        <v>0.3128774075819763</v>
      </c>
      <c r="BB70" s="360">
        <f t="shared" si="44"/>
        <v>2.6751223808771325</v>
      </c>
      <c r="BC70" s="360">
        <f t="shared" si="45"/>
        <v>1.9996945869343337</v>
      </c>
      <c r="BD70" s="360">
        <f t="shared" si="46"/>
        <v>0.65928719394279867</v>
      </c>
      <c r="BE70" s="360">
        <f t="shared" si="47"/>
        <v>9.3058921580028736E-2</v>
      </c>
      <c r="BK70" s="18"/>
      <c r="BL70" s="19"/>
    </row>
    <row r="71" spans="1:64" x14ac:dyDescent="0.2">
      <c r="A71" s="14" t="s">
        <v>59</v>
      </c>
      <c r="B71" s="15" t="s">
        <v>7</v>
      </c>
      <c r="C71" s="17" t="s">
        <v>76</v>
      </c>
      <c r="G71">
        <v>62</v>
      </c>
      <c r="H71" s="548">
        <f t="shared" si="0"/>
        <v>21</v>
      </c>
      <c r="I71" s="4">
        <f t="shared" si="49"/>
        <v>1</v>
      </c>
      <c r="J71" s="360">
        <f t="shared" si="81"/>
        <v>3.1</v>
      </c>
      <c r="K71" s="4">
        <f t="shared" si="50"/>
        <v>3.28042328042328</v>
      </c>
      <c r="L71" s="4"/>
      <c r="M71" s="360">
        <f t="shared" si="51"/>
        <v>0.95351056010542257</v>
      </c>
      <c r="N71" s="4">
        <f t="shared" si="52"/>
        <v>0.20168502640550248</v>
      </c>
      <c r="O71" s="4">
        <f t="shared" si="35"/>
        <v>3.2008425132027511</v>
      </c>
      <c r="P71" s="4">
        <f t="shared" si="36"/>
        <v>2.999157486797249</v>
      </c>
      <c r="Q71" s="4">
        <f t="shared" si="53"/>
        <v>0</v>
      </c>
      <c r="R71" s="4">
        <f t="shared" si="54"/>
        <v>3.1005466836494628</v>
      </c>
      <c r="S71" s="360">
        <f t="shared" si="55"/>
        <v>1.297807614561107E-2</v>
      </c>
      <c r="T71" s="360">
        <f t="shared" si="56"/>
        <v>0.3</v>
      </c>
      <c r="U71" s="360">
        <f t="shared" si="57"/>
        <v>0.31330336213685012</v>
      </c>
      <c r="V71" s="4">
        <f t="shared" si="37"/>
        <v>5.8221452143366825E-2</v>
      </c>
      <c r="W71" s="360">
        <f t="shared" si="58"/>
        <v>6.779474979364707E-6</v>
      </c>
      <c r="X71" s="360">
        <f t="shared" si="38"/>
        <v>6.779474979364707E-6</v>
      </c>
      <c r="Y71" s="4">
        <f t="shared" si="59"/>
        <v>0.65279705312163272</v>
      </c>
      <c r="Z71" s="360">
        <f t="shared" si="12"/>
        <v>4.2614399256428779E-4</v>
      </c>
      <c r="AA71" s="541">
        <f t="shared" si="39"/>
        <v>4.2614399256428779E-4</v>
      </c>
      <c r="AB71" s="360">
        <f t="shared" si="60"/>
        <v>3.0276176497545904</v>
      </c>
      <c r="AC71" s="360">
        <f t="shared" si="61"/>
        <v>5.4998811798633057E-2</v>
      </c>
      <c r="AD71" s="360">
        <f t="shared" si="62"/>
        <v>0.24309104466331818</v>
      </c>
      <c r="AE71" s="360">
        <f t="shared" si="63"/>
        <v>0.63444464999999983</v>
      </c>
      <c r="AF71" s="360">
        <f t="shared" si="64"/>
        <v>0</v>
      </c>
      <c r="AG71" s="360">
        <f t="shared" si="65"/>
        <v>0.9403960475779628</v>
      </c>
      <c r="AH71" s="360">
        <f t="shared" si="66"/>
        <v>0.66852158109082327</v>
      </c>
      <c r="AI71" s="360">
        <f t="shared" si="67"/>
        <v>1.1173027609604356E-3</v>
      </c>
      <c r="AJ71" s="360">
        <f t="shared" si="68"/>
        <v>0.12759599999999999</v>
      </c>
      <c r="AK71" s="360">
        <f t="shared" si="69"/>
        <v>0.12874207153535608</v>
      </c>
      <c r="AL71" s="360">
        <f t="shared" si="70"/>
        <v>0.12759599999999999</v>
      </c>
      <c r="AM71" s="360">
        <f t="shared" si="71"/>
        <v>1.6405200000000002</v>
      </c>
      <c r="AN71" s="360">
        <f t="shared" si="72"/>
        <v>9.6133897374896818E-2</v>
      </c>
      <c r="AO71" s="360">
        <f t="shared" si="73"/>
        <v>7.3499999999999998E-4</v>
      </c>
      <c r="AP71" s="360">
        <f t="shared" si="74"/>
        <v>0.34650000000000003</v>
      </c>
      <c r="AQ71" s="360">
        <f t="shared" si="75"/>
        <v>1.3167</v>
      </c>
      <c r="AR71" s="360">
        <f t="shared" si="76"/>
        <v>1.1088</v>
      </c>
      <c r="AS71" s="360">
        <f t="shared" si="48"/>
        <v>0.34723500000000002</v>
      </c>
      <c r="AT71" s="360">
        <f t="shared" si="41"/>
        <v>3.5943593020926095</v>
      </c>
      <c r="AU71">
        <f t="shared" si="77"/>
        <v>62</v>
      </c>
      <c r="AV71" s="542">
        <f t="shared" si="42"/>
        <v>0.94520322569904358</v>
      </c>
      <c r="AW71" s="551">
        <f t="shared" si="78"/>
        <v>101.15696237889816</v>
      </c>
      <c r="AX71" s="551">
        <f t="shared" si="79"/>
        <v>25.464319518343533</v>
      </c>
      <c r="AY71" s="9"/>
      <c r="AZ71" s="4">
        <f t="shared" si="43"/>
        <v>94.520322569904351</v>
      </c>
      <c r="BA71" s="360">
        <f t="shared" si="80"/>
        <v>0.31330336213685012</v>
      </c>
      <c r="BB71" s="360">
        <f t="shared" si="44"/>
        <v>2.7096581191133193</v>
      </c>
      <c r="BC71" s="360">
        <f t="shared" si="45"/>
        <v>2.023139247577963</v>
      </c>
      <c r="BD71" s="360">
        <f t="shared" si="46"/>
        <v>0.67011367153535617</v>
      </c>
      <c r="BE71" s="360">
        <f t="shared" si="47"/>
        <v>9.6133897374896818E-2</v>
      </c>
      <c r="BK71" s="18"/>
      <c r="BL71" s="19"/>
    </row>
    <row r="72" spans="1:64" x14ac:dyDescent="0.2">
      <c r="A72" s="32" t="s">
        <v>88</v>
      </c>
      <c r="B72" s="450">
        <f>(Qgd_Q3+Qgs_Q3/2)*(RdsonDRT+Rgate3)/(VCC-Vsp_Q3)*1000000000</f>
        <v>2.4482225656877898</v>
      </c>
      <c r="C72" s="21" t="s">
        <v>75</v>
      </c>
      <c r="D72" s="114" t="s">
        <v>508</v>
      </c>
      <c r="G72">
        <v>63</v>
      </c>
      <c r="H72" s="548">
        <f t="shared" si="0"/>
        <v>21</v>
      </c>
      <c r="I72" s="4">
        <f t="shared" si="49"/>
        <v>1</v>
      </c>
      <c r="J72" s="360">
        <f t="shared" si="81"/>
        <v>3.15</v>
      </c>
      <c r="K72" s="4">
        <f t="shared" si="50"/>
        <v>3.333333333333333</v>
      </c>
      <c r="L72" s="4"/>
      <c r="M72" s="360">
        <f t="shared" si="51"/>
        <v>0.95352876183816004</v>
      </c>
      <c r="N72" s="4">
        <f t="shared" si="52"/>
        <v>0.20161302752807436</v>
      </c>
      <c r="O72" s="4">
        <f t="shared" si="35"/>
        <v>3.250806513764037</v>
      </c>
      <c r="P72" s="4">
        <f t="shared" si="36"/>
        <v>3.0491934862359629</v>
      </c>
      <c r="Q72" s="4">
        <f t="shared" si="53"/>
        <v>0</v>
      </c>
      <c r="R72" s="4">
        <f t="shared" si="54"/>
        <v>3.1505376236031664</v>
      </c>
      <c r="S72" s="360">
        <f t="shared" si="55"/>
        <v>1.3399947878947768E-2</v>
      </c>
      <c r="T72" s="360">
        <f t="shared" si="56"/>
        <v>0.3</v>
      </c>
      <c r="U72" s="360">
        <f t="shared" si="57"/>
        <v>0.31373627185419428</v>
      </c>
      <c r="V72" s="4">
        <f t="shared" si="37"/>
        <v>5.8200667857734582E-2</v>
      </c>
      <c r="W72" s="360">
        <f t="shared" si="58"/>
        <v>6.7746354781726792E-6</v>
      </c>
      <c r="X72" s="360">
        <f t="shared" si="38"/>
        <v>6.7746354781726792E-6</v>
      </c>
      <c r="Y72" s="4">
        <f t="shared" si="59"/>
        <v>0.66319873772154059</v>
      </c>
      <c r="Z72" s="360">
        <f t="shared" si="12"/>
        <v>4.3983256571544478E-4</v>
      </c>
      <c r="AA72" s="541">
        <f t="shared" si="39"/>
        <v>4.3983256571544478E-4</v>
      </c>
      <c r="AB72" s="360">
        <f t="shared" si="60"/>
        <v>3.0764620986173137</v>
      </c>
      <c r="AC72" s="360">
        <f t="shared" si="61"/>
        <v>5.6787714265373074E-2</v>
      </c>
      <c r="AD72" s="360">
        <f t="shared" si="62"/>
        <v>0.24701186796433933</v>
      </c>
      <c r="AE72" s="360">
        <f t="shared" si="63"/>
        <v>0.63444464999999983</v>
      </c>
      <c r="AF72" s="360">
        <f t="shared" si="64"/>
        <v>0</v>
      </c>
      <c r="AG72" s="360">
        <f t="shared" si="65"/>
        <v>0.94641341976823679</v>
      </c>
      <c r="AH72" s="360">
        <f t="shared" si="66"/>
        <v>0.67916733837121457</v>
      </c>
      <c r="AI72" s="360">
        <f t="shared" si="67"/>
        <v>1.1531706837755997E-3</v>
      </c>
      <c r="AJ72" s="360">
        <f t="shared" si="68"/>
        <v>0.12965399999999999</v>
      </c>
      <c r="AK72" s="360">
        <f t="shared" si="69"/>
        <v>0.13083734624218149</v>
      </c>
      <c r="AL72" s="360">
        <f t="shared" si="70"/>
        <v>0.12965399999999999</v>
      </c>
      <c r="AM72" s="360">
        <f t="shared" si="71"/>
        <v>1.6669799999999999</v>
      </c>
      <c r="AN72" s="360">
        <f t="shared" si="72"/>
        <v>9.9258873177390863E-2</v>
      </c>
      <c r="AO72" s="360">
        <f t="shared" si="73"/>
        <v>7.3499999999999998E-4</v>
      </c>
      <c r="AP72" s="360">
        <f t="shared" si="74"/>
        <v>0.34650000000000003</v>
      </c>
      <c r="AQ72" s="360">
        <f t="shared" si="75"/>
        <v>1.3167</v>
      </c>
      <c r="AR72" s="360">
        <f t="shared" si="76"/>
        <v>1.1088</v>
      </c>
      <c r="AS72" s="360">
        <f t="shared" si="48"/>
        <v>0.34723500000000002</v>
      </c>
      <c r="AT72" s="360">
        <f t="shared" si="41"/>
        <v>3.6345615182431965</v>
      </c>
      <c r="AU72">
        <f t="shared" si="77"/>
        <v>63</v>
      </c>
      <c r="AV72" s="542">
        <f t="shared" si="42"/>
        <v>0.94545530974570702</v>
      </c>
      <c r="AW72" s="551">
        <f t="shared" si="78"/>
        <v>102.33101098841185</v>
      </c>
      <c r="AX72" s="551">
        <f t="shared" si="79"/>
        <v>25.875748357202895</v>
      </c>
      <c r="AY72" s="9"/>
      <c r="AZ72" s="4">
        <f t="shared" si="43"/>
        <v>94.545530974570696</v>
      </c>
      <c r="BA72" s="360">
        <f t="shared" si="80"/>
        <v>0.31373627185419428</v>
      </c>
      <c r="BB72" s="360">
        <f t="shared" si="44"/>
        <v>2.7442307660104182</v>
      </c>
      <c r="BC72" s="360">
        <f t="shared" si="45"/>
        <v>2.0466202197682368</v>
      </c>
      <c r="BD72" s="360">
        <f t="shared" si="46"/>
        <v>0.68094074624218148</v>
      </c>
      <c r="BE72" s="360">
        <f t="shared" si="47"/>
        <v>9.9258873177390863E-2</v>
      </c>
      <c r="BK72" s="18"/>
      <c r="BL72" s="19"/>
    </row>
    <row r="73" spans="1:64" x14ac:dyDescent="0.2">
      <c r="A73" s="33" t="s">
        <v>89</v>
      </c>
      <c r="B73" s="450">
        <f>(Qgd_Q3+Qgs_Q3/2)*(RdsonDRT2+Rgate3)/(Vsp_Q3)*1000000000</f>
        <v>1.1080797481636935</v>
      </c>
      <c r="C73" s="21" t="s">
        <v>75</v>
      </c>
      <c r="D73" s="114" t="s">
        <v>509</v>
      </c>
      <c r="G73">
        <v>64</v>
      </c>
      <c r="H73" s="548">
        <f t="shared" ref="H73:H109" si="82">Vin</f>
        <v>21</v>
      </c>
      <c r="I73" s="4">
        <f t="shared" ref="I73:I109" si="83">MODE</f>
        <v>1</v>
      </c>
      <c r="J73" s="360">
        <f t="shared" si="81"/>
        <v>3.2</v>
      </c>
      <c r="K73" s="4">
        <f t="shared" ref="K73:K104" si="84">Vout2*J73/(Vin*Efficiency)</f>
        <v>3.3862433862433861</v>
      </c>
      <c r="L73" s="4"/>
      <c r="M73" s="360">
        <f t="shared" ref="M73:M109" si="85">(Vout2+(Rdson4+Rs+Rdcr)*J73)/(Vin+(Rs+Rdson2-Rdson1)*J73)</f>
        <v>0.95354696300806807</v>
      </c>
      <c r="N73" s="4">
        <f t="shared" ref="N73:N104" si="86">(Vin-(Rdson3+Rdcr2)*J73-Vout2)*M73/(Fsw*Lo_2)</f>
        <v>0.20154102563595605</v>
      </c>
      <c r="O73" s="4">
        <f t="shared" si="35"/>
        <v>3.3007705128179783</v>
      </c>
      <c r="P73" s="4">
        <f t="shared" si="36"/>
        <v>3.0992294871820221</v>
      </c>
      <c r="Q73" s="4">
        <f t="shared" ref="Q73:Q104" si="87">IF(MIN(Vin, -P73/(Coss_Q3+Coss_Q4)*0.00000002)&lt;0, 0, MIN(Vin, -P73/(Coss_Q3+Coss_Q4)*0.00000002))</f>
        <v>0</v>
      </c>
      <c r="R73" s="4">
        <f t="shared" ref="R73:R109" si="88">SQRT(J73^2+(N73^2)/12)</f>
        <v>3.200528846730053</v>
      </c>
      <c r="S73" s="360">
        <f t="shared" ref="S73:S104" si="89">R73^2*Rdcr2</f>
        <v>1.3828569613314126E-2</v>
      </c>
      <c r="T73" s="360">
        <f t="shared" ref="T73:T109" si="90">Core_Loss_Ch1</f>
        <v>0.3</v>
      </c>
      <c r="U73" s="360">
        <f t="shared" ref="U73:U104" si="91">(T73+S73*(1+Ltc*(Ta-25)))/(1-S73*Ltc*ThetaCa)</f>
        <v>0.31417613814108419</v>
      </c>
      <c r="V73" s="4">
        <f t="shared" si="37"/>
        <v>5.8179882701836251E-2</v>
      </c>
      <c r="W73" s="360">
        <f t="shared" ref="W73:W104" si="92">Cout2_ESR*V73^2</f>
        <v>6.7697975023988505E-6</v>
      </c>
      <c r="X73" s="360">
        <f t="shared" si="38"/>
        <v>6.7697975023988505E-6</v>
      </c>
      <c r="Y73" s="4">
        <f t="shared" ref="Y73:Y109" si="93">SQRT(M73*(1-M73))*SQRT(J73^2+(N73^2)/12)</f>
        <v>0.67359653697931088</v>
      </c>
      <c r="Z73" s="360">
        <f t="shared" si="12"/>
        <v>4.5373229463052011E-4</v>
      </c>
      <c r="AA73" s="541">
        <f t="shared" si="39"/>
        <v>4.5373229463052011E-4</v>
      </c>
      <c r="AB73" s="360">
        <f t="shared" ref="AB73:AB109" si="94">SQRT(M73)*SQRT(J73^2+(N73^2)/12)</f>
        <v>3.1253077546262409</v>
      </c>
      <c r="AC73" s="360">
        <f t="shared" ref="AC73:AC104" si="95">Rdson3*AB73^2</f>
        <v>5.8605291366761493E-2</v>
      </c>
      <c r="AD73" s="360">
        <f t="shared" ref="AD73:AD109" si="96">(Vin*J73/2)*Fsw*(Tr_Ch2+Tf_Ch2)</f>
        <v>0.25093269126536066</v>
      </c>
      <c r="AE73" s="360">
        <f t="shared" ref="AE73:AE109" si="97">(0.5*Coss_Q3*(Vin-Q73)^2-0.5*Coss_Q4*(Vin-Q73)^2+(Qoss_Q4*(Vin-Q73)/Vin)*Vin)*Fsw</f>
        <v>0.63444464999999983</v>
      </c>
      <c r="AF73" s="360">
        <f t="shared" ref="AF73:AF109" si="98">IF(J73&gt;N73/2,0,ABS(J73-N73/2)*Vsd_Q3*Deadtime*Fsw)</f>
        <v>0</v>
      </c>
      <c r="AG73" s="360">
        <f t="shared" ref="AG73:AG104" si="99">(AF73+AE73+AD73+AC73*(1+RdsonTopTc*Ta-RdsonTopTc*25))/(1-AC73*RdsonTopTc*ThetaJA_Q2)</f>
        <v>0.95246721466429063</v>
      </c>
      <c r="AH73" s="360">
        <f t="shared" ref="AH73:AH109" si="100">SQRT((1-M73))*SQRT(J73^2+(N73^2)/12)</f>
        <v>0.68980891384809351</v>
      </c>
      <c r="AI73" s="360">
        <f t="shared" ref="AI73:AI104" si="101">Rdson4*AH73^2</f>
        <v>1.1895908440607162E-3</v>
      </c>
      <c r="AJ73" s="360">
        <f t="shared" ref="AJ73:AJ109" si="102">IF(J73&lt;N73/2,Deadtime*Fsw*IF(VfdSky_Q4&gt;0,0,Vsd_Q4)*(J73+N73/2),2*Deadtime*Fsw*IF(VfdSky_Q4&gt;0,0,Vsd_Q4)*J73)</f>
        <v>0.131712</v>
      </c>
      <c r="AK73" s="360">
        <f t="shared" ref="AK73:AK104" si="103">(AJ73+AI73*(1+RdsonBotTc*Ta-RdsonBotTc*25))/(1-AI73*RdsonBotTc*ThetaJA_Q3)</f>
        <v>0.13293321807187869</v>
      </c>
      <c r="AL73" s="360">
        <f t="shared" ref="AL73:AL109" si="104">2*Deadtime*Fsw*IF(VfdSky_Q4&gt;0,VfdSky_Q4,Vsd_Q4)*J73</f>
        <v>0.131712</v>
      </c>
      <c r="AM73" s="360">
        <f t="shared" ref="AM73:AM109" si="105">IF(QrrSky_Q4&gt;0,QrrSky_Q4,Qrr_Q4*J73/Iout2)*Fsw*Vin</f>
        <v>1.6934400000000001</v>
      </c>
      <c r="AN73" s="360">
        <f t="shared" ref="AN73:AN109" si="106">CHOOSE(SENSING_TYPE, Rs_Ch2*R73^2, 0)</f>
        <v>0.10243384898751204</v>
      </c>
      <c r="AO73" s="360">
        <f t="shared" ref="AO73:AO109" si="107">Iq*Vin</f>
        <v>7.3499999999999998E-4</v>
      </c>
      <c r="AP73" s="360">
        <f t="shared" ref="AP73:AP109" si="108">IF(Ext_VCC=1,  (Qg_Q3+Qg_Q4)*Fsw*VCC, (Qg_Q3+Qg_Q4)*Fsw*Vin)</f>
        <v>0.34650000000000003</v>
      </c>
      <c r="AQ73" s="360">
        <f t="shared" ref="AQ73:AQ109" si="109">(Vin-VCC)*Fsw*(Qg_Q3+Qg_Q4)+(RdsonDRT+RdsonDRT2)*Fsw*Qg_Q3*VCC/(RdsonDRT+2*Rgate3+RdsonDRT2)+(RdsonDRB+RdsonDRB2)*Fsw*Qg_Q4*VCC/(RdsonDRB+2*Rgate4+RdsonDRB2)</f>
        <v>1.3167</v>
      </c>
      <c r="AR73" s="360">
        <f t="shared" ref="AR73:AR109" si="110">(Qg_Q3+Qg_Q4)*Fsw*(Vin-VCC)</f>
        <v>1.1088</v>
      </c>
      <c r="AS73" s="360">
        <f t="shared" si="48"/>
        <v>0.34723500000000002</v>
      </c>
      <c r="AT73" s="360">
        <f t="shared" si="41"/>
        <v>3.6748579219568982</v>
      </c>
      <c r="AU73">
        <f t="shared" ref="AU73:AU109" si="111">Vout2*J73</f>
        <v>64</v>
      </c>
      <c r="AV73" s="542">
        <f t="shared" si="42"/>
        <v>0.9456983282300383</v>
      </c>
      <c r="AW73" s="551">
        <f t="shared" ref="AW73:AW109" si="112">ThetaJA_Q1*BC73</f>
        <v>103.50688073321454</v>
      </c>
      <c r="AX73" s="551">
        <f t="shared" ref="AX73:AX109" si="113">ThetaJA_Q2*BD73</f>
        <v>26.287199886731397</v>
      </c>
      <c r="AY73" s="9"/>
      <c r="AZ73" s="4">
        <f t="shared" si="43"/>
        <v>94.569832823003836</v>
      </c>
      <c r="BA73" s="360">
        <f t="shared" ref="BA73:BA109" si="114">U73</f>
        <v>0.31417613814108419</v>
      </c>
      <c r="BB73" s="360">
        <f t="shared" si="44"/>
        <v>2.7788404327361693</v>
      </c>
      <c r="BC73" s="360">
        <f t="shared" si="45"/>
        <v>2.0701376146642909</v>
      </c>
      <c r="BD73" s="360">
        <f t="shared" si="46"/>
        <v>0.69176841807187883</v>
      </c>
      <c r="BE73" s="360">
        <f t="shared" si="47"/>
        <v>0.10243384898751204</v>
      </c>
      <c r="BK73" s="18"/>
      <c r="BL73" s="19"/>
    </row>
    <row r="74" spans="1:64" x14ac:dyDescent="0.2">
      <c r="A74" s="14" t="s">
        <v>114</v>
      </c>
      <c r="B74" s="15" t="s">
        <v>7</v>
      </c>
      <c r="C74" s="17" t="s">
        <v>76</v>
      </c>
      <c r="G74">
        <v>65</v>
      </c>
      <c r="H74" s="548">
        <f t="shared" si="82"/>
        <v>21</v>
      </c>
      <c r="I74" s="4">
        <f t="shared" si="83"/>
        <v>1</v>
      </c>
      <c r="J74" s="360">
        <f t="shared" ref="J74:J109" si="115">Iout2*G74/100</f>
        <v>3.25</v>
      </c>
      <c r="K74" s="4">
        <f t="shared" si="84"/>
        <v>3.4391534391534386</v>
      </c>
      <c r="L74" s="4"/>
      <c r="M74" s="360">
        <f t="shared" si="85"/>
        <v>0.95356516361517274</v>
      </c>
      <c r="N74" s="4">
        <f t="shared" si="86"/>
        <v>0.20146902072928888</v>
      </c>
      <c r="O74" s="4">
        <f t="shared" ref="O74:O109" si="116">J74+N74/2</f>
        <v>3.3507345103646444</v>
      </c>
      <c r="P74" s="4">
        <f t="shared" ref="P74:P109" si="117">J74-N74/2</f>
        <v>3.1492654896353556</v>
      </c>
      <c r="Q74" s="4">
        <f t="shared" si="87"/>
        <v>0</v>
      </c>
      <c r="R74" s="4">
        <f t="shared" si="88"/>
        <v>3.2505203399649933</v>
      </c>
      <c r="S74" s="360">
        <f t="shared" si="89"/>
        <v>1.4263941348710285E-2</v>
      </c>
      <c r="T74" s="360">
        <f t="shared" si="90"/>
        <v>0.3</v>
      </c>
      <c r="U74" s="360">
        <f t="shared" si="91"/>
        <v>0.31462296242735199</v>
      </c>
      <c r="V74" s="4">
        <f t="shared" ref="V74:V109" si="118">N74/SQRT(12)</f>
        <v>5.8159096675712618E-2</v>
      </c>
      <c r="W74" s="360">
        <f t="shared" si="92"/>
        <v>6.7649610522697734E-6</v>
      </c>
      <c r="X74" s="360">
        <f t="shared" ref="X74:X109" si="119">W74</f>
        <v>6.7649610522697734E-6</v>
      </c>
      <c r="Y74" s="4">
        <f t="shared" si="93"/>
        <v>0.68399044694896627</v>
      </c>
      <c r="Z74" s="360">
        <f t="shared" ref="Z74:Z109" si="120">RCinEsr*Y74^2</f>
        <v>4.6784293151744667E-4</v>
      </c>
      <c r="AA74" s="541">
        <f t="shared" ref="AA74:AA109" si="121">Z74</f>
        <v>4.6784293151744667E-4</v>
      </c>
      <c r="AB74" s="360">
        <f t="shared" si="94"/>
        <v>3.1741546049746208</v>
      </c>
      <c r="AC74" s="360">
        <f t="shared" si="95"/>
        <v>6.0451544737689544E-2</v>
      </c>
      <c r="AD74" s="360">
        <f t="shared" si="96"/>
        <v>0.25485351456638189</v>
      </c>
      <c r="AE74" s="360">
        <f t="shared" si="97"/>
        <v>0.63444464999999983</v>
      </c>
      <c r="AF74" s="360">
        <f t="shared" si="98"/>
        <v>0</v>
      </c>
      <c r="AG74" s="360">
        <f t="shared" si="99"/>
        <v>0.95855754451553277</v>
      </c>
      <c r="AH74" s="360">
        <f t="shared" si="100"/>
        <v>0.7004463036125923</v>
      </c>
      <c r="AI74" s="360">
        <f t="shared" si="101"/>
        <v>1.2265625606113597E-3</v>
      </c>
      <c r="AJ74" s="360">
        <f t="shared" si="102"/>
        <v>0.13376999999999997</v>
      </c>
      <c r="AK74" s="360">
        <f t="shared" si="103"/>
        <v>0.1350296870323483</v>
      </c>
      <c r="AL74" s="360">
        <f t="shared" si="104"/>
        <v>0.13376999999999997</v>
      </c>
      <c r="AM74" s="360">
        <f t="shared" si="105"/>
        <v>1.7199</v>
      </c>
      <c r="AN74" s="360">
        <f t="shared" si="106"/>
        <v>0.10565882480526137</v>
      </c>
      <c r="AO74" s="360">
        <f t="shared" si="107"/>
        <v>7.3499999999999998E-4</v>
      </c>
      <c r="AP74" s="360">
        <f t="shared" si="108"/>
        <v>0.34650000000000003</v>
      </c>
      <c r="AQ74" s="360">
        <f t="shared" si="109"/>
        <v>1.3167</v>
      </c>
      <c r="AR74" s="360">
        <f t="shared" si="110"/>
        <v>1.1088</v>
      </c>
      <c r="AS74" s="360">
        <f t="shared" si="48"/>
        <v>0.34723500000000002</v>
      </c>
      <c r="AT74" s="360">
        <f t="shared" ref="AT74:AT109" si="122">SUM(U74,X74,AA74,AG74,AK74,AL74,AM74,AS74,AN74)</f>
        <v>3.715248626673064</v>
      </c>
      <c r="AU74">
        <f t="shared" si="111"/>
        <v>65</v>
      </c>
      <c r="AV74" s="542">
        <f t="shared" ref="AV74:AV109" si="123">AU74/(AU74+AT74)</f>
        <v>0.94593269032820004</v>
      </c>
      <c r="AW74" s="551">
        <f t="shared" si="112"/>
        <v>104.68457722577665</v>
      </c>
      <c r="AX74" s="551">
        <f t="shared" si="113"/>
        <v>26.698674107229238</v>
      </c>
      <c r="AY74" s="9"/>
      <c r="AZ74" s="4">
        <f t="shared" ref="AZ74:AZ109" si="124">AV74*100</f>
        <v>94.593269032820004</v>
      </c>
      <c r="BA74" s="360">
        <f t="shared" si="114"/>
        <v>0.31462296242735199</v>
      </c>
      <c r="BB74" s="360">
        <f t="shared" ref="BB74:BB109" si="125">AG74+AK74+AM74</f>
        <v>2.8134872315478812</v>
      </c>
      <c r="BC74" s="360">
        <f t="shared" ref="BC74:BC109" si="126">AG74+AM74*0.66</f>
        <v>2.0936915445155329</v>
      </c>
      <c r="BD74" s="360">
        <f t="shared" ref="BD74:BD109" si="127">AK74+AM74*0.33</f>
        <v>0.70259668703234834</v>
      </c>
      <c r="BE74" s="360">
        <f t="shared" ref="BE74:BE109" si="128">AN74</f>
        <v>0.10565882480526137</v>
      </c>
      <c r="BK74" s="18"/>
      <c r="BL74" s="19"/>
    </row>
    <row r="75" spans="1:64" x14ac:dyDescent="0.2">
      <c r="A75" s="34" t="s">
        <v>115</v>
      </c>
      <c r="B75" s="603">
        <f>AS9</f>
        <v>0.34723500000000002</v>
      </c>
      <c r="C75" s="78" t="s">
        <v>116</v>
      </c>
      <c r="G75">
        <v>66</v>
      </c>
      <c r="H75" s="548">
        <f t="shared" si="82"/>
        <v>21</v>
      </c>
      <c r="I75" s="4">
        <f t="shared" si="83"/>
        <v>1</v>
      </c>
      <c r="J75" s="360">
        <f t="shared" si="115"/>
        <v>3.3</v>
      </c>
      <c r="K75" s="4">
        <f t="shared" si="84"/>
        <v>3.4920634920634916</v>
      </c>
      <c r="L75" s="4"/>
      <c r="M75" s="360">
        <f t="shared" si="85"/>
        <v>0.95358336365950014</v>
      </c>
      <c r="N75" s="4">
        <f t="shared" si="86"/>
        <v>0.20139701280821184</v>
      </c>
      <c r="O75" s="4">
        <f t="shared" si="116"/>
        <v>3.4006985064041055</v>
      </c>
      <c r="P75" s="4">
        <f t="shared" si="117"/>
        <v>3.1993014935958941</v>
      </c>
      <c r="Q75" s="4">
        <f t="shared" si="87"/>
        <v>0</v>
      </c>
      <c r="R75" s="4">
        <f t="shared" si="88"/>
        <v>3.3005120910343599</v>
      </c>
      <c r="S75" s="360">
        <f t="shared" si="89"/>
        <v>1.4706063085136405E-2</v>
      </c>
      <c r="T75" s="360">
        <f t="shared" si="90"/>
        <v>0.3</v>
      </c>
      <c r="U75" s="360">
        <f t="shared" si="91"/>
        <v>0.31507674616559805</v>
      </c>
      <c r="V75" s="4">
        <f t="shared" si="118"/>
        <v>5.8138309779403811E-2</v>
      </c>
      <c r="W75" s="360">
        <f t="shared" si="92"/>
        <v>6.7601261280118413E-6</v>
      </c>
      <c r="X75" s="360">
        <f t="shared" si="119"/>
        <v>6.7601261280118413E-6</v>
      </c>
      <c r="Y75" s="4">
        <f t="shared" si="93"/>
        <v>0.69438046385223495</v>
      </c>
      <c r="Z75" s="360">
        <f t="shared" si="120"/>
        <v>4.82164228579645E-4</v>
      </c>
      <c r="AA75" s="541">
        <f t="shared" si="121"/>
        <v>4.82164228579645E-4</v>
      </c>
      <c r="AB75" s="360">
        <f t="shared" si="94"/>
        <v>3.2230026376281344</v>
      </c>
      <c r="AC75" s="360">
        <f t="shared" si="95"/>
        <v>6.2326476012947468E-2</v>
      </c>
      <c r="AD75" s="360">
        <f t="shared" si="96"/>
        <v>0.25877433786740317</v>
      </c>
      <c r="AE75" s="360">
        <f t="shared" si="97"/>
        <v>0.63444464999999983</v>
      </c>
      <c r="AF75" s="360">
        <f t="shared" si="98"/>
        <v>0</v>
      </c>
      <c r="AG75" s="360">
        <f t="shared" si="99"/>
        <v>0.96468452266819604</v>
      </c>
      <c r="AH75" s="360">
        <f t="shared" si="100"/>
        <v>0.71107950392772057</v>
      </c>
      <c r="AI75" s="360">
        <f t="shared" si="101"/>
        <v>1.2640851522652331E-3</v>
      </c>
      <c r="AJ75" s="360">
        <f t="shared" si="102"/>
        <v>0.13582799999999998</v>
      </c>
      <c r="AK75" s="360">
        <f t="shared" si="103"/>
        <v>0.1371267531307874</v>
      </c>
      <c r="AL75" s="360">
        <f t="shared" si="104"/>
        <v>0.13582799999999998</v>
      </c>
      <c r="AM75" s="360">
        <f t="shared" si="105"/>
        <v>1.7463599999999999</v>
      </c>
      <c r="AN75" s="360">
        <f t="shared" si="106"/>
        <v>0.10893380063064002</v>
      </c>
      <c r="AO75" s="360">
        <f t="shared" si="107"/>
        <v>7.3499999999999998E-4</v>
      </c>
      <c r="AP75" s="360">
        <f t="shared" si="108"/>
        <v>0.34650000000000003</v>
      </c>
      <c r="AQ75" s="360">
        <f t="shared" si="109"/>
        <v>1.3167</v>
      </c>
      <c r="AR75" s="360">
        <f t="shared" si="110"/>
        <v>1.1088</v>
      </c>
      <c r="AS75" s="360">
        <f t="shared" ref="AS75:AS109" si="129">SUM(AO75:AP75)</f>
        <v>0.34723500000000002</v>
      </c>
      <c r="AT75" s="360">
        <f t="shared" si="122"/>
        <v>3.7557337469499288</v>
      </c>
      <c r="AU75">
        <f t="shared" si="111"/>
        <v>66</v>
      </c>
      <c r="AV75" s="542">
        <f t="shared" si="123"/>
        <v>0.94615878085987237</v>
      </c>
      <c r="AW75" s="551">
        <f t="shared" si="112"/>
        <v>105.86410613340979</v>
      </c>
      <c r="AX75" s="551">
        <f t="shared" si="113"/>
        <v>27.110171018969922</v>
      </c>
      <c r="AY75" s="9"/>
      <c r="AZ75" s="4">
        <f t="shared" si="124"/>
        <v>94.615878085987234</v>
      </c>
      <c r="BA75" s="360">
        <f t="shared" si="114"/>
        <v>0.31507674616559805</v>
      </c>
      <c r="BB75" s="360">
        <f t="shared" si="125"/>
        <v>2.8481712757989834</v>
      </c>
      <c r="BC75" s="360">
        <f t="shared" si="126"/>
        <v>2.1172821226681959</v>
      </c>
      <c r="BD75" s="360">
        <f t="shared" si="127"/>
        <v>0.71342555313078737</v>
      </c>
      <c r="BE75" s="360">
        <f t="shared" si="128"/>
        <v>0.10893380063064002</v>
      </c>
      <c r="BK75" s="18"/>
      <c r="BL75" s="19"/>
    </row>
    <row r="76" spans="1:64" x14ac:dyDescent="0.2">
      <c r="A76" s="34" t="s">
        <v>119</v>
      </c>
      <c r="B76" s="604">
        <f>B75*B62</f>
        <v>10.41705</v>
      </c>
      <c r="C76" s="440" t="s">
        <v>465</v>
      </c>
      <c r="G76">
        <v>67</v>
      </c>
      <c r="H76" s="548">
        <f t="shared" si="82"/>
        <v>21</v>
      </c>
      <c r="I76" s="4">
        <f t="shared" si="83"/>
        <v>1</v>
      </c>
      <c r="J76" s="360">
        <f t="shared" si="115"/>
        <v>3.35</v>
      </c>
      <c r="K76" s="4">
        <f t="shared" si="84"/>
        <v>3.5449735449735447</v>
      </c>
      <c r="L76" s="4"/>
      <c r="M76" s="360">
        <f t="shared" si="85"/>
        <v>0.95360156314107636</v>
      </c>
      <c r="N76" s="4">
        <f t="shared" si="86"/>
        <v>0.20132500187286487</v>
      </c>
      <c r="O76" s="4">
        <f t="shared" si="116"/>
        <v>3.4506625009364327</v>
      </c>
      <c r="P76" s="4">
        <f t="shared" si="117"/>
        <v>3.2493374990635675</v>
      </c>
      <c r="Q76" s="4">
        <f t="shared" si="87"/>
        <v>0</v>
      </c>
      <c r="R76" s="4">
        <f t="shared" si="88"/>
        <v>3.3505040883969874</v>
      </c>
      <c r="S76" s="360">
        <f t="shared" si="89"/>
        <v>1.5154934822592654E-2</v>
      </c>
      <c r="T76" s="360">
        <f t="shared" si="90"/>
        <v>0.3</v>
      </c>
      <c r="U76" s="360">
        <f t="shared" si="91"/>
        <v>0.31553749083120314</v>
      </c>
      <c r="V76" s="4">
        <f t="shared" si="118"/>
        <v>5.8117522012950222E-2</v>
      </c>
      <c r="W76" s="360">
        <f t="shared" si="92"/>
        <v>6.7552927298515067E-6</v>
      </c>
      <c r="X76" s="360">
        <f t="shared" si="119"/>
        <v>6.7552927298515067E-6</v>
      </c>
      <c r="Y76" s="4">
        <f t="shared" si="93"/>
        <v>0.7047665840659767</v>
      </c>
      <c r="Z76" s="360">
        <f t="shared" si="120"/>
        <v>4.9669593801602544E-4</v>
      </c>
      <c r="AA76" s="541">
        <f t="shared" si="121"/>
        <v>4.9669593801602544E-4</v>
      </c>
      <c r="AB76" s="360">
        <f t="shared" si="94"/>
        <v>3.2718518412672757</v>
      </c>
      <c r="AC76" s="360">
        <f t="shared" si="95"/>
        <v>6.4230086827224378E-2</v>
      </c>
      <c r="AD76" s="360">
        <f t="shared" si="96"/>
        <v>0.26269516116842451</v>
      </c>
      <c r="AE76" s="360">
        <f t="shared" si="97"/>
        <v>0.63444464999999983</v>
      </c>
      <c r="AF76" s="360">
        <f t="shared" si="98"/>
        <v>0</v>
      </c>
      <c r="AG76" s="360">
        <f t="shared" si="99"/>
        <v>0.97084826357197251</v>
      </c>
      <c r="AH76" s="360">
        <f t="shared" si="100"/>
        <v>0.72170851121548052</v>
      </c>
      <c r="AI76" s="360">
        <f t="shared" si="101"/>
        <v>1.3021579379021635E-3</v>
      </c>
      <c r="AJ76" s="360">
        <f t="shared" si="102"/>
        <v>0.13788599999999998</v>
      </c>
      <c r="AK76" s="360">
        <f t="shared" si="103"/>
        <v>0.13922441637368829</v>
      </c>
      <c r="AL76" s="360">
        <f t="shared" si="104"/>
        <v>0.13788599999999998</v>
      </c>
      <c r="AM76" s="360">
        <f t="shared" si="105"/>
        <v>1.7728199999999998</v>
      </c>
      <c r="AN76" s="360">
        <f t="shared" si="106"/>
        <v>0.11225877646364929</v>
      </c>
      <c r="AO76" s="360">
        <f t="shared" si="107"/>
        <v>7.3499999999999998E-4</v>
      </c>
      <c r="AP76" s="360">
        <f t="shared" si="108"/>
        <v>0.34650000000000003</v>
      </c>
      <c r="AQ76" s="360">
        <f t="shared" si="109"/>
        <v>1.3167</v>
      </c>
      <c r="AR76" s="360">
        <f t="shared" si="110"/>
        <v>1.1088</v>
      </c>
      <c r="AS76" s="360">
        <f t="shared" si="129"/>
        <v>0.34723500000000002</v>
      </c>
      <c r="AT76" s="360">
        <f t="shared" si="122"/>
        <v>3.7963133984712587</v>
      </c>
      <c r="AU76">
        <f t="shared" si="111"/>
        <v>67</v>
      </c>
      <c r="AV76" s="542">
        <f t="shared" si="123"/>
        <v>0.94637696207281274</v>
      </c>
      <c r="AW76" s="551">
        <f t="shared" si="112"/>
        <v>107.04547317859863</v>
      </c>
      <c r="AX76" s="551">
        <f t="shared" si="113"/>
        <v>27.521690622200154</v>
      </c>
      <c r="AY76" s="9"/>
      <c r="AZ76" s="4">
        <f t="shared" si="124"/>
        <v>94.63769620728128</v>
      </c>
      <c r="BA76" s="360">
        <f t="shared" si="114"/>
        <v>0.31553749083120314</v>
      </c>
      <c r="BB76" s="360">
        <f t="shared" si="125"/>
        <v>2.8828926799456607</v>
      </c>
      <c r="BC76" s="360">
        <f t="shared" si="126"/>
        <v>2.1409094635719725</v>
      </c>
      <c r="BD76" s="360">
        <f t="shared" si="127"/>
        <v>0.72425501637368828</v>
      </c>
      <c r="BE76" s="360">
        <f t="shared" si="128"/>
        <v>0.11225877646364929</v>
      </c>
      <c r="BK76" s="18"/>
      <c r="BL76" s="19"/>
    </row>
    <row r="77" spans="1:64" x14ac:dyDescent="0.2">
      <c r="A77" s="34" t="s">
        <v>210</v>
      </c>
      <c r="B77" s="604">
        <f>(Qg_Q3+Qg_Q4)*Fsw+Iq</f>
        <v>6.9334999999999994E-2</v>
      </c>
      <c r="C77" s="21" t="s">
        <v>1</v>
      </c>
      <c r="G77">
        <v>68</v>
      </c>
      <c r="H77" s="548">
        <f t="shared" si="82"/>
        <v>21</v>
      </c>
      <c r="I77" s="4">
        <f t="shared" si="83"/>
        <v>1</v>
      </c>
      <c r="J77" s="360">
        <f t="shared" si="115"/>
        <v>3.4</v>
      </c>
      <c r="K77" s="4">
        <f t="shared" si="84"/>
        <v>3.5978835978835977</v>
      </c>
      <c r="L77" s="4"/>
      <c r="M77" s="360">
        <f t="shared" si="85"/>
        <v>0.95361976205992749</v>
      </c>
      <c r="N77" s="4">
        <f t="shared" si="86"/>
        <v>0.20125298792338764</v>
      </c>
      <c r="O77" s="4">
        <f t="shared" si="116"/>
        <v>3.5006264939616938</v>
      </c>
      <c r="P77" s="4">
        <f t="shared" si="117"/>
        <v>3.299373506038306</v>
      </c>
      <c r="Q77" s="4">
        <f t="shared" si="87"/>
        <v>0</v>
      </c>
      <c r="R77" s="4">
        <f t="shared" si="88"/>
        <v>3.4004963211903356</v>
      </c>
      <c r="S77" s="360">
        <f t="shared" si="89"/>
        <v>1.561055656107916E-2</v>
      </c>
      <c r="T77" s="360">
        <f t="shared" si="90"/>
        <v>0.3</v>
      </c>
      <c r="U77" s="360">
        <f t="shared" si="91"/>
        <v>0.31600519792234011</v>
      </c>
      <c r="V77" s="4">
        <f t="shared" si="118"/>
        <v>5.8096733376392179E-2</v>
      </c>
      <c r="W77" s="360">
        <f t="shared" si="92"/>
        <v>6.7504608580152026E-6</v>
      </c>
      <c r="X77" s="360">
        <f t="shared" si="119"/>
        <v>6.7504608580152026E-6</v>
      </c>
      <c r="Y77" s="4">
        <f t="shared" si="93"/>
        <v>0.71514880411071702</v>
      </c>
      <c r="Z77" s="360">
        <f t="shared" si="120"/>
        <v>5.1143781202098876E-4</v>
      </c>
      <c r="AA77" s="541">
        <f t="shared" si="121"/>
        <v>5.1143781202098876E-4</v>
      </c>
      <c r="AB77" s="360">
        <f t="shared" si="94"/>
        <v>3.3207022052348156</v>
      </c>
      <c r="AC77" s="360">
        <f t="shared" si="95"/>
        <v>6.6162378815108211E-2</v>
      </c>
      <c r="AD77" s="360">
        <f t="shared" si="96"/>
        <v>0.26661598446944562</v>
      </c>
      <c r="AE77" s="360">
        <f t="shared" si="97"/>
        <v>0.63444464999999983</v>
      </c>
      <c r="AF77" s="360">
        <f t="shared" si="98"/>
        <v>0</v>
      </c>
      <c r="AG77" s="360">
        <f t="shared" si="99"/>
        <v>0.97704888278673341</v>
      </c>
      <c r="AH77" s="360">
        <f t="shared" si="100"/>
        <v>0.7323333220451177</v>
      </c>
      <c r="AI77" s="360">
        <f t="shared" si="101"/>
        <v>1.3407802364440952E-3</v>
      </c>
      <c r="AJ77" s="360">
        <f t="shared" si="102"/>
        <v>0.13994399999999999</v>
      </c>
      <c r="AK77" s="360">
        <f t="shared" si="103"/>
        <v>0.14132267676683816</v>
      </c>
      <c r="AL77" s="360">
        <f t="shared" si="104"/>
        <v>0.13994399999999999</v>
      </c>
      <c r="AM77" s="360">
        <f t="shared" si="105"/>
        <v>1.7992799999999998</v>
      </c>
      <c r="AN77" s="360">
        <f t="shared" si="106"/>
        <v>0.11563375230429007</v>
      </c>
      <c r="AO77" s="360">
        <f t="shared" si="107"/>
        <v>7.3499999999999998E-4</v>
      </c>
      <c r="AP77" s="360">
        <f t="shared" si="108"/>
        <v>0.34650000000000003</v>
      </c>
      <c r="AQ77" s="360">
        <f t="shared" si="109"/>
        <v>1.3167</v>
      </c>
      <c r="AR77" s="360">
        <f t="shared" si="110"/>
        <v>1.1088</v>
      </c>
      <c r="AS77" s="360">
        <f t="shared" si="129"/>
        <v>0.34723500000000002</v>
      </c>
      <c r="AT77" s="360">
        <f t="shared" si="122"/>
        <v>3.8369876980530808</v>
      </c>
      <c r="AU77">
        <f t="shared" si="111"/>
        <v>68</v>
      </c>
      <c r="AV77" s="542">
        <f t="shared" si="123"/>
        <v>0.94658757527277182</v>
      </c>
      <c r="AW77" s="551">
        <f t="shared" si="112"/>
        <v>108.22868413933666</v>
      </c>
      <c r="AX77" s="551">
        <f t="shared" si="113"/>
        <v>27.933232917139847</v>
      </c>
      <c r="AY77" s="9"/>
      <c r="AZ77" s="4">
        <f t="shared" si="124"/>
        <v>94.658757527277189</v>
      </c>
      <c r="BA77" s="360">
        <f t="shared" si="114"/>
        <v>0.31600519792234011</v>
      </c>
      <c r="BB77" s="360">
        <f t="shared" si="125"/>
        <v>2.9176515595535712</v>
      </c>
      <c r="BC77" s="360">
        <f t="shared" si="126"/>
        <v>2.1645736827867332</v>
      </c>
      <c r="BD77" s="360">
        <f t="shared" si="127"/>
        <v>0.7350850767668381</v>
      </c>
      <c r="BE77" s="360">
        <f t="shared" si="128"/>
        <v>0.11563375230429007</v>
      </c>
      <c r="BK77" s="18"/>
      <c r="BL77" s="19"/>
    </row>
    <row r="78" spans="1:64" x14ac:dyDescent="0.2">
      <c r="A78" s="34" t="s">
        <v>211</v>
      </c>
      <c r="B78" s="605">
        <f>Qrr_Q4*Fsw</f>
        <v>0.126</v>
      </c>
      <c r="C78" s="21" t="s">
        <v>1</v>
      </c>
      <c r="G78">
        <v>69</v>
      </c>
      <c r="H78" s="548">
        <f t="shared" si="82"/>
        <v>21</v>
      </c>
      <c r="I78" s="4">
        <f t="shared" si="83"/>
        <v>1</v>
      </c>
      <c r="J78" s="360">
        <f t="shared" si="115"/>
        <v>3.45</v>
      </c>
      <c r="K78" s="4">
        <f t="shared" si="84"/>
        <v>3.6507936507936503</v>
      </c>
      <c r="L78" s="4"/>
      <c r="M78" s="360">
        <f t="shared" si="85"/>
        <v>0.95363796041607962</v>
      </c>
      <c r="N78" s="4">
        <f t="shared" si="86"/>
        <v>0.20118097095991999</v>
      </c>
      <c r="O78" s="4">
        <f t="shared" si="116"/>
        <v>3.5505904854799604</v>
      </c>
      <c r="P78" s="4">
        <f t="shared" si="117"/>
        <v>3.34940951452004</v>
      </c>
      <c r="Q78" s="4">
        <f t="shared" si="87"/>
        <v>0</v>
      </c>
      <c r="R78" s="4">
        <f t="shared" si="88"/>
        <v>3.4504887791813448</v>
      </c>
      <c r="S78" s="360">
        <f t="shared" si="89"/>
        <v>1.6072928300596097E-2</v>
      </c>
      <c r="T78" s="360">
        <f t="shared" si="90"/>
        <v>0.3</v>
      </c>
      <c r="U78" s="360">
        <f t="shared" si="91"/>
        <v>0.31647986895998614</v>
      </c>
      <c r="V78" s="4">
        <f t="shared" si="118"/>
        <v>5.8075943869770046E-2</v>
      </c>
      <c r="W78" s="360">
        <f t="shared" si="92"/>
        <v>6.7456305127293623E-6</v>
      </c>
      <c r="X78" s="360">
        <f t="shared" si="119"/>
        <v>6.7456305127293623E-6</v>
      </c>
      <c r="Y78" s="4">
        <f t="shared" si="93"/>
        <v>0.72552712064017899</v>
      </c>
      <c r="Z78" s="360">
        <f t="shared" si="120"/>
        <v>5.2638960278442886E-4</v>
      </c>
      <c r="AA78" s="541">
        <f t="shared" si="121"/>
        <v>5.2638960278442886E-4</v>
      </c>
      <c r="AB78" s="360">
        <f t="shared" si="94"/>
        <v>3.3695537194878389</v>
      </c>
      <c r="AC78" s="360">
        <f t="shared" si="95"/>
        <v>6.8123353611085971E-2</v>
      </c>
      <c r="AD78" s="360">
        <f t="shared" si="96"/>
        <v>0.27053680777046696</v>
      </c>
      <c r="AE78" s="360">
        <f t="shared" si="97"/>
        <v>0.63444464999999983</v>
      </c>
      <c r="AF78" s="360">
        <f t="shared" si="98"/>
        <v>0</v>
      </c>
      <c r="AG78" s="360">
        <f t="shared" si="99"/>
        <v>0.98328649698933523</v>
      </c>
      <c r="AH78" s="360">
        <f t="shared" si="100"/>
        <v>0.74295393312239577</v>
      </c>
      <c r="AI78" s="360">
        <f t="shared" si="101"/>
        <v>1.3799513668550933E-3</v>
      </c>
      <c r="AJ78" s="360">
        <f t="shared" si="102"/>
        <v>0.14200199999999999</v>
      </c>
      <c r="AK78" s="360">
        <f t="shared" si="103"/>
        <v>0.14342153431531807</v>
      </c>
      <c r="AL78" s="360">
        <f t="shared" si="104"/>
        <v>0.14200199999999999</v>
      </c>
      <c r="AM78" s="360">
        <f t="shared" si="105"/>
        <v>1.8257400000000001</v>
      </c>
      <c r="AN78" s="360">
        <f t="shared" si="106"/>
        <v>0.11905872815256369</v>
      </c>
      <c r="AO78" s="360">
        <f t="shared" si="107"/>
        <v>7.3499999999999998E-4</v>
      </c>
      <c r="AP78" s="360">
        <f t="shared" si="108"/>
        <v>0.34650000000000003</v>
      </c>
      <c r="AQ78" s="360">
        <f t="shared" si="109"/>
        <v>1.3167</v>
      </c>
      <c r="AR78" s="360">
        <f t="shared" si="110"/>
        <v>1.1088</v>
      </c>
      <c r="AS78" s="360">
        <f t="shared" si="129"/>
        <v>0.34723500000000002</v>
      </c>
      <c r="AT78" s="360">
        <f t="shared" si="122"/>
        <v>3.8777567636504999</v>
      </c>
      <c r="AU78">
        <f t="shared" si="111"/>
        <v>69</v>
      </c>
      <c r="AV78" s="542">
        <f t="shared" si="123"/>
        <v>0.94679094231417649</v>
      </c>
      <c r="AW78" s="551">
        <f t="shared" si="112"/>
        <v>109.41374484946678</v>
      </c>
      <c r="AX78" s="551">
        <f t="shared" si="113"/>
        <v>28.344797903982091</v>
      </c>
      <c r="AY78" s="9"/>
      <c r="AZ78" s="4">
        <f t="shared" si="124"/>
        <v>94.67909423141765</v>
      </c>
      <c r="BA78" s="360">
        <f t="shared" si="114"/>
        <v>0.31647986895998614</v>
      </c>
      <c r="BB78" s="360">
        <f t="shared" si="125"/>
        <v>2.9524480313046535</v>
      </c>
      <c r="BC78" s="360">
        <f t="shared" si="126"/>
        <v>2.1882748969893355</v>
      </c>
      <c r="BD78" s="360">
        <f t="shared" si="127"/>
        <v>0.74591573431531821</v>
      </c>
      <c r="BE78" s="360">
        <f t="shared" si="128"/>
        <v>0.11905872815256369</v>
      </c>
      <c r="BK78" s="18"/>
      <c r="BL78" s="19"/>
    </row>
    <row r="79" spans="1:64" x14ac:dyDescent="0.2">
      <c r="A79" s="34" t="s">
        <v>212</v>
      </c>
      <c r="B79" s="605">
        <f>Deadtime*Fsw*(Iripple2_Vinnom/2)*(Vsd_Q4)/Vin</f>
        <v>1.0105610739221189E-4</v>
      </c>
      <c r="C79" s="21"/>
      <c r="G79">
        <v>70</v>
      </c>
      <c r="H79" s="548">
        <f t="shared" si="82"/>
        <v>21</v>
      </c>
      <c r="I79" s="4">
        <f t="shared" si="83"/>
        <v>1</v>
      </c>
      <c r="J79" s="360">
        <f t="shared" si="115"/>
        <v>3.5</v>
      </c>
      <c r="K79" s="4">
        <f t="shared" si="84"/>
        <v>3.7037037037037033</v>
      </c>
      <c r="L79" s="4"/>
      <c r="M79" s="360">
        <f t="shared" si="85"/>
        <v>0.95365615820955874</v>
      </c>
      <c r="N79" s="4">
        <f t="shared" si="86"/>
        <v>0.20110895098260098</v>
      </c>
      <c r="O79" s="4">
        <f t="shared" si="116"/>
        <v>3.6005544754913004</v>
      </c>
      <c r="P79" s="4">
        <f t="shared" si="117"/>
        <v>3.3994455245086996</v>
      </c>
      <c r="Q79" s="4">
        <f t="shared" si="87"/>
        <v>0</v>
      </c>
      <c r="R79" s="4">
        <f t="shared" si="88"/>
        <v>3.500481452721484</v>
      </c>
      <c r="S79" s="360">
        <f t="shared" si="89"/>
        <v>1.6542050041143602E-2</v>
      </c>
      <c r="T79" s="360">
        <f t="shared" si="90"/>
        <v>0.3</v>
      </c>
      <c r="U79" s="360">
        <f t="shared" si="91"/>
        <v>0.31696150548793539</v>
      </c>
      <c r="V79" s="4">
        <f t="shared" si="118"/>
        <v>5.805515349312397E-2</v>
      </c>
      <c r="W79" s="360">
        <f t="shared" si="92"/>
        <v>6.7408016942203695E-6</v>
      </c>
      <c r="X79" s="360">
        <f t="shared" si="119"/>
        <v>6.7408016942203695E-6</v>
      </c>
      <c r="Y79" s="4">
        <f t="shared" si="93"/>
        <v>0.73590153043171225</v>
      </c>
      <c r="Z79" s="360">
        <f t="shared" si="120"/>
        <v>5.4155106249173632E-4</v>
      </c>
      <c r="AA79" s="541">
        <f t="shared" si="121"/>
        <v>5.4155106249173632E-4</v>
      </c>
      <c r="AB79" s="360">
        <f t="shared" si="94"/>
        <v>3.4184063745538764</v>
      </c>
      <c r="AC79" s="360">
        <f t="shared" si="95"/>
        <v>7.0113012849543466E-2</v>
      </c>
      <c r="AD79" s="360">
        <f t="shared" si="96"/>
        <v>0.27445763107148824</v>
      </c>
      <c r="AE79" s="360">
        <f t="shared" si="97"/>
        <v>0.63444464999999983</v>
      </c>
      <c r="AF79" s="360">
        <f t="shared" si="98"/>
        <v>0</v>
      </c>
      <c r="AG79" s="360">
        <f t="shared" si="99"/>
        <v>0.9895612239805095</v>
      </c>
      <c r="AH79" s="360">
        <f t="shared" si="100"/>
        <v>0.75357034127978684</v>
      </c>
      <c r="AI79" s="360">
        <f t="shared" si="101"/>
        <v>1.419670648141336E-3</v>
      </c>
      <c r="AJ79" s="360">
        <f t="shared" si="102"/>
        <v>0.14405999999999999</v>
      </c>
      <c r="AK79" s="360">
        <f t="shared" si="103"/>
        <v>0.14552098902350236</v>
      </c>
      <c r="AL79" s="360">
        <f t="shared" si="104"/>
        <v>0.14405999999999999</v>
      </c>
      <c r="AM79" s="360">
        <f t="shared" si="105"/>
        <v>1.8521999999999996</v>
      </c>
      <c r="AN79" s="360">
        <f t="shared" si="106"/>
        <v>0.12253370400847111</v>
      </c>
      <c r="AO79" s="360">
        <f t="shared" si="107"/>
        <v>7.3499999999999998E-4</v>
      </c>
      <c r="AP79" s="360">
        <f t="shared" si="108"/>
        <v>0.34650000000000003</v>
      </c>
      <c r="AQ79" s="360">
        <f t="shared" si="109"/>
        <v>1.3167</v>
      </c>
      <c r="AR79" s="360">
        <f t="shared" si="110"/>
        <v>1.1088</v>
      </c>
      <c r="AS79" s="360">
        <f t="shared" si="129"/>
        <v>0.34723500000000002</v>
      </c>
      <c r="AT79" s="360">
        <f t="shared" si="122"/>
        <v>3.9186207143646041</v>
      </c>
      <c r="AU79">
        <f t="shared" si="111"/>
        <v>70</v>
      </c>
      <c r="AV79" s="542">
        <f t="shared" si="123"/>
        <v>0.94698736696526187</v>
      </c>
      <c r="AW79" s="551">
        <f t="shared" si="112"/>
        <v>110.60066119902547</v>
      </c>
      <c r="AX79" s="551">
        <f t="shared" si="113"/>
        <v>28.756385582893088</v>
      </c>
      <c r="AY79" s="9"/>
      <c r="AZ79" s="4">
        <f t="shared" si="124"/>
        <v>94.698736696526183</v>
      </c>
      <c r="BA79" s="360">
        <f t="shared" si="114"/>
        <v>0.31696150548793539</v>
      </c>
      <c r="BB79" s="360">
        <f t="shared" si="125"/>
        <v>2.9872822130040113</v>
      </c>
      <c r="BC79" s="360">
        <f t="shared" si="126"/>
        <v>2.2120132239805095</v>
      </c>
      <c r="BD79" s="360">
        <f t="shared" si="127"/>
        <v>0.75674698902350235</v>
      </c>
      <c r="BE79" s="360">
        <f t="shared" si="128"/>
        <v>0.12253370400847111</v>
      </c>
      <c r="BK79" s="18"/>
      <c r="BL79" s="19"/>
    </row>
    <row r="80" spans="1:64" x14ac:dyDescent="0.2">
      <c r="A80" s="34" t="s">
        <v>45</v>
      </c>
      <c r="B80" s="605">
        <f>SUM(B77:B79)</f>
        <v>0.1954360561073922</v>
      </c>
      <c r="C80" s="21" t="s">
        <v>1</v>
      </c>
      <c r="G80">
        <v>71</v>
      </c>
      <c r="H80" s="548">
        <f t="shared" si="82"/>
        <v>21</v>
      </c>
      <c r="I80" s="4">
        <f t="shared" si="83"/>
        <v>1</v>
      </c>
      <c r="J80" s="360">
        <f t="shared" si="115"/>
        <v>3.55</v>
      </c>
      <c r="K80" s="4">
        <f t="shared" si="84"/>
        <v>3.7566137566137563</v>
      </c>
      <c r="L80" s="4"/>
      <c r="M80" s="360">
        <f t="shared" si="85"/>
        <v>0.95367435544039114</v>
      </c>
      <c r="N80" s="4">
        <f t="shared" si="86"/>
        <v>0.20103692799157186</v>
      </c>
      <c r="O80" s="4">
        <f t="shared" si="116"/>
        <v>3.6505184639957857</v>
      </c>
      <c r="P80" s="4">
        <f t="shared" si="117"/>
        <v>3.4494815360042139</v>
      </c>
      <c r="Q80" s="4">
        <f t="shared" si="87"/>
        <v>0</v>
      </c>
      <c r="R80" s="4">
        <f t="shared" si="88"/>
        <v>3.5504743327056114</v>
      </c>
      <c r="S80" s="360">
        <f t="shared" si="89"/>
        <v>1.7017921782721834E-2</v>
      </c>
      <c r="T80" s="360">
        <f t="shared" si="90"/>
        <v>0.3</v>
      </c>
      <c r="U80" s="360">
        <f t="shared" si="91"/>
        <v>0.31745010907281124</v>
      </c>
      <c r="V80" s="4">
        <f t="shared" si="118"/>
        <v>5.8034362246494713E-2</v>
      </c>
      <c r="W80" s="360">
        <f t="shared" si="92"/>
        <v>6.7359744027147413E-6</v>
      </c>
      <c r="X80" s="360">
        <f t="shared" si="119"/>
        <v>6.7359744027147413E-6</v>
      </c>
      <c r="Y80" s="4">
        <f t="shared" si="93"/>
        <v>0.74627203037752554</v>
      </c>
      <c r="Z80" s="360">
        <f t="shared" si="120"/>
        <v>5.5692194332379445E-4</v>
      </c>
      <c r="AA80" s="541">
        <f t="shared" si="121"/>
        <v>5.5692194332379445E-4</v>
      </c>
      <c r="AB80" s="360">
        <f t="shared" si="94"/>
        <v>3.4672601614907577</v>
      </c>
      <c r="AC80" s="360">
        <f t="shared" si="95"/>
        <v>7.2131358164765499E-2</v>
      </c>
      <c r="AD80" s="360">
        <f t="shared" si="96"/>
        <v>0.27837845437250947</v>
      </c>
      <c r="AE80" s="360">
        <f t="shared" si="97"/>
        <v>0.63444464999999983</v>
      </c>
      <c r="AF80" s="360">
        <f t="shared" si="98"/>
        <v>0</v>
      </c>
      <c r="AG80" s="360">
        <f t="shared" si="99"/>
        <v>0.99587318269184411</v>
      </c>
      <c r="AH80" s="360">
        <f t="shared" si="100"/>
        <v>0.76418254346748982</v>
      </c>
      <c r="AI80" s="360">
        <f t="shared" si="101"/>
        <v>1.459937399351105E-3</v>
      </c>
      <c r="AJ80" s="360">
        <f t="shared" si="102"/>
        <v>0.14611799999999997</v>
      </c>
      <c r="AK80" s="360">
        <f t="shared" si="103"/>
        <v>0.14762104089505784</v>
      </c>
      <c r="AL80" s="360">
        <f t="shared" si="104"/>
        <v>0.14611799999999997</v>
      </c>
      <c r="AM80" s="360">
        <f t="shared" si="105"/>
        <v>1.8786599999999996</v>
      </c>
      <c r="AN80" s="360">
        <f t="shared" si="106"/>
        <v>0.12605867987201358</v>
      </c>
      <c r="AO80" s="360">
        <f t="shared" si="107"/>
        <v>7.3499999999999998E-4</v>
      </c>
      <c r="AP80" s="360">
        <f t="shared" si="108"/>
        <v>0.34650000000000003</v>
      </c>
      <c r="AQ80" s="360">
        <f t="shared" si="109"/>
        <v>1.3167</v>
      </c>
      <c r="AR80" s="360">
        <f t="shared" si="110"/>
        <v>1.1088</v>
      </c>
      <c r="AS80" s="360">
        <f t="shared" si="129"/>
        <v>0.34723500000000002</v>
      </c>
      <c r="AT80" s="360">
        <f t="shared" si="122"/>
        <v>3.959579670449453</v>
      </c>
      <c r="AU80">
        <f t="shared" si="111"/>
        <v>71</v>
      </c>
      <c r="AV80" s="542">
        <f t="shared" si="123"/>
        <v>0.94717713615981758</v>
      </c>
      <c r="AW80" s="551">
        <f t="shared" si="112"/>
        <v>111.7894391345922</v>
      </c>
      <c r="AX80" s="551">
        <f t="shared" si="113"/>
        <v>29.167995954012191</v>
      </c>
      <c r="AY80" s="9"/>
      <c r="AZ80" s="4">
        <f t="shared" si="124"/>
        <v>94.717713615981751</v>
      </c>
      <c r="BA80" s="360">
        <f t="shared" si="114"/>
        <v>0.31745010907281124</v>
      </c>
      <c r="BB80" s="360">
        <f t="shared" si="125"/>
        <v>3.0221542235869014</v>
      </c>
      <c r="BC80" s="360">
        <f t="shared" si="126"/>
        <v>2.2357887826918441</v>
      </c>
      <c r="BD80" s="360">
        <f t="shared" si="127"/>
        <v>0.76757884089505768</v>
      </c>
      <c r="BE80" s="360">
        <f t="shared" si="128"/>
        <v>0.12605867987201358</v>
      </c>
      <c r="BK80" s="18"/>
      <c r="BL80" s="19"/>
    </row>
    <row r="81" spans="1:64" x14ac:dyDescent="0.2">
      <c r="A81" s="2"/>
      <c r="G81">
        <v>72</v>
      </c>
      <c r="H81" s="548">
        <f t="shared" si="82"/>
        <v>21</v>
      </c>
      <c r="I81" s="4">
        <f t="shared" si="83"/>
        <v>1</v>
      </c>
      <c r="J81" s="360">
        <f t="shared" si="115"/>
        <v>3.6</v>
      </c>
      <c r="K81" s="4">
        <f t="shared" si="84"/>
        <v>3.8095238095238093</v>
      </c>
      <c r="L81" s="4"/>
      <c r="M81" s="360">
        <f t="shared" si="85"/>
        <v>0.95369255210860282</v>
      </c>
      <c r="N81" s="4">
        <f t="shared" si="86"/>
        <v>0.20096490198697164</v>
      </c>
      <c r="O81" s="4">
        <f t="shared" si="116"/>
        <v>3.7004824509934857</v>
      </c>
      <c r="P81" s="4">
        <f t="shared" si="117"/>
        <v>3.4995175490065145</v>
      </c>
      <c r="Q81" s="4">
        <f t="shared" si="87"/>
        <v>0</v>
      </c>
      <c r="R81" s="4">
        <f t="shared" si="88"/>
        <v>3.600467410534252</v>
      </c>
      <c r="S81" s="360">
        <f t="shared" si="89"/>
        <v>1.7500543525330953E-2</v>
      </c>
      <c r="T81" s="360">
        <f t="shared" si="90"/>
        <v>0.3</v>
      </c>
      <c r="U81" s="360">
        <f t="shared" si="91"/>
        <v>0.31794568130407924</v>
      </c>
      <c r="V81" s="4">
        <f t="shared" si="118"/>
        <v>5.801357012992242E-2</v>
      </c>
      <c r="W81" s="360">
        <f t="shared" si="92"/>
        <v>6.731148638438854E-6</v>
      </c>
      <c r="X81" s="360">
        <f t="shared" si="119"/>
        <v>6.731148638438854E-6</v>
      </c>
      <c r="Y81" s="4">
        <f t="shared" si="93"/>
        <v>0.75663861747665861</v>
      </c>
      <c r="Z81" s="360">
        <f t="shared" si="120"/>
        <v>5.7250199745698929E-4</v>
      </c>
      <c r="AA81" s="541">
        <f t="shared" si="121"/>
        <v>5.7250199745698929E-4</v>
      </c>
      <c r="AB81" s="360">
        <f t="shared" si="94"/>
        <v>3.5161150718497969</v>
      </c>
      <c r="AC81" s="360">
        <f t="shared" si="95"/>
        <v>7.4178391190935819E-2</v>
      </c>
      <c r="AD81" s="360">
        <f t="shared" si="96"/>
        <v>0.2822992776735308</v>
      </c>
      <c r="AE81" s="360">
        <f t="shared" si="97"/>
        <v>0.63444464999999983</v>
      </c>
      <c r="AF81" s="360">
        <f t="shared" si="98"/>
        <v>0</v>
      </c>
      <c r="AG81" s="360">
        <f t="shared" si="99"/>
        <v>1.0022224931928494</v>
      </c>
      <c r="AH81" s="360">
        <f t="shared" si="100"/>
        <v>0.77479053674520271</v>
      </c>
      <c r="AI81" s="360">
        <f t="shared" si="101"/>
        <v>1.5007509395747985E-3</v>
      </c>
      <c r="AJ81" s="360">
        <f t="shared" si="102"/>
        <v>0.14817599999999997</v>
      </c>
      <c r="AK81" s="360">
        <f t="shared" si="103"/>
        <v>0.1497216899329431</v>
      </c>
      <c r="AL81" s="360">
        <f t="shared" si="104"/>
        <v>0.14817599999999997</v>
      </c>
      <c r="AM81" s="360">
        <f t="shared" si="105"/>
        <v>1.9051199999999999</v>
      </c>
      <c r="AN81" s="360">
        <f t="shared" si="106"/>
        <v>0.12963365574319224</v>
      </c>
      <c r="AO81" s="360">
        <f t="shared" si="107"/>
        <v>7.3499999999999998E-4</v>
      </c>
      <c r="AP81" s="360">
        <f t="shared" si="108"/>
        <v>0.34650000000000003</v>
      </c>
      <c r="AQ81" s="360">
        <f t="shared" si="109"/>
        <v>1.3167</v>
      </c>
      <c r="AR81" s="360">
        <f t="shared" si="110"/>
        <v>1.1088</v>
      </c>
      <c r="AS81" s="360">
        <f t="shared" si="129"/>
        <v>0.34723500000000002</v>
      </c>
      <c r="AT81" s="360">
        <f t="shared" si="122"/>
        <v>4.0006337533191587</v>
      </c>
      <c r="AU81">
        <f t="shared" si="111"/>
        <v>72</v>
      </c>
      <c r="AV81" s="542">
        <f t="shared" si="123"/>
        <v>0.94736052114638525</v>
      </c>
      <c r="AW81" s="551">
        <f t="shared" si="112"/>
        <v>112.98008465964247</v>
      </c>
      <c r="AX81" s="551">
        <f t="shared" si="113"/>
        <v>29.579629017451836</v>
      </c>
      <c r="AY81" s="9"/>
      <c r="AZ81" s="4">
        <f t="shared" si="124"/>
        <v>94.736052114638525</v>
      </c>
      <c r="BA81" s="360">
        <f t="shared" si="114"/>
        <v>0.31794568130407924</v>
      </c>
      <c r="BB81" s="360">
        <f t="shared" si="125"/>
        <v>3.0570641831257923</v>
      </c>
      <c r="BC81" s="360">
        <f t="shared" si="126"/>
        <v>2.2596016931928493</v>
      </c>
      <c r="BD81" s="360">
        <f t="shared" si="127"/>
        <v>0.77841128993294306</v>
      </c>
      <c r="BE81" s="360">
        <f t="shared" si="128"/>
        <v>0.12963365574319224</v>
      </c>
      <c r="BK81" s="18"/>
      <c r="BL81" s="19"/>
    </row>
    <row r="82" spans="1:64" x14ac:dyDescent="0.2">
      <c r="A82" s="2"/>
      <c r="G82">
        <v>73</v>
      </c>
      <c r="H82" s="548">
        <f t="shared" si="82"/>
        <v>21</v>
      </c>
      <c r="I82" s="4">
        <f t="shared" si="83"/>
        <v>1</v>
      </c>
      <c r="J82" s="360">
        <f t="shared" si="115"/>
        <v>3.65</v>
      </c>
      <c r="K82" s="4">
        <f t="shared" si="84"/>
        <v>3.8624338624338619</v>
      </c>
      <c r="L82" s="4"/>
      <c r="M82" s="360">
        <f t="shared" si="85"/>
        <v>0.95371074821421986</v>
      </c>
      <c r="N82" s="4">
        <f t="shared" si="86"/>
        <v>0.20089287296894009</v>
      </c>
      <c r="O82" s="4">
        <f t="shared" si="116"/>
        <v>3.7504464364844701</v>
      </c>
      <c r="P82" s="4">
        <f t="shared" si="117"/>
        <v>3.5495535635155298</v>
      </c>
      <c r="Q82" s="4">
        <f t="shared" si="87"/>
        <v>0</v>
      </c>
      <c r="R82" s="4">
        <f t="shared" si="88"/>
        <v>3.650460678078975</v>
      </c>
      <c r="S82" s="360">
        <f t="shared" si="89"/>
        <v>1.7989915268971094E-2</v>
      </c>
      <c r="T82" s="360">
        <f t="shared" si="90"/>
        <v>0.3</v>
      </c>
      <c r="U82" s="360">
        <f t="shared" si="91"/>
        <v>0.31844822379405985</v>
      </c>
      <c r="V82" s="4">
        <f t="shared" si="118"/>
        <v>5.799277714344743E-2</v>
      </c>
      <c r="W82" s="360">
        <f t="shared" si="92"/>
        <v>6.7263244016191169E-6</v>
      </c>
      <c r="X82" s="360">
        <f t="shared" si="119"/>
        <v>6.7263244016191169E-6</v>
      </c>
      <c r="Y82" s="4">
        <f t="shared" si="93"/>
        <v>0.7670012888276041</v>
      </c>
      <c r="Z82" s="360">
        <f t="shared" si="120"/>
        <v>5.8829097706320573E-4</v>
      </c>
      <c r="AA82" s="541">
        <f t="shared" si="121"/>
        <v>5.8829097706320573E-4</v>
      </c>
      <c r="AB82" s="360">
        <f t="shared" si="94"/>
        <v>3.564971097642005</v>
      </c>
      <c r="AC82" s="360">
        <f t="shared" si="95"/>
        <v>7.6254113562137057E-2</v>
      </c>
      <c r="AD82" s="360">
        <f t="shared" si="96"/>
        <v>0.28622010097455192</v>
      </c>
      <c r="AE82" s="360">
        <f t="shared" si="97"/>
        <v>0.63444464999999983</v>
      </c>
      <c r="AF82" s="360">
        <f t="shared" si="98"/>
        <v>0</v>
      </c>
      <c r="AG82" s="360">
        <f t="shared" si="99"/>
        <v>1.0086092766981136</v>
      </c>
      <c r="AH82" s="360">
        <f t="shared" si="100"/>
        <v>0.78539431827456307</v>
      </c>
      <c r="AI82" s="360">
        <f t="shared" si="101"/>
        <v>1.5421105879449143E-3</v>
      </c>
      <c r="AJ82" s="360">
        <f t="shared" si="102"/>
        <v>0.15023399999999998</v>
      </c>
      <c r="AK82" s="360">
        <f t="shared" si="103"/>
        <v>0.15182293613940756</v>
      </c>
      <c r="AL82" s="360">
        <f t="shared" si="104"/>
        <v>0.15023399999999998</v>
      </c>
      <c r="AM82" s="360">
        <f t="shared" si="105"/>
        <v>1.9315799999999999</v>
      </c>
      <c r="AN82" s="360">
        <f t="shared" si="106"/>
        <v>0.1332586316220081</v>
      </c>
      <c r="AO82" s="360">
        <f t="shared" si="107"/>
        <v>7.3499999999999998E-4</v>
      </c>
      <c r="AP82" s="360">
        <f t="shared" si="108"/>
        <v>0.34650000000000003</v>
      </c>
      <c r="AQ82" s="360">
        <f t="shared" si="109"/>
        <v>1.3167</v>
      </c>
      <c r="AR82" s="360">
        <f t="shared" si="110"/>
        <v>1.1088</v>
      </c>
      <c r="AS82" s="360">
        <f t="shared" si="129"/>
        <v>0.34723500000000002</v>
      </c>
      <c r="AT82" s="360">
        <f t="shared" si="122"/>
        <v>4.0417830855550534</v>
      </c>
      <c r="AU82">
        <f t="shared" si="111"/>
        <v>73</v>
      </c>
      <c r="AV82" s="542">
        <f t="shared" si="123"/>
        <v>0.94753777854457699</v>
      </c>
      <c r="AW82" s="551">
        <f t="shared" si="112"/>
        <v>114.17260383490569</v>
      </c>
      <c r="AX82" s="551">
        <f t="shared" si="113"/>
        <v>29.991284773297487</v>
      </c>
      <c r="AY82" s="9"/>
      <c r="AZ82" s="4">
        <f t="shared" si="124"/>
        <v>94.753777854457695</v>
      </c>
      <c r="BA82" s="360">
        <f t="shared" si="114"/>
        <v>0.31844822379405985</v>
      </c>
      <c r="BB82" s="360">
        <f t="shared" si="125"/>
        <v>3.0920122128375209</v>
      </c>
      <c r="BC82" s="360">
        <f t="shared" si="126"/>
        <v>2.2834520766981137</v>
      </c>
      <c r="BD82" s="360">
        <f t="shared" si="127"/>
        <v>0.78924433613940759</v>
      </c>
      <c r="BE82" s="360">
        <f t="shared" si="128"/>
        <v>0.1332586316220081</v>
      </c>
      <c r="BK82" s="18"/>
      <c r="BL82" s="19"/>
    </row>
    <row r="83" spans="1:64" x14ac:dyDescent="0.2">
      <c r="A83" s="2"/>
      <c r="G83">
        <v>74</v>
      </c>
      <c r="H83" s="548">
        <f t="shared" si="82"/>
        <v>21</v>
      </c>
      <c r="I83" s="4">
        <f t="shared" si="83"/>
        <v>1</v>
      </c>
      <c r="J83" s="360">
        <f t="shared" si="115"/>
        <v>3.7</v>
      </c>
      <c r="K83" s="4">
        <f t="shared" si="84"/>
        <v>3.9153439153439149</v>
      </c>
      <c r="L83" s="4"/>
      <c r="M83" s="360">
        <f t="shared" si="85"/>
        <v>0.95372894375726858</v>
      </c>
      <c r="N83" s="4">
        <f t="shared" si="86"/>
        <v>0.20082084093761704</v>
      </c>
      <c r="O83" s="4">
        <f t="shared" si="116"/>
        <v>3.8004104204688085</v>
      </c>
      <c r="P83" s="4">
        <f t="shared" si="117"/>
        <v>3.5995895795311919</v>
      </c>
      <c r="Q83" s="4">
        <f t="shared" si="87"/>
        <v>0</v>
      </c>
      <c r="R83" s="4">
        <f t="shared" si="88"/>
        <v>3.7004541276505836</v>
      </c>
      <c r="S83" s="360">
        <f t="shared" si="89"/>
        <v>1.8486037013642428E-2</v>
      </c>
      <c r="T83" s="360">
        <f t="shared" si="90"/>
        <v>0.3</v>
      </c>
      <c r="U83" s="360">
        <f t="shared" si="91"/>
        <v>0.31895773817794204</v>
      </c>
      <c r="V83" s="4">
        <f t="shared" si="118"/>
        <v>5.7971983287110111E-2</v>
      </c>
      <c r="W83" s="360">
        <f t="shared" si="92"/>
        <v>6.7215016924819479E-6</v>
      </c>
      <c r="X83" s="360">
        <f t="shared" si="119"/>
        <v>6.7215016924819479E-6</v>
      </c>
      <c r="Y83" s="4">
        <f t="shared" si="93"/>
        <v>0.77736004162153138</v>
      </c>
      <c r="Z83" s="360">
        <f t="shared" si="120"/>
        <v>6.0428863430982908E-4</v>
      </c>
      <c r="AA83" s="541">
        <f t="shared" si="121"/>
        <v>6.0428863430982908E-4</v>
      </c>
      <c r="AB83" s="360">
        <f t="shared" si="94"/>
        <v>3.6138282313070476</v>
      </c>
      <c r="AC83" s="360">
        <f t="shared" si="95"/>
        <v>7.8358526912350943E-2</v>
      </c>
      <c r="AD83" s="360">
        <f t="shared" si="96"/>
        <v>0.29014092427557325</v>
      </c>
      <c r="AE83" s="360">
        <f t="shared" si="97"/>
        <v>0.63444464999999983</v>
      </c>
      <c r="AF83" s="360">
        <f t="shared" si="98"/>
        <v>0</v>
      </c>
      <c r="AG83" s="360">
        <f t="shared" si="99"/>
        <v>1.0150336555745507</v>
      </c>
      <c r="AH83" s="360">
        <f t="shared" si="100"/>
        <v>0.79599388531220361</v>
      </c>
      <c r="AI83" s="360">
        <f t="shared" si="101"/>
        <v>1.5840156636360439E-3</v>
      </c>
      <c r="AJ83" s="360">
        <f t="shared" si="102"/>
        <v>0.15229199999999998</v>
      </c>
      <c r="AK83" s="360">
        <f t="shared" si="103"/>
        <v>0.15392477951599104</v>
      </c>
      <c r="AL83" s="360">
        <f t="shared" si="104"/>
        <v>0.15229199999999998</v>
      </c>
      <c r="AM83" s="360">
        <f t="shared" si="105"/>
        <v>1.95804</v>
      </c>
      <c r="AN83" s="360">
        <f t="shared" si="106"/>
        <v>0.13693360750846242</v>
      </c>
      <c r="AO83" s="360">
        <f t="shared" si="107"/>
        <v>7.3499999999999998E-4</v>
      </c>
      <c r="AP83" s="360">
        <f t="shared" si="108"/>
        <v>0.34650000000000003</v>
      </c>
      <c r="AQ83" s="360">
        <f t="shared" si="109"/>
        <v>1.3167</v>
      </c>
      <c r="AR83" s="360">
        <f t="shared" si="110"/>
        <v>1.1088</v>
      </c>
      <c r="AS83" s="360">
        <f t="shared" si="129"/>
        <v>0.34723500000000002</v>
      </c>
      <c r="AT83" s="360">
        <f t="shared" si="122"/>
        <v>4.0830277909129489</v>
      </c>
      <c r="AU83">
        <f t="shared" si="111"/>
        <v>74</v>
      </c>
      <c r="AV83" s="542">
        <f t="shared" si="123"/>
        <v>0.94770915131715572</v>
      </c>
      <c r="AW83" s="551">
        <f t="shared" si="112"/>
        <v>115.36700277872754</v>
      </c>
      <c r="AX83" s="551">
        <f t="shared" si="113"/>
        <v>30.40296322160766</v>
      </c>
      <c r="AY83" s="9"/>
      <c r="AZ83" s="4">
        <f t="shared" si="124"/>
        <v>94.770915131715569</v>
      </c>
      <c r="BA83" s="360">
        <f t="shared" si="114"/>
        <v>0.31895773817794204</v>
      </c>
      <c r="BB83" s="360">
        <f t="shared" si="125"/>
        <v>3.1269984350905418</v>
      </c>
      <c r="BC83" s="360">
        <f t="shared" si="126"/>
        <v>2.3073400555745507</v>
      </c>
      <c r="BD83" s="360">
        <f t="shared" si="127"/>
        <v>0.80007797951599102</v>
      </c>
      <c r="BE83" s="360">
        <f t="shared" si="128"/>
        <v>0.13693360750846242</v>
      </c>
      <c r="BK83" s="18"/>
      <c r="BL83" s="19"/>
    </row>
    <row r="84" spans="1:64" x14ac:dyDescent="0.2">
      <c r="G84">
        <v>75</v>
      </c>
      <c r="H84" s="548">
        <f t="shared" si="82"/>
        <v>21</v>
      </c>
      <c r="I84" s="4">
        <f t="shared" si="83"/>
        <v>1</v>
      </c>
      <c r="J84" s="360">
        <f t="shared" si="115"/>
        <v>3.75</v>
      </c>
      <c r="K84" s="4">
        <f t="shared" si="84"/>
        <v>3.9682539682539679</v>
      </c>
      <c r="L84" s="4"/>
      <c r="M84" s="360">
        <f t="shared" si="85"/>
        <v>0.95374713873777472</v>
      </c>
      <c r="N84" s="4">
        <f t="shared" si="86"/>
        <v>0.20074880589314206</v>
      </c>
      <c r="O84" s="4">
        <f t="shared" si="116"/>
        <v>3.8503744029465712</v>
      </c>
      <c r="P84" s="4">
        <f t="shared" si="117"/>
        <v>3.6496255970534288</v>
      </c>
      <c r="Q84" s="4">
        <f t="shared" si="87"/>
        <v>0</v>
      </c>
      <c r="R84" s="4">
        <f t="shared" si="88"/>
        <v>3.75044775196984</v>
      </c>
      <c r="S84" s="360">
        <f t="shared" si="89"/>
        <v>1.8988908759345096E-2</v>
      </c>
      <c r="T84" s="360">
        <f t="shared" si="90"/>
        <v>0.3</v>
      </c>
      <c r="U84" s="360">
        <f t="shared" si="91"/>
        <v>0.31947422611379606</v>
      </c>
      <c r="V84" s="4">
        <f t="shared" si="118"/>
        <v>5.7951188560950752E-2</v>
      </c>
      <c r="W84" s="360">
        <f t="shared" si="92"/>
        <v>6.7166805112537386E-6</v>
      </c>
      <c r="X84" s="360">
        <f t="shared" si="119"/>
        <v>6.7166805112537386E-6</v>
      </c>
      <c r="Y84" s="4">
        <f t="shared" si="93"/>
        <v>0.78771487313605737</v>
      </c>
      <c r="Z84" s="360">
        <f t="shared" si="120"/>
        <v>6.2049472135975489E-4</v>
      </c>
      <c r="AA84" s="541">
        <f t="shared" si="121"/>
        <v>6.2049472135975489E-4</v>
      </c>
      <c r="AB84" s="360">
        <f t="shared" si="94"/>
        <v>3.6626864656846716</v>
      </c>
      <c r="AC84" s="360">
        <f t="shared" si="95"/>
        <v>8.0491632875458033E-2</v>
      </c>
      <c r="AD84" s="360">
        <f t="shared" si="96"/>
        <v>0.29406174757659453</v>
      </c>
      <c r="AE84" s="360">
        <f t="shared" si="97"/>
        <v>0.63444464999999983</v>
      </c>
      <c r="AF84" s="360">
        <f t="shared" si="98"/>
        <v>0</v>
      </c>
      <c r="AG84" s="360">
        <f t="shared" si="99"/>
        <v>1.0214957533487352</v>
      </c>
      <c r="AH84" s="360">
        <f t="shared" si="100"/>
        <v>0.80658923520337034</v>
      </c>
      <c r="AI84" s="360">
        <f t="shared" si="101"/>
        <v>1.6264654858648947E-3</v>
      </c>
      <c r="AJ84" s="360">
        <f t="shared" si="102"/>
        <v>0.15434999999999999</v>
      </c>
      <c r="AK84" s="360">
        <f t="shared" si="103"/>
        <v>0.15602722006352265</v>
      </c>
      <c r="AL84" s="360">
        <f t="shared" si="104"/>
        <v>0.15434999999999999</v>
      </c>
      <c r="AM84" s="360">
        <f t="shared" si="105"/>
        <v>1.9844999999999999</v>
      </c>
      <c r="AN84" s="360">
        <f t="shared" si="106"/>
        <v>0.14065858340255627</v>
      </c>
      <c r="AO84" s="360">
        <f t="shared" si="107"/>
        <v>7.3499999999999998E-4</v>
      </c>
      <c r="AP84" s="360">
        <f t="shared" si="108"/>
        <v>0.34650000000000003</v>
      </c>
      <c r="AQ84" s="360">
        <f t="shared" si="109"/>
        <v>1.3167</v>
      </c>
      <c r="AR84" s="360">
        <f t="shared" si="110"/>
        <v>1.1088</v>
      </c>
      <c r="AS84" s="360">
        <f t="shared" si="129"/>
        <v>0.34723500000000002</v>
      </c>
      <c r="AT84" s="360">
        <f t="shared" si="122"/>
        <v>4.1243679943304814</v>
      </c>
      <c r="AU84">
        <f t="shared" si="111"/>
        <v>75</v>
      </c>
      <c r="AV84" s="542">
        <f t="shared" si="123"/>
        <v>0.94787486966561285</v>
      </c>
      <c r="AW84" s="551">
        <f t="shared" si="112"/>
        <v>116.56328766743678</v>
      </c>
      <c r="AX84" s="551">
        <f t="shared" si="113"/>
        <v>30.814664362413861</v>
      </c>
      <c r="AY84" s="9"/>
      <c r="AZ84" s="4">
        <f t="shared" si="124"/>
        <v>94.787486966561289</v>
      </c>
      <c r="BA84" s="360">
        <f t="shared" si="114"/>
        <v>0.31947422611379606</v>
      </c>
      <c r="BB84" s="360">
        <f t="shared" si="125"/>
        <v>3.1620229734122578</v>
      </c>
      <c r="BC84" s="360">
        <f t="shared" si="126"/>
        <v>2.3312657533487355</v>
      </c>
      <c r="BD84" s="360">
        <f t="shared" si="127"/>
        <v>0.8109122200635227</v>
      </c>
      <c r="BE84" s="360">
        <f t="shared" si="128"/>
        <v>0.14065858340255627</v>
      </c>
      <c r="BK84" s="18"/>
      <c r="BL84" s="19"/>
    </row>
    <row r="85" spans="1:64" x14ac:dyDescent="0.2">
      <c r="G85">
        <v>76</v>
      </c>
      <c r="H85" s="548">
        <f t="shared" si="82"/>
        <v>21</v>
      </c>
      <c r="I85" s="4">
        <f t="shared" si="83"/>
        <v>1</v>
      </c>
      <c r="J85" s="360">
        <f t="shared" si="115"/>
        <v>3.8</v>
      </c>
      <c r="K85" s="4">
        <f t="shared" si="84"/>
        <v>4.0211640211640205</v>
      </c>
      <c r="L85" s="4"/>
      <c r="M85" s="360">
        <f t="shared" si="85"/>
        <v>0.95376533315576451</v>
      </c>
      <c r="N85" s="4">
        <f t="shared" si="86"/>
        <v>0.20067676783565425</v>
      </c>
      <c r="O85" s="4">
        <f t="shared" si="116"/>
        <v>3.9003383839178269</v>
      </c>
      <c r="P85" s="4">
        <f t="shared" si="117"/>
        <v>3.6996616160821727</v>
      </c>
      <c r="Q85" s="4">
        <f t="shared" si="87"/>
        <v>0</v>
      </c>
      <c r="R85" s="4">
        <f t="shared" si="88"/>
        <v>3.8004415441405066</v>
      </c>
      <c r="S85" s="360">
        <f t="shared" si="89"/>
        <v>1.9498530506079255E-2</v>
      </c>
      <c r="T85" s="360">
        <f t="shared" si="90"/>
        <v>0.3</v>
      </c>
      <c r="U85" s="360">
        <f t="shared" si="91"/>
        <v>0.31999768928258737</v>
      </c>
      <c r="V85" s="4">
        <f t="shared" si="118"/>
        <v>5.7930392965009507E-2</v>
      </c>
      <c r="W85" s="360">
        <f t="shared" si="92"/>
        <v>6.7118608581608466E-6</v>
      </c>
      <c r="X85" s="360">
        <f t="shared" si="119"/>
        <v>6.7118608581608466E-6</v>
      </c>
      <c r="Y85" s="4">
        <f t="shared" si="93"/>
        <v>0.79806578072949641</v>
      </c>
      <c r="Z85" s="360">
        <f t="shared" si="120"/>
        <v>6.3690899037138066E-4</v>
      </c>
      <c r="AA85" s="541">
        <f t="shared" si="121"/>
        <v>6.3690899037138066E-4</v>
      </c>
      <c r="AB85" s="360">
        <f t="shared" si="94"/>
        <v>3.7115457939883991</v>
      </c>
      <c r="AC85" s="360">
        <f t="shared" si="95"/>
        <v>8.2653433085237857E-2</v>
      </c>
      <c r="AD85" s="360">
        <f t="shared" si="96"/>
        <v>0.29798257087761576</v>
      </c>
      <c r="AE85" s="360">
        <f t="shared" si="97"/>
        <v>0.63444464999999983</v>
      </c>
      <c r="AF85" s="360">
        <f t="shared" si="98"/>
        <v>0</v>
      </c>
      <c r="AG85" s="360">
        <f t="shared" si="99"/>
        <v>1.0279956947143309</v>
      </c>
      <c r="AH85" s="360">
        <f t="shared" si="100"/>
        <v>0.81718036537602967</v>
      </c>
      <c r="AI85" s="360">
        <f t="shared" si="101"/>
        <v>1.6694593738902533E-3</v>
      </c>
      <c r="AJ85" s="360">
        <f t="shared" si="102"/>
        <v>0.15640799999999996</v>
      </c>
      <c r="AK85" s="360">
        <f t="shared" si="103"/>
        <v>0.15813025778212023</v>
      </c>
      <c r="AL85" s="360">
        <f t="shared" si="104"/>
        <v>0.15640799999999996</v>
      </c>
      <c r="AM85" s="360">
        <f t="shared" si="105"/>
        <v>2.0109599999999999</v>
      </c>
      <c r="AN85" s="360">
        <f t="shared" si="106"/>
        <v>0.14443355930429078</v>
      </c>
      <c r="AO85" s="360">
        <f t="shared" si="107"/>
        <v>7.3499999999999998E-4</v>
      </c>
      <c r="AP85" s="360">
        <f t="shared" si="108"/>
        <v>0.34650000000000003</v>
      </c>
      <c r="AQ85" s="360">
        <f t="shared" si="109"/>
        <v>1.3167</v>
      </c>
      <c r="AR85" s="360">
        <f t="shared" si="110"/>
        <v>1.1088</v>
      </c>
      <c r="AS85" s="360">
        <f t="shared" si="129"/>
        <v>0.34723500000000002</v>
      </c>
      <c r="AT85" s="360">
        <f t="shared" si="122"/>
        <v>4.165803821934559</v>
      </c>
      <c r="AU85">
        <f t="shared" si="111"/>
        <v>76</v>
      </c>
      <c r="AV85" s="542">
        <f t="shared" si="123"/>
        <v>0.94803515185617415</v>
      </c>
      <c r="AW85" s="551">
        <f t="shared" si="112"/>
        <v>117.76146473571654</v>
      </c>
      <c r="AX85" s="551">
        <f t="shared" si="113"/>
        <v>31.226388195720567</v>
      </c>
      <c r="AY85" s="9"/>
      <c r="AZ85" s="4">
        <f t="shared" si="124"/>
        <v>94.803515185617414</v>
      </c>
      <c r="BA85" s="360">
        <f t="shared" si="114"/>
        <v>0.31999768928258737</v>
      </c>
      <c r="BB85" s="360">
        <f t="shared" si="125"/>
        <v>3.197085952496451</v>
      </c>
      <c r="BC85" s="360">
        <f t="shared" si="126"/>
        <v>2.3552292947143307</v>
      </c>
      <c r="BD85" s="360">
        <f t="shared" si="127"/>
        <v>0.8217470577821202</v>
      </c>
      <c r="BE85" s="360">
        <f t="shared" si="128"/>
        <v>0.14443355930429078</v>
      </c>
      <c r="BK85" s="18"/>
      <c r="BL85" s="19"/>
    </row>
    <row r="86" spans="1:64" x14ac:dyDescent="0.2">
      <c r="G86">
        <v>77</v>
      </c>
      <c r="H86" s="548">
        <f t="shared" si="82"/>
        <v>21</v>
      </c>
      <c r="I86" s="4">
        <f t="shared" si="83"/>
        <v>1</v>
      </c>
      <c r="J86" s="360">
        <f t="shared" si="115"/>
        <v>3.85</v>
      </c>
      <c r="K86" s="4">
        <f t="shared" si="84"/>
        <v>4.0740740740740735</v>
      </c>
      <c r="L86" s="4"/>
      <c r="M86" s="360">
        <f t="shared" si="85"/>
        <v>0.95378352701126401</v>
      </c>
      <c r="N86" s="4">
        <f t="shared" si="86"/>
        <v>0.20060472676529481</v>
      </c>
      <c r="O86" s="4">
        <f t="shared" si="116"/>
        <v>3.9503023633826473</v>
      </c>
      <c r="P86" s="4">
        <f t="shared" si="117"/>
        <v>3.7496976366173529</v>
      </c>
      <c r="Q86" s="4">
        <f t="shared" si="87"/>
        <v>0</v>
      </c>
      <c r="R86" s="4">
        <f t="shared" si="88"/>
        <v>3.8504354976244852</v>
      </c>
      <c r="S86" s="360">
        <f t="shared" si="89"/>
        <v>2.0014902253845071E-2</v>
      </c>
      <c r="T86" s="360">
        <f t="shared" si="90"/>
        <v>0.3</v>
      </c>
      <c r="U86" s="360">
        <f t="shared" si="91"/>
        <v>0.32052812938819003</v>
      </c>
      <c r="V86" s="4">
        <f t="shared" si="118"/>
        <v>5.7909596499327143E-2</v>
      </c>
      <c r="W86" s="360">
        <f t="shared" si="92"/>
        <v>6.7070427334297653E-6</v>
      </c>
      <c r="X86" s="360">
        <f t="shared" si="119"/>
        <v>6.7070427334297653E-6</v>
      </c>
      <c r="Y86" s="4">
        <f t="shared" si="93"/>
        <v>0.80841276183556909</v>
      </c>
      <c r="Z86" s="360">
        <f t="shared" si="120"/>
        <v>6.5353119349861259E-4</v>
      </c>
      <c r="AA86" s="541">
        <f t="shared" si="121"/>
        <v>6.5353119349861259E-4</v>
      </c>
      <c r="AB86" s="360">
        <f t="shared" si="94"/>
        <v>3.7604062097812672</v>
      </c>
      <c r="AC86" s="360">
        <f t="shared" si="95"/>
        <v>8.4843929175369093E-2</v>
      </c>
      <c r="AD86" s="360">
        <f t="shared" si="96"/>
        <v>0.3019033941786371</v>
      </c>
      <c r="AE86" s="360">
        <f t="shared" si="97"/>
        <v>0.63444464999999983</v>
      </c>
      <c r="AF86" s="360">
        <f t="shared" si="98"/>
        <v>0</v>
      </c>
      <c r="AG86" s="360">
        <f t="shared" si="99"/>
        <v>1.0345336055396133</v>
      </c>
      <c r="AH86" s="360">
        <f t="shared" si="100"/>
        <v>0.82776727333544731</v>
      </c>
      <c r="AI86" s="360">
        <f t="shared" si="101"/>
        <v>1.7129966470130029E-3</v>
      </c>
      <c r="AJ86" s="360">
        <f t="shared" si="102"/>
        <v>0.158466</v>
      </c>
      <c r="AK86" s="360">
        <f t="shared" si="103"/>
        <v>0.1602338926711897</v>
      </c>
      <c r="AL86" s="360">
        <f t="shared" si="104"/>
        <v>0.158466</v>
      </c>
      <c r="AM86" s="360">
        <f t="shared" si="105"/>
        <v>2.03742</v>
      </c>
      <c r="AN86" s="360">
        <f t="shared" si="106"/>
        <v>0.14825853521366716</v>
      </c>
      <c r="AO86" s="360">
        <f t="shared" si="107"/>
        <v>7.3499999999999998E-4</v>
      </c>
      <c r="AP86" s="360">
        <f t="shared" si="108"/>
        <v>0.34650000000000003</v>
      </c>
      <c r="AQ86" s="360">
        <f t="shared" si="109"/>
        <v>1.3167</v>
      </c>
      <c r="AR86" s="360">
        <f t="shared" si="110"/>
        <v>1.1088</v>
      </c>
      <c r="AS86" s="360">
        <f t="shared" si="129"/>
        <v>0.34723500000000002</v>
      </c>
      <c r="AT86" s="360">
        <f t="shared" si="122"/>
        <v>4.2073354010488924</v>
      </c>
      <c r="AU86">
        <f t="shared" si="111"/>
        <v>77</v>
      </c>
      <c r="AV86" s="542">
        <f t="shared" si="123"/>
        <v>0.94819020498246087</v>
      </c>
      <c r="AW86" s="551">
        <f t="shared" si="112"/>
        <v>118.96154027698067</v>
      </c>
      <c r="AX86" s="551">
        <f t="shared" si="113"/>
        <v>31.63813472150521</v>
      </c>
      <c r="AY86" s="9"/>
      <c r="AZ86" s="4">
        <f t="shared" si="124"/>
        <v>94.81902049824609</v>
      </c>
      <c r="BA86" s="360">
        <f t="shared" si="114"/>
        <v>0.32052812938819003</v>
      </c>
      <c r="BB86" s="360">
        <f t="shared" si="125"/>
        <v>3.232187498210803</v>
      </c>
      <c r="BC86" s="360">
        <f t="shared" si="126"/>
        <v>2.3792308055396134</v>
      </c>
      <c r="BD86" s="360">
        <f t="shared" si="127"/>
        <v>0.83258249267118978</v>
      </c>
      <c r="BE86" s="360">
        <f t="shared" si="128"/>
        <v>0.14825853521366716</v>
      </c>
      <c r="BK86" s="18"/>
      <c r="BL86" s="19"/>
    </row>
    <row r="87" spans="1:64" x14ac:dyDescent="0.2">
      <c r="G87">
        <v>78</v>
      </c>
      <c r="H87" s="548">
        <f t="shared" si="82"/>
        <v>21</v>
      </c>
      <c r="I87" s="4">
        <f t="shared" si="83"/>
        <v>1</v>
      </c>
      <c r="J87" s="360">
        <f t="shared" si="115"/>
        <v>3.9</v>
      </c>
      <c r="K87" s="4">
        <f t="shared" si="84"/>
        <v>4.1269841269841265</v>
      </c>
      <c r="L87" s="4"/>
      <c r="M87" s="360">
        <f t="shared" si="85"/>
        <v>0.95380172030429933</v>
      </c>
      <c r="N87" s="4">
        <f t="shared" si="86"/>
        <v>0.20053268268220267</v>
      </c>
      <c r="O87" s="4">
        <f t="shared" si="116"/>
        <v>4.000266341341101</v>
      </c>
      <c r="P87" s="4">
        <f t="shared" si="117"/>
        <v>3.7997336586588988</v>
      </c>
      <c r="Q87" s="4">
        <f t="shared" si="87"/>
        <v>0</v>
      </c>
      <c r="R87" s="4">
        <f t="shared" si="88"/>
        <v>3.9004296062188639</v>
      </c>
      <c r="S87" s="360">
        <f t="shared" si="89"/>
        <v>2.0538024002642669E-2</v>
      </c>
      <c r="T87" s="360">
        <f t="shared" si="90"/>
        <v>0.3</v>
      </c>
      <c r="U87" s="360">
        <f t="shared" si="91"/>
        <v>0.3210655481574009</v>
      </c>
      <c r="V87" s="4">
        <f t="shared" si="118"/>
        <v>5.7888799163943759E-2</v>
      </c>
      <c r="W87" s="360">
        <f t="shared" si="92"/>
        <v>6.7022261372868318E-6</v>
      </c>
      <c r="X87" s="360">
        <f t="shared" si="119"/>
        <v>6.7022261372868318E-6</v>
      </c>
      <c r="Y87" s="4">
        <f t="shared" si="93"/>
        <v>0.81875581395851249</v>
      </c>
      <c r="Z87" s="360">
        <f t="shared" si="120"/>
        <v>6.7036108289086633E-4</v>
      </c>
      <c r="AA87" s="541">
        <f t="shared" si="121"/>
        <v>6.7036108289086633E-4</v>
      </c>
      <c r="AB87" s="360">
        <f t="shared" si="94"/>
        <v>3.809267706953424</v>
      </c>
      <c r="AC87" s="360">
        <f t="shared" si="95"/>
        <v>8.7063122779429195E-2</v>
      </c>
      <c r="AD87" s="360">
        <f t="shared" si="96"/>
        <v>0.30582421747965827</v>
      </c>
      <c r="AE87" s="360">
        <f t="shared" si="97"/>
        <v>0.63444464999999983</v>
      </c>
      <c r="AF87" s="360">
        <f t="shared" si="98"/>
        <v>0</v>
      </c>
      <c r="AG87" s="360">
        <f t="shared" si="99"/>
        <v>1.0411096128750805</v>
      </c>
      <c r="AH87" s="360">
        <f t="shared" si="100"/>
        <v>0.83834995665917722</v>
      </c>
      <c r="AI87" s="360">
        <f t="shared" si="101"/>
        <v>1.7570766245761109E-3</v>
      </c>
      <c r="AJ87" s="360">
        <f t="shared" si="102"/>
        <v>0.16052399999999997</v>
      </c>
      <c r="AK87" s="360">
        <f t="shared" si="103"/>
        <v>0.16233812472942399</v>
      </c>
      <c r="AL87" s="360">
        <f t="shared" si="104"/>
        <v>0.16052399999999997</v>
      </c>
      <c r="AM87" s="360">
        <f t="shared" si="105"/>
        <v>2.0638799999999997</v>
      </c>
      <c r="AN87" s="360">
        <f t="shared" si="106"/>
        <v>0.15213351113068643</v>
      </c>
      <c r="AO87" s="360">
        <f t="shared" si="107"/>
        <v>7.3499999999999998E-4</v>
      </c>
      <c r="AP87" s="360">
        <f t="shared" si="108"/>
        <v>0.34650000000000003</v>
      </c>
      <c r="AQ87" s="360">
        <f t="shared" si="109"/>
        <v>1.3167</v>
      </c>
      <c r="AR87" s="360">
        <f t="shared" si="110"/>
        <v>1.1088</v>
      </c>
      <c r="AS87" s="360">
        <f t="shared" si="129"/>
        <v>0.34723500000000002</v>
      </c>
      <c r="AT87" s="360">
        <f t="shared" si="122"/>
        <v>4.2489628602016198</v>
      </c>
      <c r="AU87">
        <f t="shared" si="111"/>
        <v>78</v>
      </c>
      <c r="AV87" s="542">
        <f t="shared" si="123"/>
        <v>0.94834022567040066</v>
      </c>
      <c r="AW87" s="551">
        <f t="shared" si="112"/>
        <v>120.16352064375401</v>
      </c>
      <c r="AX87" s="551">
        <f t="shared" si="113"/>
        <v>32.049903939718106</v>
      </c>
      <c r="AY87" s="9"/>
      <c r="AZ87" s="4">
        <f t="shared" si="124"/>
        <v>94.834022567040066</v>
      </c>
      <c r="BA87" s="360">
        <f t="shared" si="114"/>
        <v>0.3210655481574009</v>
      </c>
      <c r="BB87" s="360">
        <f t="shared" si="125"/>
        <v>3.2673277376045045</v>
      </c>
      <c r="BC87" s="360">
        <f t="shared" si="126"/>
        <v>2.4032704128750804</v>
      </c>
      <c r="BD87" s="360">
        <f t="shared" si="127"/>
        <v>0.84341852472942391</v>
      </c>
      <c r="BE87" s="360">
        <f t="shared" si="128"/>
        <v>0.15213351113068643</v>
      </c>
      <c r="BK87" s="18"/>
      <c r="BL87" s="19"/>
    </row>
    <row r="88" spans="1:64" x14ac:dyDescent="0.2">
      <c r="G88">
        <v>79</v>
      </c>
      <c r="H88" s="548">
        <f t="shared" si="82"/>
        <v>21</v>
      </c>
      <c r="I88" s="4">
        <f t="shared" si="83"/>
        <v>1</v>
      </c>
      <c r="J88" s="360">
        <f t="shared" si="115"/>
        <v>3.95</v>
      </c>
      <c r="K88" s="4">
        <f t="shared" si="84"/>
        <v>4.1798941798941796</v>
      </c>
      <c r="L88" s="4"/>
      <c r="M88" s="360">
        <f t="shared" si="85"/>
        <v>0.95381991303489655</v>
      </c>
      <c r="N88" s="4">
        <f t="shared" si="86"/>
        <v>0.20046063558651761</v>
      </c>
      <c r="O88" s="4">
        <f t="shared" si="116"/>
        <v>4.0502303177932593</v>
      </c>
      <c r="P88" s="4">
        <f t="shared" si="117"/>
        <v>3.8497696822067415</v>
      </c>
      <c r="Q88" s="4">
        <f t="shared" si="87"/>
        <v>0</v>
      </c>
      <c r="R88" s="4">
        <f t="shared" si="88"/>
        <v>3.9504238640347165</v>
      </c>
      <c r="S88" s="360">
        <f t="shared" si="89"/>
        <v>2.1067895752472223E-2</v>
      </c>
      <c r="T88" s="360">
        <f t="shared" si="90"/>
        <v>0.3</v>
      </c>
      <c r="U88" s="360">
        <f t="shared" si="91"/>
        <v>0.32160994733995346</v>
      </c>
      <c r="V88" s="4">
        <f t="shared" si="118"/>
        <v>5.7868000958899712E-2</v>
      </c>
      <c r="W88" s="360">
        <f t="shared" si="92"/>
        <v>6.6974110699584363E-6</v>
      </c>
      <c r="X88" s="360">
        <f t="shared" si="119"/>
        <v>6.6974110699584363E-6</v>
      </c>
      <c r="Y88" s="4">
        <f t="shared" si="93"/>
        <v>0.82909493466856432</v>
      </c>
      <c r="Z88" s="360">
        <f t="shared" si="120"/>
        <v>6.87398410693071E-4</v>
      </c>
      <c r="AA88" s="541">
        <f t="shared" si="121"/>
        <v>6.87398410693071E-4</v>
      </c>
      <c r="AB88" s="360">
        <f t="shared" si="94"/>
        <v>3.8581302797014421</v>
      </c>
      <c r="AC88" s="360">
        <f t="shared" si="95"/>
        <v>8.9311015530894766E-2</v>
      </c>
      <c r="AD88" s="360">
        <f t="shared" si="96"/>
        <v>0.30974504078067955</v>
      </c>
      <c r="AE88" s="360">
        <f t="shared" si="97"/>
        <v>0.63444464999999983</v>
      </c>
      <c r="AF88" s="360">
        <f t="shared" si="98"/>
        <v>0</v>
      </c>
      <c r="AG88" s="360">
        <f t="shared" si="99"/>
        <v>1.0477238449611654</v>
      </c>
      <c r="AH88" s="360">
        <f t="shared" si="100"/>
        <v>0.84892841299243393</v>
      </c>
      <c r="AI88" s="360">
        <f t="shared" si="101"/>
        <v>1.8016986259646313E-3</v>
      </c>
      <c r="AJ88" s="360">
        <f t="shared" si="102"/>
        <v>0.16258199999999998</v>
      </c>
      <c r="AK88" s="360">
        <f t="shared" si="103"/>
        <v>0.1644429539548026</v>
      </c>
      <c r="AL88" s="360">
        <f t="shared" si="104"/>
        <v>0.16258199999999998</v>
      </c>
      <c r="AM88" s="360">
        <f t="shared" si="105"/>
        <v>2.0903399999999999</v>
      </c>
      <c r="AN88" s="360">
        <f t="shared" si="106"/>
        <v>0.1560584870553498</v>
      </c>
      <c r="AO88" s="360">
        <f t="shared" si="107"/>
        <v>7.3499999999999998E-4</v>
      </c>
      <c r="AP88" s="360">
        <f t="shared" si="108"/>
        <v>0.34650000000000003</v>
      </c>
      <c r="AQ88" s="360">
        <f t="shared" si="109"/>
        <v>1.3167</v>
      </c>
      <c r="AR88" s="360">
        <f t="shared" si="110"/>
        <v>1.1088</v>
      </c>
      <c r="AS88" s="360">
        <f t="shared" si="129"/>
        <v>0.34723500000000002</v>
      </c>
      <c r="AT88" s="360">
        <f t="shared" si="122"/>
        <v>4.2906863291330346</v>
      </c>
      <c r="AU88">
        <f t="shared" si="111"/>
        <v>79</v>
      </c>
      <c r="AV88" s="542">
        <f t="shared" si="123"/>
        <v>0.94848540073042642</v>
      </c>
      <c r="AW88" s="551">
        <f t="shared" si="112"/>
        <v>121.36741224805827</v>
      </c>
      <c r="AX88" s="551">
        <f t="shared" si="113"/>
        <v>32.461695850282496</v>
      </c>
      <c r="AY88" s="9"/>
      <c r="AZ88" s="4">
        <f t="shared" si="124"/>
        <v>94.848540073042642</v>
      </c>
      <c r="BA88" s="360">
        <f t="shared" si="114"/>
        <v>0.32160994733995346</v>
      </c>
      <c r="BB88" s="360">
        <f t="shared" si="125"/>
        <v>3.3025067989159682</v>
      </c>
      <c r="BC88" s="360">
        <f t="shared" si="126"/>
        <v>2.4273482449611654</v>
      </c>
      <c r="BD88" s="360">
        <f t="shared" si="127"/>
        <v>0.85425515395480256</v>
      </c>
      <c r="BE88" s="360">
        <f t="shared" si="128"/>
        <v>0.1560584870553498</v>
      </c>
      <c r="BK88" s="18"/>
      <c r="BL88" s="19"/>
    </row>
    <row r="89" spans="1:64" x14ac:dyDescent="0.2">
      <c r="G89">
        <v>80</v>
      </c>
      <c r="H89" s="548">
        <f t="shared" si="82"/>
        <v>21</v>
      </c>
      <c r="I89" s="4">
        <f t="shared" si="83"/>
        <v>1</v>
      </c>
      <c r="J89" s="360">
        <f t="shared" si="115"/>
        <v>4</v>
      </c>
      <c r="K89" s="4">
        <f t="shared" si="84"/>
        <v>4.2328042328042326</v>
      </c>
      <c r="L89" s="4"/>
      <c r="M89" s="360">
        <f t="shared" si="85"/>
        <v>0.95383810520308188</v>
      </c>
      <c r="N89" s="4">
        <f t="shared" si="86"/>
        <v>0.20038858547837926</v>
      </c>
      <c r="O89" s="4">
        <f t="shared" si="116"/>
        <v>4.1001942927391895</v>
      </c>
      <c r="P89" s="4">
        <f t="shared" si="117"/>
        <v>3.8998057072608105</v>
      </c>
      <c r="Q89" s="4">
        <f t="shared" si="87"/>
        <v>0</v>
      </c>
      <c r="R89" s="4">
        <f t="shared" si="88"/>
        <v>4.000418265477478</v>
      </c>
      <c r="S89" s="360">
        <f t="shared" si="89"/>
        <v>2.1604517503333878E-2</v>
      </c>
      <c r="T89" s="360">
        <f t="shared" si="90"/>
        <v>0.3</v>
      </c>
      <c r="U89" s="360">
        <f t="shared" si="91"/>
        <v>0.32216132870853231</v>
      </c>
      <c r="V89" s="4">
        <f t="shared" si="118"/>
        <v>5.7847201884235304E-2</v>
      </c>
      <c r="W89" s="360">
        <f t="shared" si="92"/>
        <v>6.6925975316709531E-6</v>
      </c>
      <c r="X89" s="360">
        <f t="shared" si="119"/>
        <v>6.6925975316709531E-6</v>
      </c>
      <c r="Y89" s="4">
        <f t="shared" si="93"/>
        <v>0.8394301215977813</v>
      </c>
      <c r="Z89" s="360">
        <f t="shared" si="120"/>
        <v>7.0464292904566593E-4</v>
      </c>
      <c r="AA89" s="541">
        <f t="shared" si="121"/>
        <v>7.0464292904566593E-4</v>
      </c>
      <c r="AB89" s="360">
        <f t="shared" si="94"/>
        <v>3.9069939225091654</v>
      </c>
      <c r="AC89" s="360">
        <f t="shared" si="95"/>
        <v>9.1587609063141326E-2</v>
      </c>
      <c r="AD89" s="360">
        <f t="shared" si="96"/>
        <v>0.31366586408170083</v>
      </c>
      <c r="AE89" s="360">
        <f t="shared" si="97"/>
        <v>0.63444464999999983</v>
      </c>
      <c r="AF89" s="360">
        <f t="shared" si="98"/>
        <v>0</v>
      </c>
      <c r="AG89" s="360">
        <f t="shared" si="99"/>
        <v>1.0543764312360362</v>
      </c>
      <c r="AH89" s="360">
        <f t="shared" si="100"/>
        <v>0.85950264004380905</v>
      </c>
      <c r="AI89" s="360">
        <f t="shared" si="101"/>
        <v>1.8468619706056941E-3</v>
      </c>
      <c r="AJ89" s="360">
        <f t="shared" si="102"/>
        <v>0.16463999999999998</v>
      </c>
      <c r="AK89" s="360">
        <f t="shared" si="103"/>
        <v>0.16654838034459055</v>
      </c>
      <c r="AL89" s="360">
        <f t="shared" si="104"/>
        <v>0.16463999999999998</v>
      </c>
      <c r="AM89" s="360">
        <f t="shared" si="105"/>
        <v>2.1167999999999996</v>
      </c>
      <c r="AN89" s="360">
        <f t="shared" si="106"/>
        <v>0.16003346298765833</v>
      </c>
      <c r="AO89" s="360">
        <f t="shared" si="107"/>
        <v>7.3499999999999998E-4</v>
      </c>
      <c r="AP89" s="360">
        <f t="shared" si="108"/>
        <v>0.34650000000000003</v>
      </c>
      <c r="AQ89" s="360">
        <f t="shared" si="109"/>
        <v>1.3167</v>
      </c>
      <c r="AR89" s="360">
        <f t="shared" si="110"/>
        <v>1.1088</v>
      </c>
      <c r="AS89" s="360">
        <f t="shared" si="129"/>
        <v>0.34723500000000002</v>
      </c>
      <c r="AT89" s="360">
        <f t="shared" si="122"/>
        <v>4.3325059388033944</v>
      </c>
      <c r="AU89">
        <f t="shared" si="111"/>
        <v>80</v>
      </c>
      <c r="AV89" s="542">
        <f t="shared" si="123"/>
        <v>0.94862590776150646</v>
      </c>
      <c r="AW89" s="551">
        <f t="shared" si="112"/>
        <v>122.57322156180179</v>
      </c>
      <c r="AX89" s="551">
        <f t="shared" si="113"/>
        <v>32.87351045309444</v>
      </c>
      <c r="AY89" s="9"/>
      <c r="AZ89" s="4">
        <f t="shared" si="124"/>
        <v>94.86259077615064</v>
      </c>
      <c r="BA89" s="360">
        <f t="shared" si="114"/>
        <v>0.32216132870853231</v>
      </c>
      <c r="BB89" s="360">
        <f t="shared" si="125"/>
        <v>3.3377248115806264</v>
      </c>
      <c r="BC89" s="360">
        <f t="shared" si="126"/>
        <v>2.4514644312360359</v>
      </c>
      <c r="BD89" s="360">
        <f t="shared" si="127"/>
        <v>0.86509238034459046</v>
      </c>
      <c r="BE89" s="360">
        <f t="shared" si="128"/>
        <v>0.16003346298765833</v>
      </c>
      <c r="BK89" s="18"/>
      <c r="BL89" s="19"/>
    </row>
    <row r="90" spans="1:64" x14ac:dyDescent="0.2">
      <c r="G90">
        <v>81</v>
      </c>
      <c r="H90" s="548">
        <f t="shared" si="82"/>
        <v>21</v>
      </c>
      <c r="I90" s="4">
        <f t="shared" si="83"/>
        <v>1</v>
      </c>
      <c r="J90" s="360">
        <f t="shared" si="115"/>
        <v>4.05</v>
      </c>
      <c r="K90" s="4">
        <f t="shared" si="84"/>
        <v>4.2857142857142856</v>
      </c>
      <c r="L90" s="4"/>
      <c r="M90" s="360">
        <f t="shared" si="85"/>
        <v>0.95385629680888118</v>
      </c>
      <c r="N90" s="4">
        <f t="shared" si="86"/>
        <v>0.20031653235792735</v>
      </c>
      <c r="O90" s="4">
        <f t="shared" si="116"/>
        <v>4.1501582661789636</v>
      </c>
      <c r="P90" s="4">
        <f t="shared" si="117"/>
        <v>3.9498417338210361</v>
      </c>
      <c r="Q90" s="4">
        <f t="shared" si="87"/>
        <v>0</v>
      </c>
      <c r="R90" s="4">
        <f t="shared" si="88"/>
        <v>4.0504128052287864</v>
      </c>
      <c r="S90" s="360">
        <f t="shared" si="89"/>
        <v>2.2147889255227794E-2</v>
      </c>
      <c r="T90" s="360">
        <f t="shared" si="90"/>
        <v>0.3</v>
      </c>
      <c r="U90" s="360">
        <f t="shared" si="91"/>
        <v>0.32271969405878742</v>
      </c>
      <c r="V90" s="4">
        <f t="shared" si="118"/>
        <v>5.7826401939990869E-2</v>
      </c>
      <c r="W90" s="360">
        <f t="shared" si="92"/>
        <v>6.6877855226507597E-6</v>
      </c>
      <c r="X90" s="360">
        <f t="shared" si="119"/>
        <v>6.6877855226507597E-6</v>
      </c>
      <c r="Y90" s="4">
        <f t="shared" si="93"/>
        <v>0.84976137243617555</v>
      </c>
      <c r="Z90" s="360">
        <f t="shared" si="120"/>
        <v>7.2209439008461267E-4</v>
      </c>
      <c r="AA90" s="541">
        <f t="shared" si="121"/>
        <v>7.2209439008461267E-4</v>
      </c>
      <c r="AB90" s="360">
        <f t="shared" si="94"/>
        <v>3.9558586301299896</v>
      </c>
      <c r="AC90" s="360">
        <f t="shared" si="95"/>
        <v>9.3892905009443514E-2</v>
      </c>
      <c r="AD90" s="360">
        <f t="shared" si="96"/>
        <v>0.31758668738272205</v>
      </c>
      <c r="AE90" s="360">
        <f t="shared" si="97"/>
        <v>0.63444464999999983</v>
      </c>
      <c r="AF90" s="360">
        <f t="shared" si="98"/>
        <v>0</v>
      </c>
      <c r="AG90" s="360">
        <f t="shared" si="99"/>
        <v>1.0610675023434994</v>
      </c>
      <c r="AH90" s="360">
        <f t="shared" si="100"/>
        <v>0.87007263558131054</v>
      </c>
      <c r="AI90" s="360">
        <f t="shared" si="101"/>
        <v>1.8925659779685201E-3</v>
      </c>
      <c r="AJ90" s="360">
        <f t="shared" si="102"/>
        <v>0.16669799999999999</v>
      </c>
      <c r="AK90" s="360">
        <f t="shared" si="103"/>
        <v>0.16865440389533787</v>
      </c>
      <c r="AL90" s="360">
        <f t="shared" si="104"/>
        <v>0.16669799999999999</v>
      </c>
      <c r="AM90" s="360">
        <f t="shared" si="105"/>
        <v>2.1432600000000002</v>
      </c>
      <c r="AN90" s="360">
        <f t="shared" si="106"/>
        <v>0.16405843892761329</v>
      </c>
      <c r="AO90" s="360">
        <f t="shared" si="107"/>
        <v>7.3499999999999998E-4</v>
      </c>
      <c r="AP90" s="360">
        <f t="shared" si="108"/>
        <v>0.34650000000000003</v>
      </c>
      <c r="AQ90" s="360">
        <f t="shared" si="109"/>
        <v>1.3167</v>
      </c>
      <c r="AR90" s="360">
        <f t="shared" si="110"/>
        <v>1.1088</v>
      </c>
      <c r="AS90" s="360">
        <f t="shared" si="129"/>
        <v>0.34723500000000002</v>
      </c>
      <c r="AT90" s="360">
        <f t="shared" si="122"/>
        <v>4.3744218214008459</v>
      </c>
      <c r="AU90">
        <f t="shared" si="111"/>
        <v>81</v>
      </c>
      <c r="AV90" s="542">
        <f t="shared" si="123"/>
        <v>0.94876191571110224</v>
      </c>
      <c r="AW90" s="551">
        <f t="shared" si="112"/>
        <v>123.780955117175</v>
      </c>
      <c r="AX90" s="551">
        <f t="shared" si="113"/>
        <v>33.285347748022843</v>
      </c>
      <c r="AY90" s="9"/>
      <c r="AZ90" s="4">
        <f t="shared" si="124"/>
        <v>94.876191571110226</v>
      </c>
      <c r="BA90" s="360">
        <f t="shared" si="114"/>
        <v>0.32271969405878742</v>
      </c>
      <c r="BB90" s="360">
        <f t="shared" si="125"/>
        <v>3.3729819062388375</v>
      </c>
      <c r="BC90" s="360">
        <f t="shared" si="126"/>
        <v>2.4756191023434999</v>
      </c>
      <c r="BD90" s="360">
        <f t="shared" si="127"/>
        <v>0.87593020389533804</v>
      </c>
      <c r="BE90" s="360">
        <f t="shared" si="128"/>
        <v>0.16405843892761329</v>
      </c>
      <c r="BK90" s="18"/>
      <c r="BL90" s="19"/>
    </row>
    <row r="91" spans="1:64" x14ac:dyDescent="0.2">
      <c r="G91">
        <v>82</v>
      </c>
      <c r="H91" s="548">
        <f t="shared" si="82"/>
        <v>21</v>
      </c>
      <c r="I91" s="4">
        <f t="shared" si="83"/>
        <v>1</v>
      </c>
      <c r="J91" s="360">
        <f t="shared" si="115"/>
        <v>4.0999999999999996</v>
      </c>
      <c r="K91" s="4">
        <f t="shared" si="84"/>
        <v>4.3386243386243377</v>
      </c>
      <c r="L91" s="4"/>
      <c r="M91" s="360">
        <f t="shared" si="85"/>
        <v>0.95387448785232076</v>
      </c>
      <c r="N91" s="4">
        <f t="shared" si="86"/>
        <v>0.20024447622530081</v>
      </c>
      <c r="O91" s="4">
        <f t="shared" si="116"/>
        <v>4.20012223811265</v>
      </c>
      <c r="P91" s="4">
        <f t="shared" si="117"/>
        <v>3.9998777618873493</v>
      </c>
      <c r="Q91" s="4">
        <f t="shared" si="87"/>
        <v>0</v>
      </c>
      <c r="R91" s="4">
        <f t="shared" si="88"/>
        <v>4.1004074782296405</v>
      </c>
      <c r="S91" s="360">
        <f t="shared" si="89"/>
        <v>2.2698011008154106E-2</v>
      </c>
      <c r="T91" s="360">
        <f t="shared" si="90"/>
        <v>0.3</v>
      </c>
      <c r="U91" s="360">
        <f t="shared" si="91"/>
        <v>0.32328504520934875</v>
      </c>
      <c r="V91" s="4">
        <f t="shared" si="118"/>
        <v>5.7805601126206523E-2</v>
      </c>
      <c r="W91" s="360">
        <f t="shared" si="92"/>
        <v>6.682975043124178E-6</v>
      </c>
      <c r="X91" s="360">
        <f t="shared" si="119"/>
        <v>6.682975043124178E-6</v>
      </c>
      <c r="Y91" s="4">
        <f t="shared" si="93"/>
        <v>0.86008868492811952</v>
      </c>
      <c r="Z91" s="360">
        <f t="shared" si="120"/>
        <v>7.3975254594138204E-4</v>
      </c>
      <c r="AA91" s="541">
        <f t="shared" si="121"/>
        <v>7.3975254594138204E-4</v>
      </c>
      <c r="AB91" s="360">
        <f t="shared" si="94"/>
        <v>4.004724397570425</v>
      </c>
      <c r="AC91" s="360">
        <f t="shared" si="95"/>
        <v>9.6226905002974816E-2</v>
      </c>
      <c r="AD91" s="360">
        <f t="shared" si="96"/>
        <v>0.32150751068374334</v>
      </c>
      <c r="AE91" s="360">
        <f t="shared" si="97"/>
        <v>0.63444464999999983</v>
      </c>
      <c r="AF91" s="360">
        <f t="shared" si="98"/>
        <v>0</v>
      </c>
      <c r="AG91" s="360">
        <f t="shared" si="99"/>
        <v>1.0677971901409955</v>
      </c>
      <c r="AH91" s="360">
        <f t="shared" si="100"/>
        <v>0.88063839742868077</v>
      </c>
      <c r="AI91" s="360">
        <f t="shared" si="101"/>
        <v>1.9388099675643879E-3</v>
      </c>
      <c r="AJ91" s="360">
        <f t="shared" si="102"/>
        <v>0.16875599999999996</v>
      </c>
      <c r="AK91" s="360">
        <f t="shared" si="103"/>
        <v>0.17076102460287865</v>
      </c>
      <c r="AL91" s="360">
        <f t="shared" si="104"/>
        <v>0.16875599999999996</v>
      </c>
      <c r="AM91" s="360">
        <f t="shared" si="105"/>
        <v>2.1697199999999994</v>
      </c>
      <c r="AN91" s="360">
        <f t="shared" si="106"/>
        <v>0.16813341487521558</v>
      </c>
      <c r="AO91" s="360">
        <f t="shared" si="107"/>
        <v>7.3499999999999998E-4</v>
      </c>
      <c r="AP91" s="360">
        <f t="shared" si="108"/>
        <v>0.34650000000000003</v>
      </c>
      <c r="AQ91" s="360">
        <f t="shared" si="109"/>
        <v>1.3167</v>
      </c>
      <c r="AR91" s="360">
        <f t="shared" si="110"/>
        <v>1.1088</v>
      </c>
      <c r="AS91" s="360">
        <f t="shared" si="129"/>
        <v>0.34723500000000002</v>
      </c>
      <c r="AT91" s="360">
        <f t="shared" si="122"/>
        <v>4.4164341103494218</v>
      </c>
      <c r="AU91">
        <f t="shared" si="111"/>
        <v>82</v>
      </c>
      <c r="AV91" s="542">
        <f t="shared" si="123"/>
        <v>0.94889358539476576</v>
      </c>
      <c r="AW91" s="551">
        <f t="shared" si="112"/>
        <v>124.99061950704977</v>
      </c>
      <c r="AX91" s="551">
        <f t="shared" si="113"/>
        <v>33.697207734909384</v>
      </c>
      <c r="AY91" s="9"/>
      <c r="AZ91" s="4">
        <f t="shared" si="124"/>
        <v>94.889358539476575</v>
      </c>
      <c r="BA91" s="360">
        <f t="shared" si="114"/>
        <v>0.32328504520934875</v>
      </c>
      <c r="BB91" s="360">
        <f t="shared" si="125"/>
        <v>3.4082782147438735</v>
      </c>
      <c r="BC91" s="360">
        <f t="shared" si="126"/>
        <v>2.4998123901409954</v>
      </c>
      <c r="BD91" s="360">
        <f t="shared" si="127"/>
        <v>0.88676862460287853</v>
      </c>
      <c r="BE91" s="360">
        <f t="shared" si="128"/>
        <v>0.16813341487521558</v>
      </c>
      <c r="BK91" s="18"/>
      <c r="BL91" s="19"/>
    </row>
    <row r="92" spans="1:64" x14ac:dyDescent="0.2">
      <c r="G92">
        <v>83</v>
      </c>
      <c r="H92" s="548">
        <f t="shared" si="82"/>
        <v>21</v>
      </c>
      <c r="I92" s="4">
        <f t="shared" si="83"/>
        <v>1</v>
      </c>
      <c r="J92" s="360">
        <f t="shared" si="115"/>
        <v>4.1500000000000004</v>
      </c>
      <c r="K92" s="4">
        <f t="shared" si="84"/>
        <v>4.3915343915343907</v>
      </c>
      <c r="L92" s="4"/>
      <c r="M92" s="360">
        <f t="shared" si="85"/>
        <v>0.9538926783334265</v>
      </c>
      <c r="N92" s="4">
        <f t="shared" si="86"/>
        <v>0.20017241708064076</v>
      </c>
      <c r="O92" s="4">
        <f t="shared" si="116"/>
        <v>4.2500862085403206</v>
      </c>
      <c r="P92" s="4">
        <f t="shared" si="117"/>
        <v>4.0499137914596801</v>
      </c>
      <c r="Q92" s="4">
        <f t="shared" si="87"/>
        <v>0</v>
      </c>
      <c r="R92" s="4">
        <f t="shared" si="88"/>
        <v>4.150402279664787</v>
      </c>
      <c r="S92" s="360">
        <f t="shared" si="89"/>
        <v>2.3254882762112995E-2</v>
      </c>
      <c r="T92" s="360">
        <f t="shared" si="90"/>
        <v>0.3</v>
      </c>
      <c r="U92" s="360">
        <f t="shared" si="91"/>
        <v>0.32385738400184161</v>
      </c>
      <c r="V92" s="4">
        <f t="shared" si="118"/>
        <v>5.7784799442922995E-2</v>
      </c>
      <c r="W92" s="360">
        <f t="shared" si="92"/>
        <v>6.6781660933176674E-6</v>
      </c>
      <c r="X92" s="360">
        <f t="shared" si="119"/>
        <v>6.6781660933176674E-6</v>
      </c>
      <c r="Y92" s="4">
        <f t="shared" si="93"/>
        <v>0.87041205686902812</v>
      </c>
      <c r="Z92" s="360">
        <f t="shared" si="120"/>
        <v>7.5761714874297229E-4</v>
      </c>
      <c r="AA92" s="541">
        <f t="shared" si="121"/>
        <v>7.5761714874297229E-4</v>
      </c>
      <c r="AB92" s="360">
        <f t="shared" si="94"/>
        <v>4.0535912200748605</v>
      </c>
      <c r="AC92" s="360">
        <f t="shared" si="95"/>
        <v>9.8589610676807979E-2</v>
      </c>
      <c r="AD92" s="360">
        <f t="shared" si="96"/>
        <v>0.32542833398476462</v>
      </c>
      <c r="AE92" s="360">
        <f t="shared" si="97"/>
        <v>0.63444464999999983</v>
      </c>
      <c r="AF92" s="360">
        <f t="shared" si="98"/>
        <v>0</v>
      </c>
      <c r="AG92" s="360">
        <f t="shared" si="99"/>
        <v>1.0745656277076945</v>
      </c>
      <c r="AH92" s="360">
        <f t="shared" si="100"/>
        <v>0.89119992346199506</v>
      </c>
      <c r="AI92" s="360">
        <f t="shared" si="101"/>
        <v>1.9855932589466648E-3</v>
      </c>
      <c r="AJ92" s="360">
        <f t="shared" si="102"/>
        <v>0.17081399999999999</v>
      </c>
      <c r="AK92" s="360">
        <f t="shared" si="103"/>
        <v>0.17286824246233051</v>
      </c>
      <c r="AL92" s="360">
        <f t="shared" si="104"/>
        <v>0.17081399999999999</v>
      </c>
      <c r="AM92" s="360">
        <f t="shared" si="105"/>
        <v>2.19618</v>
      </c>
      <c r="AN92" s="360">
        <f t="shared" si="106"/>
        <v>0.17225839083046662</v>
      </c>
      <c r="AO92" s="360">
        <f t="shared" si="107"/>
        <v>7.3499999999999998E-4</v>
      </c>
      <c r="AP92" s="360">
        <f t="shared" si="108"/>
        <v>0.34650000000000003</v>
      </c>
      <c r="AQ92" s="360">
        <f t="shared" si="109"/>
        <v>1.3167</v>
      </c>
      <c r="AR92" s="360">
        <f t="shared" si="110"/>
        <v>1.1088</v>
      </c>
      <c r="AS92" s="360">
        <f t="shared" si="129"/>
        <v>0.34723500000000002</v>
      </c>
      <c r="AT92" s="360">
        <f t="shared" si="122"/>
        <v>4.4585429403171704</v>
      </c>
      <c r="AU92">
        <f t="shared" si="111"/>
        <v>83</v>
      </c>
      <c r="AV92" s="542">
        <f t="shared" si="123"/>
        <v>0.94902106997872426</v>
      </c>
      <c r="AW92" s="551">
        <f t="shared" si="112"/>
        <v>126.20222138538473</v>
      </c>
      <c r="AX92" s="551">
        <f t="shared" si="113"/>
        <v>34.109090413568559</v>
      </c>
      <c r="AY92" s="9"/>
      <c r="AZ92" s="4">
        <f t="shared" si="124"/>
        <v>94.902106997872423</v>
      </c>
      <c r="BA92" s="360">
        <f t="shared" si="114"/>
        <v>0.32385738400184161</v>
      </c>
      <c r="BB92" s="360">
        <f t="shared" si="125"/>
        <v>3.443613870170025</v>
      </c>
      <c r="BC92" s="360">
        <f t="shared" si="126"/>
        <v>2.5240444277076945</v>
      </c>
      <c r="BD92" s="360">
        <f t="shared" si="127"/>
        <v>0.89760764246233049</v>
      </c>
      <c r="BE92" s="360">
        <f t="shared" si="128"/>
        <v>0.17225839083046662</v>
      </c>
      <c r="BK92" s="18"/>
      <c r="BL92" s="19"/>
    </row>
    <row r="93" spans="1:64" x14ac:dyDescent="0.2">
      <c r="G93">
        <v>84</v>
      </c>
      <c r="H93" s="548">
        <f t="shared" si="82"/>
        <v>21</v>
      </c>
      <c r="I93" s="4">
        <f t="shared" si="83"/>
        <v>1</v>
      </c>
      <c r="J93" s="360">
        <f t="shared" si="115"/>
        <v>4.2</v>
      </c>
      <c r="K93" s="4">
        <f t="shared" si="84"/>
        <v>4.4444444444444438</v>
      </c>
      <c r="L93" s="4"/>
      <c r="M93" s="360">
        <f t="shared" si="85"/>
        <v>0.95391086825222449</v>
      </c>
      <c r="N93" s="4">
        <f t="shared" si="86"/>
        <v>0.20010035492408618</v>
      </c>
      <c r="O93" s="4">
        <f t="shared" si="116"/>
        <v>4.300050177462043</v>
      </c>
      <c r="P93" s="4">
        <f t="shared" si="117"/>
        <v>4.0999498225379574</v>
      </c>
      <c r="Q93" s="4">
        <f t="shared" si="87"/>
        <v>0</v>
      </c>
      <c r="R93" s="4">
        <f t="shared" si="88"/>
        <v>4.2003972049482092</v>
      </c>
      <c r="S93" s="360">
        <f t="shared" si="89"/>
        <v>2.3818504517104582E-2</v>
      </c>
      <c r="T93" s="360">
        <f t="shared" si="90"/>
        <v>0.3</v>
      </c>
      <c r="U93" s="360">
        <f t="shared" si="91"/>
        <v>0.32443671230090088</v>
      </c>
      <c r="V93" s="4">
        <f t="shared" si="118"/>
        <v>5.7763996890180407E-2</v>
      </c>
      <c r="W93" s="360">
        <f t="shared" si="92"/>
        <v>6.6733586734575433E-6</v>
      </c>
      <c r="X93" s="360">
        <f t="shared" si="119"/>
        <v>6.6733586734575433E-6</v>
      </c>
      <c r="Y93" s="4">
        <f t="shared" si="93"/>
        <v>0.88073148610226182</v>
      </c>
      <c r="Z93" s="360">
        <f t="shared" si="120"/>
        <v>7.7568795061189861E-4</v>
      </c>
      <c r="AA93" s="541">
        <f t="shared" si="121"/>
        <v>7.7568795061189861E-4</v>
      </c>
      <c r="AB93" s="360">
        <f t="shared" si="94"/>
        <v>4.1024590931114009</v>
      </c>
      <c r="AC93" s="360">
        <f t="shared" si="95"/>
        <v>0.1009810236639145</v>
      </c>
      <c r="AD93" s="360">
        <f t="shared" si="96"/>
        <v>0.32934915728578584</v>
      </c>
      <c r="AE93" s="360">
        <f t="shared" si="97"/>
        <v>0.63444464999999983</v>
      </c>
      <c r="AF93" s="360">
        <f t="shared" si="98"/>
        <v>0</v>
      </c>
      <c r="AG93" s="360">
        <f t="shared" si="99"/>
        <v>1.0813729493526916</v>
      </c>
      <c r="AH93" s="360">
        <f t="shared" si="100"/>
        <v>0.90175721160648925</v>
      </c>
      <c r="AI93" s="360">
        <f t="shared" si="101"/>
        <v>2.0329151717107764E-3</v>
      </c>
      <c r="AJ93" s="360">
        <f t="shared" si="102"/>
        <v>0.172872</v>
      </c>
      <c r="AK93" s="360">
        <f t="shared" si="103"/>
        <v>0.17497605746809339</v>
      </c>
      <c r="AL93" s="360">
        <f t="shared" si="104"/>
        <v>0.172872</v>
      </c>
      <c r="AM93" s="360">
        <f t="shared" si="105"/>
        <v>2.2226399999999997</v>
      </c>
      <c r="AN93" s="360">
        <f t="shared" si="106"/>
        <v>0.17643336679336727</v>
      </c>
      <c r="AO93" s="360">
        <f t="shared" si="107"/>
        <v>7.3499999999999998E-4</v>
      </c>
      <c r="AP93" s="360">
        <f t="shared" si="108"/>
        <v>0.34650000000000003</v>
      </c>
      <c r="AQ93" s="360">
        <f t="shared" si="109"/>
        <v>1.3167</v>
      </c>
      <c r="AR93" s="360">
        <f t="shared" si="110"/>
        <v>1.1088</v>
      </c>
      <c r="AS93" s="360">
        <f t="shared" si="129"/>
        <v>0.34723500000000002</v>
      </c>
      <c r="AT93" s="360">
        <f t="shared" si="122"/>
        <v>4.5007484472243382</v>
      </c>
      <c r="AU93">
        <f t="shared" si="111"/>
        <v>84</v>
      </c>
      <c r="AV93" s="542">
        <f t="shared" si="123"/>
        <v>0.94914451542849643</v>
      </c>
      <c r="AW93" s="551">
        <f t="shared" si="112"/>
        <v>127.41576746763457</v>
      </c>
      <c r="AX93" s="551">
        <f t="shared" si="113"/>
        <v>34.520995783787548</v>
      </c>
      <c r="AY93" s="9"/>
      <c r="AZ93" s="4">
        <f t="shared" si="124"/>
        <v>94.914451542849648</v>
      </c>
      <c r="BA93" s="360">
        <f t="shared" si="114"/>
        <v>0.32443671230090088</v>
      </c>
      <c r="BB93" s="360">
        <f t="shared" si="125"/>
        <v>3.4789890068207847</v>
      </c>
      <c r="BC93" s="360">
        <f t="shared" si="126"/>
        <v>2.5483153493526913</v>
      </c>
      <c r="BD93" s="360">
        <f t="shared" si="127"/>
        <v>0.90844725746809341</v>
      </c>
      <c r="BE93" s="360">
        <f t="shared" si="128"/>
        <v>0.17643336679336727</v>
      </c>
      <c r="BK93" s="18"/>
      <c r="BL93" s="19"/>
    </row>
    <row r="94" spans="1:64" x14ac:dyDescent="0.2">
      <c r="G94">
        <v>85</v>
      </c>
      <c r="H94" s="548">
        <f t="shared" si="82"/>
        <v>21</v>
      </c>
      <c r="I94" s="4">
        <f t="shared" si="83"/>
        <v>1</v>
      </c>
      <c r="J94" s="360">
        <f t="shared" si="115"/>
        <v>4.25</v>
      </c>
      <c r="K94" s="4">
        <f t="shared" si="84"/>
        <v>4.4973544973544968</v>
      </c>
      <c r="L94" s="4"/>
      <c r="M94" s="360">
        <f t="shared" si="85"/>
        <v>0.95392905760874092</v>
      </c>
      <c r="N94" s="4">
        <f t="shared" si="86"/>
        <v>0.20002828975577669</v>
      </c>
      <c r="O94" s="4">
        <f t="shared" si="116"/>
        <v>4.3500141448778882</v>
      </c>
      <c r="P94" s="4">
        <f t="shared" si="117"/>
        <v>4.1499858551221118</v>
      </c>
      <c r="Q94" s="4">
        <f t="shared" si="87"/>
        <v>0</v>
      </c>
      <c r="R94" s="4">
        <f t="shared" si="88"/>
        <v>4.2503922497096527</v>
      </c>
      <c r="S94" s="360">
        <f t="shared" si="89"/>
        <v>2.4388876273129044E-2</v>
      </c>
      <c r="T94" s="360">
        <f t="shared" si="90"/>
        <v>0.3</v>
      </c>
      <c r="U94" s="360">
        <f t="shared" si="91"/>
        <v>0.32502303199418692</v>
      </c>
      <c r="V94" s="4">
        <f t="shared" si="118"/>
        <v>5.7743193468019073E-2</v>
      </c>
      <c r="W94" s="360">
        <f t="shared" si="92"/>
        <v>6.6685527837701608E-6</v>
      </c>
      <c r="X94" s="360">
        <f t="shared" si="119"/>
        <v>6.6685527837701608E-6</v>
      </c>
      <c r="Y94" s="4">
        <f t="shared" si="93"/>
        <v>0.89104697051625648</v>
      </c>
      <c r="Z94" s="360">
        <f t="shared" si="120"/>
        <v>7.9396470366619842E-4</v>
      </c>
      <c r="AA94" s="541">
        <f t="shared" si="121"/>
        <v>7.9396470366619842E-4</v>
      </c>
      <c r="AB94" s="360">
        <f t="shared" si="94"/>
        <v>4.1513280123587197</v>
      </c>
      <c r="AC94" s="360">
        <f t="shared" si="95"/>
        <v>0.10340114559716519</v>
      </c>
      <c r="AD94" s="360">
        <f t="shared" si="96"/>
        <v>0.33326998058680712</v>
      </c>
      <c r="AE94" s="360">
        <f t="shared" si="97"/>
        <v>0.63444464999999983</v>
      </c>
      <c r="AF94" s="360">
        <f t="shared" si="98"/>
        <v>0</v>
      </c>
      <c r="AG94" s="360">
        <f t="shared" si="99"/>
        <v>1.0882192906233026</v>
      </c>
      <c r="AH94" s="360">
        <f t="shared" si="100"/>
        <v>0.91231025983361835</v>
      </c>
      <c r="AI94" s="360">
        <f t="shared" si="101"/>
        <v>2.0807750254942105E-3</v>
      </c>
      <c r="AJ94" s="360">
        <f t="shared" si="102"/>
        <v>0.17492999999999997</v>
      </c>
      <c r="AK94" s="360">
        <f t="shared" si="103"/>
        <v>0.17708446961384924</v>
      </c>
      <c r="AL94" s="360">
        <f t="shared" si="104"/>
        <v>0.17492999999999997</v>
      </c>
      <c r="AM94" s="360">
        <f t="shared" si="105"/>
        <v>2.2490999999999999</v>
      </c>
      <c r="AN94" s="360">
        <f t="shared" si="106"/>
        <v>0.18065834276391882</v>
      </c>
      <c r="AO94" s="360">
        <f t="shared" si="107"/>
        <v>7.3499999999999998E-4</v>
      </c>
      <c r="AP94" s="360">
        <f t="shared" si="108"/>
        <v>0.34650000000000003</v>
      </c>
      <c r="AQ94" s="360">
        <f t="shared" si="109"/>
        <v>1.3167</v>
      </c>
      <c r="AR94" s="360">
        <f t="shared" si="110"/>
        <v>1.1088</v>
      </c>
      <c r="AS94" s="360">
        <f t="shared" si="129"/>
        <v>0.34723500000000002</v>
      </c>
      <c r="AT94" s="360">
        <f t="shared" si="122"/>
        <v>4.5430507682517076</v>
      </c>
      <c r="AU94">
        <f t="shared" si="111"/>
        <v>85</v>
      </c>
      <c r="AV94" s="542">
        <f t="shared" si="123"/>
        <v>0.94926406092629489</v>
      </c>
      <c r="AW94" s="551">
        <f t="shared" si="112"/>
        <v>128.63126453116513</v>
      </c>
      <c r="AX94" s="551">
        <f t="shared" si="113"/>
        <v>34.932923845326272</v>
      </c>
      <c r="AY94" s="9"/>
      <c r="AZ94" s="4">
        <f t="shared" si="124"/>
        <v>94.926406092629492</v>
      </c>
      <c r="BA94" s="360">
        <f t="shared" si="114"/>
        <v>0.32502303199418692</v>
      </c>
      <c r="BB94" s="360">
        <f t="shared" si="125"/>
        <v>3.5144037602371516</v>
      </c>
      <c r="BC94" s="360">
        <f t="shared" si="126"/>
        <v>2.5726252906233027</v>
      </c>
      <c r="BD94" s="360">
        <f t="shared" si="127"/>
        <v>0.91928746961384922</v>
      </c>
      <c r="BE94" s="360">
        <f t="shared" si="128"/>
        <v>0.18065834276391882</v>
      </c>
      <c r="BK94" s="18"/>
      <c r="BL94" s="19"/>
    </row>
    <row r="95" spans="1:64" x14ac:dyDescent="0.2">
      <c r="G95">
        <v>86</v>
      </c>
      <c r="H95" s="548">
        <f t="shared" si="82"/>
        <v>21</v>
      </c>
      <c r="I95" s="4">
        <f t="shared" si="83"/>
        <v>1</v>
      </c>
      <c r="J95" s="360">
        <f t="shared" si="115"/>
        <v>4.3</v>
      </c>
      <c r="K95" s="4">
        <f t="shared" si="84"/>
        <v>4.5502645502645498</v>
      </c>
      <c r="L95" s="4"/>
      <c r="M95" s="360">
        <f t="shared" si="85"/>
        <v>0.95394724640300166</v>
      </c>
      <c r="N95" s="4">
        <f t="shared" si="86"/>
        <v>0.19995622157585188</v>
      </c>
      <c r="O95" s="4">
        <f t="shared" si="116"/>
        <v>4.3999781107879254</v>
      </c>
      <c r="P95" s="4">
        <f t="shared" si="117"/>
        <v>4.2000218892120742</v>
      </c>
      <c r="Q95" s="4">
        <f t="shared" si="87"/>
        <v>0</v>
      </c>
      <c r="R95" s="4">
        <f t="shared" si="88"/>
        <v>4.3003874097820809</v>
      </c>
      <c r="S95" s="360">
        <f t="shared" si="89"/>
        <v>2.496599803018652E-2</v>
      </c>
      <c r="T95" s="360">
        <f t="shared" si="90"/>
        <v>0.3</v>
      </c>
      <c r="U95" s="360">
        <f t="shared" si="91"/>
        <v>0.32561634499240066</v>
      </c>
      <c r="V95" s="4">
        <f t="shared" si="118"/>
        <v>5.7722389176479275E-2</v>
      </c>
      <c r="W95" s="360">
        <f t="shared" si="92"/>
        <v>6.6637484244818632E-6</v>
      </c>
      <c r="X95" s="360">
        <f t="shared" si="119"/>
        <v>6.6637484244818632E-6</v>
      </c>
      <c r="Y95" s="4">
        <f t="shared" si="93"/>
        <v>0.90135850804185491</v>
      </c>
      <c r="Z95" s="360">
        <f t="shared" si="120"/>
        <v>8.1244716001943867E-4</v>
      </c>
      <c r="AA95" s="541">
        <f t="shared" si="121"/>
        <v>8.1244716001943867E-4</v>
      </c>
      <c r="AB95" s="360">
        <f t="shared" si="94"/>
        <v>4.2001979736938146</v>
      </c>
      <c r="AC95" s="360">
        <f t="shared" si="95"/>
        <v>0.10584997810932976</v>
      </c>
      <c r="AD95" s="360">
        <f t="shared" si="96"/>
        <v>0.33719080388782835</v>
      </c>
      <c r="AE95" s="360">
        <f t="shared" si="97"/>
        <v>0.63444464999999983</v>
      </c>
      <c r="AF95" s="360">
        <f t="shared" si="98"/>
        <v>0</v>
      </c>
      <c r="AG95" s="360">
        <f t="shared" si="99"/>
        <v>1.095104788313459</v>
      </c>
      <c r="AH95" s="360">
        <f t="shared" si="100"/>
        <v>0.9228590661583228</v>
      </c>
      <c r="AI95" s="360">
        <f t="shared" si="101"/>
        <v>2.129172139976529E-3</v>
      </c>
      <c r="AJ95" s="360">
        <f t="shared" si="102"/>
        <v>0.17698799999999998</v>
      </c>
      <c r="AK95" s="360">
        <f t="shared" si="103"/>
        <v>0.17919347889256121</v>
      </c>
      <c r="AL95" s="360">
        <f t="shared" si="104"/>
        <v>0.17698799999999998</v>
      </c>
      <c r="AM95" s="360">
        <f t="shared" si="105"/>
        <v>2.2755599999999996</v>
      </c>
      <c r="AN95" s="360">
        <f t="shared" si="106"/>
        <v>0.18493331874212235</v>
      </c>
      <c r="AO95" s="360">
        <f t="shared" si="107"/>
        <v>7.3499999999999998E-4</v>
      </c>
      <c r="AP95" s="360">
        <f t="shared" si="108"/>
        <v>0.34650000000000003</v>
      </c>
      <c r="AQ95" s="360">
        <f t="shared" si="109"/>
        <v>1.3167</v>
      </c>
      <c r="AR95" s="360">
        <f t="shared" si="110"/>
        <v>1.1088</v>
      </c>
      <c r="AS95" s="360">
        <f t="shared" si="129"/>
        <v>0.34723500000000002</v>
      </c>
      <c r="AT95" s="360">
        <f t="shared" si="122"/>
        <v>4.5854500418489872</v>
      </c>
      <c r="AU95">
        <f t="shared" si="111"/>
        <v>86</v>
      </c>
      <c r="AV95" s="542">
        <f t="shared" si="123"/>
        <v>0.94937983925972014</v>
      </c>
      <c r="AW95" s="551">
        <f t="shared" si="112"/>
        <v>129.84871941567295</v>
      </c>
      <c r="AX95" s="551">
        <f t="shared" si="113"/>
        <v>35.344874597917325</v>
      </c>
      <c r="AY95" s="9"/>
      <c r="AZ95" s="4">
        <f t="shared" si="124"/>
        <v>94.93798392597202</v>
      </c>
      <c r="BA95" s="360">
        <f t="shared" si="114"/>
        <v>0.32561634499240066</v>
      </c>
      <c r="BB95" s="360">
        <f t="shared" si="125"/>
        <v>3.5498582672060199</v>
      </c>
      <c r="BC95" s="360">
        <f t="shared" si="126"/>
        <v>2.5969743883134591</v>
      </c>
      <c r="BD95" s="360">
        <f t="shared" si="127"/>
        <v>0.93012827889256111</v>
      </c>
      <c r="BE95" s="360">
        <f t="shared" si="128"/>
        <v>0.18493331874212235</v>
      </c>
      <c r="BK95" s="18"/>
      <c r="BL95" s="19"/>
    </row>
    <row r="96" spans="1:64" x14ac:dyDescent="0.2">
      <c r="G96">
        <v>87</v>
      </c>
      <c r="H96" s="548">
        <f t="shared" si="82"/>
        <v>21</v>
      </c>
      <c r="I96" s="4">
        <f t="shared" si="83"/>
        <v>1</v>
      </c>
      <c r="J96" s="360">
        <f t="shared" si="115"/>
        <v>4.3499999999999996</v>
      </c>
      <c r="K96" s="4">
        <f t="shared" si="84"/>
        <v>4.6031746031746028</v>
      </c>
      <c r="L96" s="4"/>
      <c r="M96" s="360">
        <f t="shared" si="85"/>
        <v>0.95396543463503303</v>
      </c>
      <c r="N96" s="4">
        <f t="shared" si="86"/>
        <v>0.19988415038445151</v>
      </c>
      <c r="O96" s="4">
        <f t="shared" si="116"/>
        <v>4.4499420751922258</v>
      </c>
      <c r="P96" s="4">
        <f t="shared" si="117"/>
        <v>4.2500579248077734</v>
      </c>
      <c r="Q96" s="4">
        <f t="shared" si="87"/>
        <v>0</v>
      </c>
      <c r="R96" s="4">
        <f t="shared" si="88"/>
        <v>4.350382681190001</v>
      </c>
      <c r="S96" s="360">
        <f t="shared" si="89"/>
        <v>2.5549869788277169E-2</v>
      </c>
      <c r="T96" s="360">
        <f t="shared" si="90"/>
        <v>0.3</v>
      </c>
      <c r="U96" s="360">
        <f t="shared" si="91"/>
        <v>0.32621665322929927</v>
      </c>
      <c r="V96" s="4">
        <f t="shared" si="118"/>
        <v>5.7701584015601361E-2</v>
      </c>
      <c r="W96" s="360">
        <f t="shared" si="92"/>
        <v>6.6589455958190048E-6</v>
      </c>
      <c r="X96" s="360">
        <f t="shared" si="119"/>
        <v>6.6589455958190048E-6</v>
      </c>
      <c r="Y96" s="4">
        <f t="shared" si="93"/>
        <v>0.91166609664981291</v>
      </c>
      <c r="Z96" s="360">
        <f t="shared" si="120"/>
        <v>8.3113507178070604E-4</v>
      </c>
      <c r="AA96" s="541">
        <f t="shared" si="121"/>
        <v>8.3113507178070604E-4</v>
      </c>
      <c r="AB96" s="360">
        <f t="shared" si="94"/>
        <v>4.2490689731806155</v>
      </c>
      <c r="AC96" s="360">
        <f t="shared" si="95"/>
        <v>0.10832752283307702</v>
      </c>
      <c r="AD96" s="360">
        <f t="shared" si="96"/>
        <v>0.34111162718884963</v>
      </c>
      <c r="AE96" s="360">
        <f t="shared" si="97"/>
        <v>0.63444464999999983</v>
      </c>
      <c r="AF96" s="360">
        <f t="shared" si="98"/>
        <v>0</v>
      </c>
      <c r="AG96" s="360">
        <f t="shared" si="99"/>
        <v>1.1020295804722087</v>
      </c>
      <c r="AH96" s="360">
        <f t="shared" si="100"/>
        <v>0.9334036286364723</v>
      </c>
      <c r="AI96" s="360">
        <f t="shared" si="101"/>
        <v>2.1781058348793337E-3</v>
      </c>
      <c r="AJ96" s="360">
        <f t="shared" si="102"/>
        <v>0.17904599999999996</v>
      </c>
      <c r="AK96" s="360">
        <f t="shared" si="103"/>
        <v>0.18130308529647246</v>
      </c>
      <c r="AL96" s="360">
        <f t="shared" si="104"/>
        <v>0.17904599999999996</v>
      </c>
      <c r="AM96" s="360">
        <f t="shared" si="105"/>
        <v>2.3020199999999997</v>
      </c>
      <c r="AN96" s="360">
        <f t="shared" si="106"/>
        <v>0.189258294727979</v>
      </c>
      <c r="AO96" s="360">
        <f t="shared" si="107"/>
        <v>7.3499999999999998E-4</v>
      </c>
      <c r="AP96" s="360">
        <f t="shared" si="108"/>
        <v>0.34650000000000003</v>
      </c>
      <c r="AQ96" s="360">
        <f t="shared" si="109"/>
        <v>1.3167</v>
      </c>
      <c r="AR96" s="360">
        <f t="shared" si="110"/>
        <v>1.1088</v>
      </c>
      <c r="AS96" s="360">
        <f t="shared" si="129"/>
        <v>0.34723500000000002</v>
      </c>
      <c r="AT96" s="360">
        <f t="shared" si="122"/>
        <v>4.6279464077433357</v>
      </c>
      <c r="AU96">
        <f t="shared" si="111"/>
        <v>87</v>
      </c>
      <c r="AV96" s="542">
        <f t="shared" si="123"/>
        <v>0.94949197718402389</v>
      </c>
      <c r="AW96" s="551">
        <f t="shared" si="112"/>
        <v>131.06813902361043</v>
      </c>
      <c r="AX96" s="551">
        <f t="shared" si="113"/>
        <v>35.756848041265954</v>
      </c>
      <c r="AY96" s="9"/>
      <c r="AZ96" s="4">
        <f t="shared" si="124"/>
        <v>94.949197718402388</v>
      </c>
      <c r="BA96" s="360">
        <f t="shared" si="114"/>
        <v>0.32621665322929927</v>
      </c>
      <c r="BB96" s="360">
        <f t="shared" si="125"/>
        <v>3.5853526657686809</v>
      </c>
      <c r="BC96" s="360">
        <f t="shared" si="126"/>
        <v>2.6213627804722086</v>
      </c>
      <c r="BD96" s="360">
        <f t="shared" si="127"/>
        <v>0.9409696852964724</v>
      </c>
      <c r="BE96" s="360">
        <f t="shared" si="128"/>
        <v>0.189258294727979</v>
      </c>
      <c r="BK96" s="18"/>
      <c r="BL96" s="19"/>
    </row>
    <row r="97" spans="7:64" x14ac:dyDescent="0.2">
      <c r="G97">
        <v>88</v>
      </c>
      <c r="H97" s="548">
        <f t="shared" si="82"/>
        <v>21</v>
      </c>
      <c r="I97" s="4">
        <f t="shared" si="83"/>
        <v>1</v>
      </c>
      <c r="J97" s="360">
        <f t="shared" si="115"/>
        <v>4.4000000000000004</v>
      </c>
      <c r="K97" s="4">
        <f t="shared" si="84"/>
        <v>4.6560846560846558</v>
      </c>
      <c r="L97" s="4"/>
      <c r="M97" s="360">
        <f t="shared" si="85"/>
        <v>0.95398362230486089</v>
      </c>
      <c r="N97" s="4">
        <f t="shared" si="86"/>
        <v>0.19981207618171434</v>
      </c>
      <c r="O97" s="4">
        <f t="shared" si="116"/>
        <v>4.4999060380908578</v>
      </c>
      <c r="P97" s="4">
        <f t="shared" si="117"/>
        <v>4.3000939619091429</v>
      </c>
      <c r="Q97" s="4">
        <f t="shared" si="87"/>
        <v>0</v>
      </c>
      <c r="R97" s="4">
        <f t="shared" si="88"/>
        <v>4.4003780601385838</v>
      </c>
      <c r="S97" s="360">
        <f t="shared" si="89"/>
        <v>2.6140491547401157E-2</v>
      </c>
      <c r="T97" s="360">
        <f t="shared" si="90"/>
        <v>0.3</v>
      </c>
      <c r="U97" s="360">
        <f t="shared" si="91"/>
        <v>0.32682395866171193</v>
      </c>
      <c r="V97" s="4">
        <f t="shared" si="118"/>
        <v>5.7680777985425397E-2</v>
      </c>
      <c r="W97" s="360">
        <f t="shared" si="92"/>
        <v>6.6541442980078697E-6</v>
      </c>
      <c r="X97" s="360">
        <f t="shared" si="119"/>
        <v>6.6541442980078697E-6</v>
      </c>
      <c r="Y97" s="4">
        <f t="shared" si="93"/>
        <v>0.9219697343484895</v>
      </c>
      <c r="Z97" s="360">
        <f t="shared" si="120"/>
        <v>8.5002819105462434E-4</v>
      </c>
      <c r="AA97" s="541">
        <f t="shared" si="121"/>
        <v>8.5002819105462434E-4</v>
      </c>
      <c r="AB97" s="360">
        <f t="shared" si="94"/>
        <v>4.2979410070593671</v>
      </c>
      <c r="AC97" s="360">
        <f t="shared" si="95"/>
        <v>0.11083378140097493</v>
      </c>
      <c r="AD97" s="360">
        <f t="shared" si="96"/>
        <v>0.34503245048987091</v>
      </c>
      <c r="AE97" s="360">
        <f t="shared" si="97"/>
        <v>0.63444464999999983</v>
      </c>
      <c r="AF97" s="360">
        <f t="shared" si="98"/>
        <v>0</v>
      </c>
      <c r="AG97" s="360">
        <f t="shared" si="99"/>
        <v>1.1089938064123164</v>
      </c>
      <c r="AH97" s="360">
        <f t="shared" si="100"/>
        <v>0.94394394536249915</v>
      </c>
      <c r="AI97" s="360">
        <f t="shared" si="101"/>
        <v>2.227575429966302E-3</v>
      </c>
      <c r="AJ97" s="360">
        <f t="shared" si="102"/>
        <v>0.18110399999999999</v>
      </c>
      <c r="AK97" s="360">
        <f t="shared" si="103"/>
        <v>0.18341328881710595</v>
      </c>
      <c r="AL97" s="360">
        <f t="shared" si="104"/>
        <v>0.18110399999999999</v>
      </c>
      <c r="AM97" s="360">
        <f t="shared" si="105"/>
        <v>2.3284799999999999</v>
      </c>
      <c r="AN97" s="360">
        <f t="shared" si="106"/>
        <v>0.19363327072149006</v>
      </c>
      <c r="AO97" s="360">
        <f t="shared" si="107"/>
        <v>7.3499999999999998E-4</v>
      </c>
      <c r="AP97" s="360">
        <f t="shared" si="108"/>
        <v>0.34650000000000003</v>
      </c>
      <c r="AQ97" s="360">
        <f t="shared" si="109"/>
        <v>1.3167</v>
      </c>
      <c r="AR97" s="360">
        <f t="shared" si="110"/>
        <v>1.1088</v>
      </c>
      <c r="AS97" s="360">
        <f t="shared" si="129"/>
        <v>0.34723500000000002</v>
      </c>
      <c r="AT97" s="360">
        <f t="shared" si="122"/>
        <v>4.6705400069479763</v>
      </c>
      <c r="AU97">
        <f t="shared" si="111"/>
        <v>88</v>
      </c>
      <c r="AV97" s="542">
        <f t="shared" si="123"/>
        <v>0.94960059576001388</v>
      </c>
      <c r="AW97" s="551">
        <f t="shared" si="112"/>
        <v>132.28953032061582</v>
      </c>
      <c r="AX97" s="551">
        <f t="shared" si="113"/>
        <v>36.168844175050026</v>
      </c>
      <c r="AY97" s="9"/>
      <c r="AZ97" s="4">
        <f t="shared" si="124"/>
        <v>94.960059576001385</v>
      </c>
      <c r="BA97" s="360">
        <f t="shared" si="114"/>
        <v>0.32682395866171193</v>
      </c>
      <c r="BB97" s="360">
        <f t="shared" si="125"/>
        <v>3.6208870952294223</v>
      </c>
      <c r="BC97" s="360">
        <f t="shared" si="126"/>
        <v>2.6457906064123167</v>
      </c>
      <c r="BD97" s="360">
        <f t="shared" si="127"/>
        <v>0.95181168881710598</v>
      </c>
      <c r="BE97" s="360">
        <f t="shared" si="128"/>
        <v>0.19363327072149006</v>
      </c>
      <c r="BK97" s="18"/>
      <c r="BL97" s="19"/>
    </row>
    <row r="98" spans="7:64" x14ac:dyDescent="0.2">
      <c r="G98">
        <v>89</v>
      </c>
      <c r="H98" s="548">
        <f t="shared" si="82"/>
        <v>21</v>
      </c>
      <c r="I98" s="4">
        <f t="shared" si="83"/>
        <v>1</v>
      </c>
      <c r="J98" s="360">
        <f t="shared" si="115"/>
        <v>4.45</v>
      </c>
      <c r="K98" s="4">
        <f t="shared" si="84"/>
        <v>4.7089947089947088</v>
      </c>
      <c r="L98" s="4"/>
      <c r="M98" s="360">
        <f t="shared" si="85"/>
        <v>0.95400180941251167</v>
      </c>
      <c r="N98" s="4">
        <f t="shared" si="86"/>
        <v>0.19973999896778163</v>
      </c>
      <c r="O98" s="4">
        <f t="shared" si="116"/>
        <v>4.5498699994838914</v>
      </c>
      <c r="P98" s="4">
        <f t="shared" si="117"/>
        <v>4.350130000516109</v>
      </c>
      <c r="Q98" s="4">
        <f t="shared" si="87"/>
        <v>0</v>
      </c>
      <c r="R98" s="4">
        <f t="shared" si="88"/>
        <v>4.4503735430035132</v>
      </c>
      <c r="S98" s="360">
        <f t="shared" si="89"/>
        <v>2.6737863307558622E-2</v>
      </c>
      <c r="T98" s="360">
        <f t="shared" si="90"/>
        <v>0.3</v>
      </c>
      <c r="U98" s="360">
        <f t="shared" si="91"/>
        <v>0.32743826326955588</v>
      </c>
      <c r="V98" s="4">
        <f t="shared" si="118"/>
        <v>5.7659971085992155E-2</v>
      </c>
      <c r="W98" s="360">
        <f t="shared" si="92"/>
        <v>6.6493445312749027E-6</v>
      </c>
      <c r="X98" s="360">
        <f t="shared" si="119"/>
        <v>6.6493445312749027E-6</v>
      </c>
      <c r="Y98" s="4">
        <f t="shared" si="93"/>
        <v>0.9322694191816745</v>
      </c>
      <c r="Z98" s="360">
        <f t="shared" si="120"/>
        <v>8.6912626994133666E-4</v>
      </c>
      <c r="AA98" s="541">
        <f t="shared" si="121"/>
        <v>8.6912626994133666E-4</v>
      </c>
      <c r="AB98" s="360">
        <f t="shared" si="94"/>
        <v>4.3468140717367225</v>
      </c>
      <c r="AC98" s="360">
        <f t="shared" si="95"/>
        <v>0.11336875544549031</v>
      </c>
      <c r="AD98" s="360">
        <f t="shared" si="96"/>
        <v>0.34895327379089214</v>
      </c>
      <c r="AE98" s="360">
        <f t="shared" si="97"/>
        <v>0.63444464999999983</v>
      </c>
      <c r="AF98" s="360">
        <f t="shared" si="98"/>
        <v>0</v>
      </c>
      <c r="AG98" s="360">
        <f t="shared" si="99"/>
        <v>1.1159976067189714</v>
      </c>
      <c r="AH98" s="360">
        <f t="shared" si="100"/>
        <v>0.95448001446717234</v>
      </c>
      <c r="AI98" s="360">
        <f t="shared" si="101"/>
        <v>2.2775802450431338E-3</v>
      </c>
      <c r="AJ98" s="360">
        <f t="shared" si="102"/>
        <v>0.18316199999999999</v>
      </c>
      <c r="AK98" s="360">
        <f t="shared" si="103"/>
        <v>0.18552408944526314</v>
      </c>
      <c r="AL98" s="360">
        <f t="shared" si="104"/>
        <v>0.18316199999999999</v>
      </c>
      <c r="AM98" s="360">
        <f t="shared" si="105"/>
        <v>2.35494</v>
      </c>
      <c r="AN98" s="360">
        <f t="shared" si="106"/>
        <v>0.19805824672265643</v>
      </c>
      <c r="AO98" s="360">
        <f t="shared" si="107"/>
        <v>7.3499999999999998E-4</v>
      </c>
      <c r="AP98" s="360">
        <f t="shared" si="108"/>
        <v>0.34650000000000003</v>
      </c>
      <c r="AQ98" s="360">
        <f t="shared" si="109"/>
        <v>1.3167</v>
      </c>
      <c r="AR98" s="360">
        <f t="shared" si="110"/>
        <v>1.1088</v>
      </c>
      <c r="AS98" s="360">
        <f t="shared" si="129"/>
        <v>0.34723500000000002</v>
      </c>
      <c r="AT98" s="360">
        <f t="shared" si="122"/>
        <v>4.7132309817709199</v>
      </c>
      <c r="AU98">
        <f t="shared" si="111"/>
        <v>89</v>
      </c>
      <c r="AV98" s="542">
        <f t="shared" si="123"/>
        <v>0.94970581066949089</v>
      </c>
      <c r="AW98" s="551">
        <f t="shared" si="112"/>
        <v>133.51290033594859</v>
      </c>
      <c r="AX98" s="551">
        <f t="shared" si="113"/>
        <v>36.580862998919997</v>
      </c>
      <c r="AY98" s="9"/>
      <c r="AZ98" s="4">
        <f t="shared" si="124"/>
        <v>94.970581066949094</v>
      </c>
      <c r="BA98" s="360">
        <f t="shared" si="114"/>
        <v>0.32743826326955588</v>
      </c>
      <c r="BB98" s="360">
        <f t="shared" si="125"/>
        <v>3.6564616961642349</v>
      </c>
      <c r="BC98" s="360">
        <f t="shared" si="126"/>
        <v>2.6702580067189716</v>
      </c>
      <c r="BD98" s="360">
        <f t="shared" si="127"/>
        <v>0.9626542894452631</v>
      </c>
      <c r="BE98" s="360">
        <f t="shared" si="128"/>
        <v>0.19805824672265643</v>
      </c>
      <c r="BK98" s="18"/>
      <c r="BL98" s="19"/>
    </row>
    <row r="99" spans="7:64" x14ac:dyDescent="0.2">
      <c r="G99">
        <v>90</v>
      </c>
      <c r="H99" s="548">
        <f t="shared" si="82"/>
        <v>21</v>
      </c>
      <c r="I99" s="4">
        <f t="shared" si="83"/>
        <v>1</v>
      </c>
      <c r="J99" s="360">
        <f t="shared" si="115"/>
        <v>4.5</v>
      </c>
      <c r="K99" s="4">
        <f t="shared" si="84"/>
        <v>4.761904761904761</v>
      </c>
      <c r="L99" s="4"/>
      <c r="M99" s="360">
        <f t="shared" si="85"/>
        <v>0.9540199959580109</v>
      </c>
      <c r="N99" s="4">
        <f t="shared" si="86"/>
        <v>0.19966791874279208</v>
      </c>
      <c r="O99" s="4">
        <f t="shared" si="116"/>
        <v>4.5998339593713959</v>
      </c>
      <c r="P99" s="4">
        <f t="shared" si="117"/>
        <v>4.4001660406286041</v>
      </c>
      <c r="Q99" s="4">
        <f t="shared" si="87"/>
        <v>0</v>
      </c>
      <c r="R99" s="4">
        <f t="shared" si="88"/>
        <v>4.5003691263215204</v>
      </c>
      <c r="S99" s="360">
        <f t="shared" si="89"/>
        <v>2.7341985068749703E-2</v>
      </c>
      <c r="T99" s="360">
        <f t="shared" si="90"/>
        <v>0.3</v>
      </c>
      <c r="U99" s="360">
        <f t="shared" si="91"/>
        <v>0.32805956905585254</v>
      </c>
      <c r="V99" s="4">
        <f t="shared" si="118"/>
        <v>5.7639163317341667E-2</v>
      </c>
      <c r="W99" s="360">
        <f t="shared" si="92"/>
        <v>6.6445462958463701E-6</v>
      </c>
      <c r="X99" s="360">
        <f t="shared" si="119"/>
        <v>6.6445462958463701E-6</v>
      </c>
      <c r="Y99" s="4">
        <f t="shared" si="93"/>
        <v>0.94256514922658541</v>
      </c>
      <c r="Z99" s="360">
        <f t="shared" si="120"/>
        <v>8.8842906053653524E-4</v>
      </c>
      <c r="AA99" s="541">
        <f t="shared" si="121"/>
        <v>8.8842906053653524E-4</v>
      </c>
      <c r="AB99" s="360">
        <f t="shared" si="94"/>
        <v>4.395688163776506</v>
      </c>
      <c r="AC99" s="360">
        <f t="shared" si="95"/>
        <v>0.11593244659898923</v>
      </c>
      <c r="AD99" s="360">
        <f t="shared" si="96"/>
        <v>0.35287409709191342</v>
      </c>
      <c r="AE99" s="360">
        <f t="shared" si="97"/>
        <v>0.63444464999999983</v>
      </c>
      <c r="AF99" s="360">
        <f t="shared" si="98"/>
        <v>0</v>
      </c>
      <c r="AG99" s="360">
        <f t="shared" si="99"/>
        <v>1.1230411232586006</v>
      </c>
      <c r="AH99" s="360">
        <f t="shared" si="100"/>
        <v>0.96501183411554559</v>
      </c>
      <c r="AI99" s="360">
        <f t="shared" si="101"/>
        <v>2.3281195999576231E-3</v>
      </c>
      <c r="AJ99" s="360">
        <f t="shared" si="102"/>
        <v>0.18521999999999997</v>
      </c>
      <c r="AK99" s="360">
        <f t="shared" si="103"/>
        <v>0.18763548717102368</v>
      </c>
      <c r="AL99" s="360">
        <f t="shared" si="104"/>
        <v>0.18521999999999997</v>
      </c>
      <c r="AM99" s="360">
        <f t="shared" si="105"/>
        <v>2.3813999999999997</v>
      </c>
      <c r="AN99" s="360">
        <f t="shared" si="106"/>
        <v>0.20253322273147928</v>
      </c>
      <c r="AO99" s="360">
        <f t="shared" si="107"/>
        <v>7.3499999999999998E-4</v>
      </c>
      <c r="AP99" s="360">
        <f t="shared" si="108"/>
        <v>0.34650000000000003</v>
      </c>
      <c r="AQ99" s="360">
        <f t="shared" si="109"/>
        <v>1.3167</v>
      </c>
      <c r="AR99" s="360">
        <f t="shared" si="110"/>
        <v>1.1088</v>
      </c>
      <c r="AS99" s="360">
        <f t="shared" si="129"/>
        <v>0.34723500000000002</v>
      </c>
      <c r="AT99" s="360">
        <f t="shared" si="122"/>
        <v>4.7560194758237886</v>
      </c>
      <c r="AU99">
        <f t="shared" si="111"/>
        <v>90</v>
      </c>
      <c r="AV99" s="542">
        <f t="shared" si="123"/>
        <v>0.94980773250994099</v>
      </c>
      <c r="AW99" s="551">
        <f t="shared" si="112"/>
        <v>134.73825616293001</v>
      </c>
      <c r="AX99" s="551">
        <f t="shared" si="113"/>
        <v>36.992904512498896</v>
      </c>
      <c r="AY99" s="9"/>
      <c r="AZ99" s="4">
        <f t="shared" si="124"/>
        <v>94.980773250994105</v>
      </c>
      <c r="BA99" s="360">
        <f t="shared" si="114"/>
        <v>0.32805956905585254</v>
      </c>
      <c r="BB99" s="360">
        <f t="shared" si="125"/>
        <v>3.6920766104296243</v>
      </c>
      <c r="BC99" s="360">
        <f t="shared" si="126"/>
        <v>2.6947651232586005</v>
      </c>
      <c r="BD99" s="360">
        <f t="shared" si="127"/>
        <v>0.97349748717102358</v>
      </c>
      <c r="BE99" s="360">
        <f t="shared" si="128"/>
        <v>0.20253322273147928</v>
      </c>
      <c r="BK99" s="18"/>
      <c r="BL99" s="19"/>
    </row>
    <row r="100" spans="7:64" x14ac:dyDescent="0.2">
      <c r="G100">
        <v>91</v>
      </c>
      <c r="H100" s="548">
        <f t="shared" si="82"/>
        <v>21</v>
      </c>
      <c r="I100" s="4">
        <f t="shared" si="83"/>
        <v>1</v>
      </c>
      <c r="J100" s="360">
        <f t="shared" si="115"/>
        <v>4.55</v>
      </c>
      <c r="K100" s="4">
        <f t="shared" si="84"/>
        <v>4.814814814814814</v>
      </c>
      <c r="L100" s="4"/>
      <c r="M100" s="360">
        <f t="shared" si="85"/>
        <v>0.9540381819413849</v>
      </c>
      <c r="N100" s="4">
        <f t="shared" si="86"/>
        <v>0.19959583550688539</v>
      </c>
      <c r="O100" s="4">
        <f t="shared" si="116"/>
        <v>4.6497979177534425</v>
      </c>
      <c r="P100" s="4">
        <f t="shared" si="117"/>
        <v>4.4502020822465571</v>
      </c>
      <c r="Q100" s="4">
        <f t="shared" si="87"/>
        <v>0</v>
      </c>
      <c r="R100" s="4">
        <f t="shared" si="88"/>
        <v>4.5503648067815368</v>
      </c>
      <c r="S100" s="360">
        <f t="shared" si="89"/>
        <v>2.7952856830974562E-2</v>
      </c>
      <c r="T100" s="360">
        <f t="shared" si="90"/>
        <v>0.3</v>
      </c>
      <c r="U100" s="360">
        <f t="shared" si="91"/>
        <v>0.32868787804674393</v>
      </c>
      <c r="V100" s="4">
        <f t="shared" si="118"/>
        <v>5.7618354679514275E-2</v>
      </c>
      <c r="W100" s="360">
        <f t="shared" si="92"/>
        <v>6.6397495919486093E-6</v>
      </c>
      <c r="X100" s="360">
        <f t="shared" si="119"/>
        <v>6.6397495919486093E-6</v>
      </c>
      <c r="Y100" s="4">
        <f t="shared" si="93"/>
        <v>0.95285692259196664</v>
      </c>
      <c r="Z100" s="360">
        <f t="shared" si="120"/>
        <v>9.0793631493143317E-4</v>
      </c>
      <c r="AA100" s="541">
        <f t="shared" si="121"/>
        <v>9.0793631493143317E-4</v>
      </c>
      <c r="AB100" s="360">
        <f t="shared" si="94"/>
        <v>4.4445632798910788</v>
      </c>
      <c r="AC100" s="360">
        <f t="shared" si="95"/>
        <v>0.11852485649373687</v>
      </c>
      <c r="AD100" s="360">
        <f t="shared" si="96"/>
        <v>0.3567949203929347</v>
      </c>
      <c r="AE100" s="360">
        <f t="shared" si="97"/>
        <v>0.63444464999999983</v>
      </c>
      <c r="AF100" s="360">
        <f t="shared" si="98"/>
        <v>0</v>
      </c>
      <c r="AG100" s="360">
        <f t="shared" si="99"/>
        <v>1.1301244991877872</v>
      </c>
      <c r="AH100" s="360">
        <f t="shared" si="100"/>
        <v>0.97553940250500848</v>
      </c>
      <c r="AI100" s="360">
        <f t="shared" si="101"/>
        <v>2.3791928145995727E-3</v>
      </c>
      <c r="AJ100" s="360">
        <f t="shared" si="102"/>
        <v>0.18727799999999997</v>
      </c>
      <c r="AK100" s="360">
        <f t="shared" si="103"/>
        <v>0.18974748198374436</v>
      </c>
      <c r="AL100" s="360">
        <f t="shared" si="104"/>
        <v>0.18727799999999997</v>
      </c>
      <c r="AM100" s="360">
        <f t="shared" si="105"/>
        <v>2.4078599999999994</v>
      </c>
      <c r="AN100" s="360">
        <f t="shared" si="106"/>
        <v>0.20705819874795972</v>
      </c>
      <c r="AO100" s="360">
        <f t="shared" si="107"/>
        <v>7.3499999999999998E-4</v>
      </c>
      <c r="AP100" s="360">
        <f t="shared" si="108"/>
        <v>0.34650000000000003</v>
      </c>
      <c r="AQ100" s="360">
        <f t="shared" si="109"/>
        <v>1.3167</v>
      </c>
      <c r="AR100" s="360">
        <f t="shared" si="110"/>
        <v>1.1088</v>
      </c>
      <c r="AS100" s="360">
        <f t="shared" si="129"/>
        <v>0.34723500000000002</v>
      </c>
      <c r="AT100" s="360">
        <f t="shared" si="122"/>
        <v>4.7989056340307581</v>
      </c>
      <c r="AU100">
        <f t="shared" si="111"/>
        <v>91</v>
      </c>
      <c r="AV100" s="542">
        <f t="shared" si="123"/>
        <v>0.94990646707005766</v>
      </c>
      <c r="AW100" s="551">
        <f t="shared" si="112"/>
        <v>135.96560495938937</v>
      </c>
      <c r="AX100" s="551">
        <f t="shared" si="113"/>
        <v>37.404968715382282</v>
      </c>
      <c r="AY100" s="9"/>
      <c r="AZ100" s="4">
        <f t="shared" si="124"/>
        <v>94.990646707005766</v>
      </c>
      <c r="BA100" s="360">
        <f t="shared" si="114"/>
        <v>0.32868787804674393</v>
      </c>
      <c r="BB100" s="360">
        <f t="shared" si="125"/>
        <v>3.727731981171531</v>
      </c>
      <c r="BC100" s="360">
        <f t="shared" si="126"/>
        <v>2.7193120991877873</v>
      </c>
      <c r="BD100" s="360">
        <f t="shared" si="127"/>
        <v>0.98434128198374427</v>
      </c>
      <c r="BE100" s="360">
        <f t="shared" si="128"/>
        <v>0.20705819874795972</v>
      </c>
      <c r="BK100" s="18"/>
      <c r="BL100" s="19"/>
    </row>
    <row r="101" spans="7:64" x14ac:dyDescent="0.2">
      <c r="G101">
        <v>92</v>
      </c>
      <c r="H101" s="548">
        <f t="shared" si="82"/>
        <v>21</v>
      </c>
      <c r="I101" s="4">
        <f t="shared" si="83"/>
        <v>1</v>
      </c>
      <c r="J101" s="360">
        <f t="shared" si="115"/>
        <v>4.5999999999999996</v>
      </c>
      <c r="K101" s="4">
        <f t="shared" si="84"/>
        <v>4.867724867724867</v>
      </c>
      <c r="L101" s="4"/>
      <c r="M101" s="360">
        <f t="shared" si="85"/>
        <v>0.95405636736265975</v>
      </c>
      <c r="N101" s="4">
        <f t="shared" si="86"/>
        <v>0.19952374926020111</v>
      </c>
      <c r="O101" s="4">
        <f t="shared" si="116"/>
        <v>4.6997618746301004</v>
      </c>
      <c r="P101" s="4">
        <f t="shared" si="117"/>
        <v>4.5002381253698989</v>
      </c>
      <c r="Q101" s="4">
        <f t="shared" si="87"/>
        <v>0</v>
      </c>
      <c r="R101" s="4">
        <f t="shared" si="88"/>
        <v>4.6003605812164228</v>
      </c>
      <c r="S101" s="360">
        <f t="shared" si="89"/>
        <v>2.8570478594233374E-2</v>
      </c>
      <c r="T101" s="360">
        <f t="shared" si="90"/>
        <v>0.3</v>
      </c>
      <c r="U101" s="360">
        <f t="shared" si="91"/>
        <v>0.3293231922915093</v>
      </c>
      <c r="V101" s="4">
        <f t="shared" si="118"/>
        <v>5.7597545172550259E-2</v>
      </c>
      <c r="W101" s="360">
        <f t="shared" si="92"/>
        <v>6.6349544198079355E-6</v>
      </c>
      <c r="X101" s="360">
        <f t="shared" si="119"/>
        <v>6.6349544198079355E-6</v>
      </c>
      <c r="Y101" s="4">
        <f t="shared" si="93"/>
        <v>0.96314473741633611</v>
      </c>
      <c r="Z101" s="360">
        <f t="shared" si="120"/>
        <v>9.2764778521278301E-4</v>
      </c>
      <c r="AA101" s="541">
        <f t="shared" si="121"/>
        <v>9.2764778521278301E-4</v>
      </c>
      <c r="AB101" s="360">
        <f t="shared" si="94"/>
        <v>4.4934394169332661</v>
      </c>
      <c r="AC101" s="360">
        <f t="shared" si="95"/>
        <v>0.12114598676189743</v>
      </c>
      <c r="AD101" s="360">
        <f t="shared" si="96"/>
        <v>0.36071574369395593</v>
      </c>
      <c r="AE101" s="360">
        <f t="shared" si="97"/>
        <v>0.63444464999999983</v>
      </c>
      <c r="AF101" s="360">
        <f t="shared" si="98"/>
        <v>0</v>
      </c>
      <c r="AG101" s="360">
        <f t="shared" si="99"/>
        <v>1.1372478789622968</v>
      </c>
      <c r="AH101" s="360">
        <f t="shared" si="100"/>
        <v>0.98606271786349076</v>
      </c>
      <c r="AI101" s="360">
        <f t="shared" si="101"/>
        <v>2.4307992089008354E-3</v>
      </c>
      <c r="AJ101" s="360">
        <f t="shared" si="102"/>
        <v>0.18933599999999998</v>
      </c>
      <c r="AK101" s="360">
        <f t="shared" si="103"/>
        <v>0.19186007387205836</v>
      </c>
      <c r="AL101" s="360">
        <f t="shared" si="104"/>
        <v>0.18933599999999998</v>
      </c>
      <c r="AM101" s="360">
        <f t="shared" si="105"/>
        <v>2.4343199999999992</v>
      </c>
      <c r="AN101" s="360">
        <f t="shared" si="106"/>
        <v>0.21163317477209906</v>
      </c>
      <c r="AO101" s="360">
        <f t="shared" si="107"/>
        <v>7.3499999999999998E-4</v>
      </c>
      <c r="AP101" s="360">
        <f t="shared" si="108"/>
        <v>0.34650000000000003</v>
      </c>
      <c r="AQ101" s="360">
        <f t="shared" si="109"/>
        <v>1.3167</v>
      </c>
      <c r="AR101" s="360">
        <f t="shared" si="110"/>
        <v>1.1088</v>
      </c>
      <c r="AS101" s="360">
        <f t="shared" si="129"/>
        <v>0.34723500000000002</v>
      </c>
      <c r="AT101" s="360">
        <f t="shared" si="122"/>
        <v>4.841889602637595</v>
      </c>
      <c r="AU101">
        <f t="shared" si="111"/>
        <v>92</v>
      </c>
      <c r="AV101" s="542">
        <f t="shared" si="123"/>
        <v>0.95000211558753267</v>
      </c>
      <c r="AW101" s="551">
        <f t="shared" si="112"/>
        <v>137.1949539481148</v>
      </c>
      <c r="AX101" s="551">
        <f t="shared" si="113"/>
        <v>37.817055607138208</v>
      </c>
      <c r="AY101" s="9"/>
      <c r="AZ101" s="4">
        <f t="shared" si="124"/>
        <v>95.000211558753264</v>
      </c>
      <c r="BA101" s="360">
        <f t="shared" si="114"/>
        <v>0.3293231922915093</v>
      </c>
      <c r="BB101" s="360">
        <f t="shared" si="125"/>
        <v>3.7634279528343546</v>
      </c>
      <c r="BC101" s="360">
        <f t="shared" si="126"/>
        <v>2.7438990789622961</v>
      </c>
      <c r="BD101" s="360">
        <f t="shared" si="127"/>
        <v>0.99518567387205814</v>
      </c>
      <c r="BE101" s="360">
        <f t="shared" si="128"/>
        <v>0.21163317477209906</v>
      </c>
      <c r="BK101" s="18"/>
      <c r="BL101" s="19"/>
    </row>
    <row r="102" spans="7:64" x14ac:dyDescent="0.2">
      <c r="G102">
        <v>93</v>
      </c>
      <c r="H102" s="548">
        <f t="shared" si="82"/>
        <v>21</v>
      </c>
      <c r="I102" s="4">
        <f t="shared" si="83"/>
        <v>1</v>
      </c>
      <c r="J102" s="360">
        <f t="shared" si="115"/>
        <v>4.6500000000000004</v>
      </c>
      <c r="K102" s="4">
        <f t="shared" si="84"/>
        <v>4.92063492063492</v>
      </c>
      <c r="L102" s="4"/>
      <c r="M102" s="360">
        <f t="shared" si="85"/>
        <v>0.95407455222186155</v>
      </c>
      <c r="N102" s="4">
        <f t="shared" si="86"/>
        <v>0.19945166000287887</v>
      </c>
      <c r="O102" s="4">
        <f t="shared" si="116"/>
        <v>4.7497258300014398</v>
      </c>
      <c r="P102" s="4">
        <f t="shared" si="117"/>
        <v>4.5502741699985609</v>
      </c>
      <c r="Q102" s="4">
        <f t="shared" si="87"/>
        <v>0</v>
      </c>
      <c r="R102" s="4">
        <f t="shared" si="88"/>
        <v>4.6503564465952314</v>
      </c>
      <c r="S102" s="360">
        <f t="shared" si="89"/>
        <v>2.9194850358526269E-2</v>
      </c>
      <c r="T102" s="360">
        <f t="shared" si="90"/>
        <v>0.3</v>
      </c>
      <c r="U102" s="360">
        <f t="shared" si="91"/>
        <v>0.32996551386258161</v>
      </c>
      <c r="V102" s="4">
        <f t="shared" si="118"/>
        <v>5.757673479648992E-2</v>
      </c>
      <c r="W102" s="360">
        <f t="shared" si="92"/>
        <v>6.6301607796506668E-6</v>
      </c>
      <c r="X102" s="360">
        <f t="shared" si="119"/>
        <v>6.6301607796506668E-6</v>
      </c>
      <c r="Y102" s="4">
        <f t="shared" si="93"/>
        <v>0.97342859186633546</v>
      </c>
      <c r="Z102" s="360">
        <f t="shared" si="120"/>
        <v>9.4756322346287668E-4</v>
      </c>
      <c r="AA102" s="541">
        <f t="shared" si="121"/>
        <v>9.4756322346287668E-4</v>
      </c>
      <c r="AB102" s="360">
        <f t="shared" si="94"/>
        <v>4.5423165718888088</v>
      </c>
      <c r="AC102" s="360">
        <f t="shared" si="95"/>
        <v>0.12379583903553419</v>
      </c>
      <c r="AD102" s="360">
        <f t="shared" si="96"/>
        <v>0.36463656699497721</v>
      </c>
      <c r="AE102" s="360">
        <f t="shared" si="97"/>
        <v>0.63444464999999983</v>
      </c>
      <c r="AF102" s="360">
        <f t="shared" si="98"/>
        <v>0</v>
      </c>
      <c r="AG102" s="360">
        <f t="shared" si="99"/>
        <v>1.144411408346216</v>
      </c>
      <c r="AH102" s="360">
        <f t="shared" si="100"/>
        <v>0.99658177844777096</v>
      </c>
      <c r="AI102" s="360">
        <f t="shared" si="101"/>
        <v>2.482938102835305E-3</v>
      </c>
      <c r="AJ102" s="360">
        <f t="shared" si="102"/>
        <v>0.19139399999999998</v>
      </c>
      <c r="AK102" s="360">
        <f t="shared" si="103"/>
        <v>0.19397326282387461</v>
      </c>
      <c r="AL102" s="360">
        <f t="shared" si="104"/>
        <v>0.19139399999999998</v>
      </c>
      <c r="AM102" s="360">
        <f t="shared" si="105"/>
        <v>2.4607799999999997</v>
      </c>
      <c r="AN102" s="360">
        <f t="shared" si="106"/>
        <v>0.21625815080389829</v>
      </c>
      <c r="AO102" s="360">
        <f t="shared" si="107"/>
        <v>7.3499999999999998E-4</v>
      </c>
      <c r="AP102" s="360">
        <f t="shared" si="108"/>
        <v>0.34650000000000003</v>
      </c>
      <c r="AQ102" s="360">
        <f t="shared" si="109"/>
        <v>1.3167</v>
      </c>
      <c r="AR102" s="360">
        <f t="shared" si="110"/>
        <v>1.1088</v>
      </c>
      <c r="AS102" s="360">
        <f t="shared" si="129"/>
        <v>0.34723500000000002</v>
      </c>
      <c r="AT102" s="360">
        <f t="shared" si="122"/>
        <v>4.8849715292208131</v>
      </c>
      <c r="AU102">
        <f t="shared" si="111"/>
        <v>93</v>
      </c>
      <c r="AV102" s="542">
        <f t="shared" si="123"/>
        <v>0.95009477499043304</v>
      </c>
      <c r="AW102" s="551">
        <f t="shared" si="112"/>
        <v>138.42631041731079</v>
      </c>
      <c r="AX102" s="551">
        <f t="shared" si="113"/>
        <v>38.229165187307231</v>
      </c>
      <c r="AY102" s="9"/>
      <c r="AZ102" s="4">
        <f t="shared" si="124"/>
        <v>95.0094774990433</v>
      </c>
      <c r="BA102" s="360">
        <f t="shared" si="114"/>
        <v>0.32996551386258161</v>
      </c>
      <c r="BB102" s="360">
        <f t="shared" si="125"/>
        <v>3.7991646711700904</v>
      </c>
      <c r="BC102" s="360">
        <f t="shared" si="126"/>
        <v>2.7685262083462159</v>
      </c>
      <c r="BD102" s="360">
        <f t="shared" si="127"/>
        <v>1.0060306628238744</v>
      </c>
      <c r="BE102" s="360">
        <f t="shared" si="128"/>
        <v>0.21625815080389829</v>
      </c>
      <c r="BK102" s="18"/>
      <c r="BL102" s="19"/>
    </row>
    <row r="103" spans="7:64" x14ac:dyDescent="0.2">
      <c r="G103">
        <v>94</v>
      </c>
      <c r="H103" s="548">
        <f t="shared" si="82"/>
        <v>21</v>
      </c>
      <c r="I103" s="4">
        <f t="shared" si="83"/>
        <v>1</v>
      </c>
      <c r="J103" s="360">
        <f t="shared" si="115"/>
        <v>4.7</v>
      </c>
      <c r="K103" s="4">
        <f t="shared" si="84"/>
        <v>4.973544973544973</v>
      </c>
      <c r="L103" s="4"/>
      <c r="M103" s="360">
        <f t="shared" si="85"/>
        <v>0.95409273651901627</v>
      </c>
      <c r="N103" s="4">
        <f t="shared" si="86"/>
        <v>0.19937956773505747</v>
      </c>
      <c r="O103" s="4">
        <f t="shared" si="116"/>
        <v>4.799689783867529</v>
      </c>
      <c r="P103" s="4">
        <f t="shared" si="117"/>
        <v>4.6003102161324714</v>
      </c>
      <c r="Q103" s="4">
        <f t="shared" si="87"/>
        <v>0</v>
      </c>
      <c r="R103" s="4">
        <f t="shared" si="88"/>
        <v>4.7003524000159667</v>
      </c>
      <c r="S103" s="360">
        <f t="shared" si="89"/>
        <v>2.9825972123853409E-2</v>
      </c>
      <c r="T103" s="360">
        <f t="shared" si="90"/>
        <v>0.3</v>
      </c>
      <c r="U103" s="360">
        <f t="shared" si="91"/>
        <v>0.33061484485556492</v>
      </c>
      <c r="V103" s="4">
        <f t="shared" si="118"/>
        <v>5.7555923551373331E-2</v>
      </c>
      <c r="W103" s="360">
        <f t="shared" si="92"/>
        <v>6.6253686717030624E-6</v>
      </c>
      <c r="X103" s="360">
        <f t="shared" si="119"/>
        <v>6.6253686717030624E-6</v>
      </c>
      <c r="Y103" s="4">
        <f t="shared" si="93"/>
        <v>0.98370848413518663</v>
      </c>
      <c r="Z103" s="360">
        <f t="shared" si="120"/>
        <v>9.676823817595467E-4</v>
      </c>
      <c r="AA103" s="541">
        <f t="shared" si="121"/>
        <v>9.676823817595467E-4</v>
      </c>
      <c r="AB103" s="360">
        <f t="shared" si="94"/>
        <v>4.5911947418692982</v>
      </c>
      <c r="AC103" s="360">
        <f t="shared" si="95"/>
        <v>0.12647441494660974</v>
      </c>
      <c r="AD103" s="360">
        <f t="shared" si="96"/>
        <v>0.36855739029599843</v>
      </c>
      <c r="AE103" s="360">
        <f t="shared" si="97"/>
        <v>0.63444464999999983</v>
      </c>
      <c r="AF103" s="360">
        <f t="shared" si="98"/>
        <v>0</v>
      </c>
      <c r="AG103" s="360">
        <f t="shared" si="99"/>
        <v>1.1516152344211956</v>
      </c>
      <c r="AH103" s="360">
        <f t="shared" si="100"/>
        <v>1.007096582541896</v>
      </c>
      <c r="AI103" s="360">
        <f t="shared" si="101"/>
        <v>2.5356088164189151E-3</v>
      </c>
      <c r="AJ103" s="360">
        <f t="shared" si="102"/>
        <v>0.19345199999999999</v>
      </c>
      <c r="AK103" s="360">
        <f t="shared" si="103"/>
        <v>0.19608704882637687</v>
      </c>
      <c r="AL103" s="360">
        <f t="shared" si="104"/>
        <v>0.19345199999999999</v>
      </c>
      <c r="AM103" s="360">
        <f t="shared" si="105"/>
        <v>2.4872399999999999</v>
      </c>
      <c r="AN103" s="360">
        <f t="shared" si="106"/>
        <v>0.22093312684335856</v>
      </c>
      <c r="AO103" s="360">
        <f t="shared" si="107"/>
        <v>7.3499999999999998E-4</v>
      </c>
      <c r="AP103" s="360">
        <f t="shared" si="108"/>
        <v>0.34650000000000003</v>
      </c>
      <c r="AQ103" s="360">
        <f t="shared" si="109"/>
        <v>1.3167</v>
      </c>
      <c r="AR103" s="360">
        <f t="shared" si="110"/>
        <v>1.1088</v>
      </c>
      <c r="AS103" s="360">
        <f t="shared" si="129"/>
        <v>0.34723500000000002</v>
      </c>
      <c r="AT103" s="360">
        <f t="shared" si="122"/>
        <v>4.928151562696927</v>
      </c>
      <c r="AU103">
        <f t="shared" si="111"/>
        <v>94</v>
      </c>
      <c r="AV103" s="542">
        <f t="shared" si="123"/>
        <v>0.95018453812337078</v>
      </c>
      <c r="AW103" s="551">
        <f t="shared" si="112"/>
        <v>139.65968172105977</v>
      </c>
      <c r="AX103" s="551">
        <f t="shared" si="113"/>
        <v>38.641297455402324</v>
      </c>
      <c r="AY103" s="9"/>
      <c r="AZ103" s="4">
        <f t="shared" si="124"/>
        <v>95.018453812337071</v>
      </c>
      <c r="BA103" s="360">
        <f t="shared" si="114"/>
        <v>0.33061484485556492</v>
      </c>
      <c r="BB103" s="360">
        <f t="shared" si="125"/>
        <v>3.8349422832475724</v>
      </c>
      <c r="BC103" s="360">
        <f t="shared" si="126"/>
        <v>2.7931936344211956</v>
      </c>
      <c r="BD103" s="360">
        <f t="shared" si="127"/>
        <v>1.0168762488263769</v>
      </c>
      <c r="BE103" s="360">
        <f t="shared" si="128"/>
        <v>0.22093312684335856</v>
      </c>
      <c r="BK103" s="18"/>
      <c r="BL103" s="19"/>
    </row>
    <row r="104" spans="7:64" x14ac:dyDescent="0.2">
      <c r="G104">
        <v>95</v>
      </c>
      <c r="H104" s="548">
        <f t="shared" si="82"/>
        <v>21</v>
      </c>
      <c r="I104" s="4">
        <f t="shared" si="83"/>
        <v>1</v>
      </c>
      <c r="J104" s="360">
        <f t="shared" si="115"/>
        <v>4.75</v>
      </c>
      <c r="K104" s="4">
        <f t="shared" si="84"/>
        <v>5.0264550264550261</v>
      </c>
      <c r="L104" s="4"/>
      <c r="M104" s="360">
        <f t="shared" si="85"/>
        <v>0.95411092025415001</v>
      </c>
      <c r="N104" s="4">
        <f t="shared" si="86"/>
        <v>0.19930747245687797</v>
      </c>
      <c r="O104" s="4">
        <f t="shared" si="116"/>
        <v>4.8496537362284391</v>
      </c>
      <c r="P104" s="4">
        <f t="shared" si="117"/>
        <v>4.6503462637715609</v>
      </c>
      <c r="Q104" s="4">
        <f t="shared" si="87"/>
        <v>0</v>
      </c>
      <c r="R104" s="4">
        <f t="shared" si="88"/>
        <v>4.7503484386987962</v>
      </c>
      <c r="S104" s="360">
        <f t="shared" si="89"/>
        <v>3.0463843890214923E-2</v>
      </c>
      <c r="T104" s="360">
        <f t="shared" si="90"/>
        <v>0.3</v>
      </c>
      <c r="U104" s="360">
        <f t="shared" si="91"/>
        <v>0.3312711873892511</v>
      </c>
      <c r="V104" s="4">
        <f t="shared" si="118"/>
        <v>5.7535111437241208E-2</v>
      </c>
      <c r="W104" s="360">
        <f t="shared" si="92"/>
        <v>6.6205780961915285E-6</v>
      </c>
      <c r="X104" s="360">
        <f t="shared" si="119"/>
        <v>6.6205780961915285E-6</v>
      </c>
      <c r="Y104" s="4">
        <f t="shared" si="93"/>
        <v>0.99398441244124414</v>
      </c>
      <c r="Z104" s="360">
        <f t="shared" si="120"/>
        <v>9.8800501217616537E-4</v>
      </c>
      <c r="AA104" s="541">
        <f t="shared" si="121"/>
        <v>9.8800501217616537E-4</v>
      </c>
      <c r="AB104" s="360">
        <f t="shared" si="94"/>
        <v>4.640073924105546</v>
      </c>
      <c r="AC104" s="360">
        <f t="shared" si="95"/>
        <v>0.12918171612698545</v>
      </c>
      <c r="AD104" s="360">
        <f t="shared" si="96"/>
        <v>0.37247821359701971</v>
      </c>
      <c r="AE104" s="360">
        <f t="shared" si="97"/>
        <v>0.63444464999999983</v>
      </c>
      <c r="AF104" s="360">
        <f t="shared" si="98"/>
        <v>0</v>
      </c>
      <c r="AG104" s="360">
        <f t="shared" si="99"/>
        <v>1.1588595055958113</v>
      </c>
      <c r="AH104" s="360">
        <f t="shared" si="100"/>
        <v>1.0176071284556973</v>
      </c>
      <c r="AI104" s="360">
        <f t="shared" si="101"/>
        <v>2.5888106697096254E-3</v>
      </c>
      <c r="AJ104" s="360">
        <f t="shared" si="102"/>
        <v>0.19550999999999999</v>
      </c>
      <c r="AK104" s="360">
        <f t="shared" si="103"/>
        <v>0.1982014318660229</v>
      </c>
      <c r="AL104" s="360">
        <f t="shared" si="104"/>
        <v>0.19550999999999999</v>
      </c>
      <c r="AM104" s="360">
        <f t="shared" si="105"/>
        <v>2.5136999999999996</v>
      </c>
      <c r="AN104" s="360">
        <f t="shared" si="106"/>
        <v>0.22565810289048091</v>
      </c>
      <c r="AO104" s="360">
        <f t="shared" si="107"/>
        <v>7.3499999999999998E-4</v>
      </c>
      <c r="AP104" s="360">
        <f t="shared" si="108"/>
        <v>0.34650000000000003</v>
      </c>
      <c r="AQ104" s="360">
        <f t="shared" si="109"/>
        <v>1.3167</v>
      </c>
      <c r="AR104" s="360">
        <f t="shared" si="110"/>
        <v>1.1088</v>
      </c>
      <c r="AS104" s="360">
        <f t="shared" si="129"/>
        <v>0.34723500000000002</v>
      </c>
      <c r="AT104" s="360">
        <f t="shared" si="122"/>
        <v>4.9714298533318386</v>
      </c>
      <c r="AU104">
        <f t="shared" si="111"/>
        <v>95</v>
      </c>
      <c r="AV104" s="542">
        <f t="shared" si="123"/>
        <v>0.95027149395957</v>
      </c>
      <c r="AW104" s="551">
        <f t="shared" si="112"/>
        <v>140.89507527979057</v>
      </c>
      <c r="AX104" s="551">
        <f t="shared" si="113"/>
        <v>39.053452410908861</v>
      </c>
      <c r="AY104" s="9"/>
      <c r="AZ104" s="4">
        <f t="shared" si="124"/>
        <v>95.027149395956997</v>
      </c>
      <c r="BA104" s="360">
        <f t="shared" si="114"/>
        <v>0.3312711873892511</v>
      </c>
      <c r="BB104" s="360">
        <f t="shared" si="125"/>
        <v>3.8707609374618337</v>
      </c>
      <c r="BC104" s="360">
        <f t="shared" si="126"/>
        <v>2.8179015055958114</v>
      </c>
      <c r="BD104" s="360">
        <f t="shared" si="127"/>
        <v>1.0277224318660227</v>
      </c>
      <c r="BE104" s="360">
        <f t="shared" si="128"/>
        <v>0.22565810289048091</v>
      </c>
      <c r="BK104" s="18"/>
      <c r="BL104" s="19"/>
    </row>
    <row r="105" spans="7:64" x14ac:dyDescent="0.2">
      <c r="G105">
        <v>96</v>
      </c>
      <c r="H105" s="548">
        <f t="shared" si="82"/>
        <v>21</v>
      </c>
      <c r="I105" s="4">
        <f t="shared" si="83"/>
        <v>1</v>
      </c>
      <c r="J105" s="360">
        <f t="shared" si="115"/>
        <v>4.8</v>
      </c>
      <c r="K105" s="4">
        <f t="shared" ref="K105:K109" si="130">Vout2*J105/(Vin*Efficiency)</f>
        <v>5.0793650793650791</v>
      </c>
      <c r="L105" s="4"/>
      <c r="M105" s="360">
        <f t="shared" si="85"/>
        <v>0.95412910342728896</v>
      </c>
      <c r="N105" s="4">
        <f t="shared" ref="N105:N109" si="131">(Vin-(Rdson3+Rdcr2)*J105-Vout2)*M105/(Fsw*Lo_2)</f>
        <v>0.19923537416847922</v>
      </c>
      <c r="O105" s="4">
        <f t="shared" si="116"/>
        <v>4.8996176870842394</v>
      </c>
      <c r="P105" s="4">
        <f t="shared" si="117"/>
        <v>4.7003823129157603</v>
      </c>
      <c r="Q105" s="4">
        <f t="shared" ref="Q105:Q109" si="132">IF(MIN(Vin, -P105/(Coss_Q3+Coss_Q4)*0.00000002)&lt;0, 0, MIN(Vin, -P105/(Coss_Q3+Coss_Q4)*0.00000002))</f>
        <v>0</v>
      </c>
      <c r="R105" s="4">
        <f t="shared" si="88"/>
        <v>4.8003445599796972</v>
      </c>
      <c r="S105" s="360">
        <f t="shared" ref="S105:S109" si="133">R105^2*Rdcr2</f>
        <v>3.1108465657611013E-2</v>
      </c>
      <c r="T105" s="360">
        <f t="shared" si="90"/>
        <v>0.3</v>
      </c>
      <c r="U105" s="360">
        <f t="shared" ref="U105:U109" si="134">(T105+S105*(1+Ltc*(Ta-25)))/(1-S105*Ltc*ThetaCa)</f>
        <v>0.33193454360563746</v>
      </c>
      <c r="V105" s="4">
        <f t="shared" si="118"/>
        <v>5.7514298454133646E-2</v>
      </c>
      <c r="W105" s="360">
        <f t="shared" ref="W105:W109" si="135">Cout2_ESR*V105^2</f>
        <v>6.6157890533423201E-6</v>
      </c>
      <c r="X105" s="360">
        <f t="shared" si="119"/>
        <v>6.6157890533423201E-6</v>
      </c>
      <c r="Y105" s="4">
        <f t="shared" si="93"/>
        <v>1.0042563750266402</v>
      </c>
      <c r="Z105" s="360">
        <f t="shared" si="120"/>
        <v>1.0085308667816479E-3</v>
      </c>
      <c r="AA105" s="541">
        <f t="shared" si="121"/>
        <v>1.0085308667816479E-3</v>
      </c>
      <c r="AB105" s="360">
        <f t="shared" si="94"/>
        <v>4.6889541159413897</v>
      </c>
      <c r="AC105" s="360">
        <f t="shared" ref="AC105:AC109" si="136">Rdson3*AB105^2</f>
        <v>0.1319177442084222</v>
      </c>
      <c r="AD105" s="360">
        <f t="shared" si="96"/>
        <v>0.376399036898041</v>
      </c>
      <c r="AE105" s="360">
        <f t="shared" si="97"/>
        <v>0.63444464999999983</v>
      </c>
      <c r="AF105" s="360">
        <f t="shared" si="98"/>
        <v>0</v>
      </c>
      <c r="AG105" s="360">
        <f t="shared" ref="AG105:AG109" si="137">(AF105+AE105+AD105+AC105*(1+RdsonTopTc*Ta-RdsonTopTc*25))/(1-AC105*RdsonTopTc*ThetaJA_Q2)</f>
        <v>1.166144371615033</v>
      </c>
      <c r="AH105" s="360">
        <f t="shared" si="100"/>
        <v>1.0281134145234021</v>
      </c>
      <c r="AI105" s="360">
        <f t="shared" ref="AI105:AI109" si="138">Rdson4*AH105^2</f>
        <v>2.6425429828074221E-3</v>
      </c>
      <c r="AJ105" s="360">
        <f t="shared" si="102"/>
        <v>0.19756799999999997</v>
      </c>
      <c r="AK105" s="360">
        <f t="shared" ref="AK105:AK109" si="139">(AJ105+AI105*(1+RdsonBotTc*Ta-RdsonBotTc*25))/(1-AI105*RdsonBotTc*ThetaJA_Q3)</f>
        <v>0.20031641192854396</v>
      </c>
      <c r="AL105" s="360">
        <f t="shared" si="104"/>
        <v>0.19756799999999997</v>
      </c>
      <c r="AM105" s="360">
        <f t="shared" si="105"/>
        <v>2.5401599999999998</v>
      </c>
      <c r="AN105" s="360">
        <f t="shared" si="106"/>
        <v>0.23043307894526674</v>
      </c>
      <c r="AO105" s="360">
        <f t="shared" si="107"/>
        <v>7.3499999999999998E-4</v>
      </c>
      <c r="AP105" s="360">
        <f t="shared" si="108"/>
        <v>0.34650000000000003</v>
      </c>
      <c r="AQ105" s="360">
        <f t="shared" si="109"/>
        <v>1.3167</v>
      </c>
      <c r="AR105" s="360">
        <f t="shared" si="110"/>
        <v>1.1088</v>
      </c>
      <c r="AS105" s="360">
        <f t="shared" si="129"/>
        <v>0.34723500000000002</v>
      </c>
      <c r="AT105" s="360">
        <f t="shared" si="122"/>
        <v>5.0148065527503167</v>
      </c>
      <c r="AU105">
        <f t="shared" si="111"/>
        <v>96</v>
      </c>
      <c r="AV105" s="542">
        <f t="shared" si="123"/>
        <v>0.95035572779984923</v>
      </c>
      <c r="AW105" s="551">
        <f t="shared" si="112"/>
        <v>142.13249858075164</v>
      </c>
      <c r="AX105" s="551">
        <f t="shared" si="113"/>
        <v>39.46563005328467</v>
      </c>
      <c r="AY105" s="9"/>
      <c r="AZ105" s="4">
        <f t="shared" si="124"/>
        <v>95.035572779984918</v>
      </c>
      <c r="BA105" s="360">
        <f t="shared" si="114"/>
        <v>0.33193454360563746</v>
      </c>
      <c r="BB105" s="360">
        <f t="shared" si="125"/>
        <v>3.9066207835435769</v>
      </c>
      <c r="BC105" s="360">
        <f t="shared" si="126"/>
        <v>2.8426499716150326</v>
      </c>
      <c r="BD105" s="360">
        <f t="shared" si="127"/>
        <v>1.0385692119285439</v>
      </c>
      <c r="BE105" s="360">
        <f t="shared" si="128"/>
        <v>0.23043307894526674</v>
      </c>
      <c r="BK105" s="18"/>
      <c r="BL105" s="19"/>
    </row>
    <row r="106" spans="7:64" x14ac:dyDescent="0.2">
      <c r="G106">
        <v>97</v>
      </c>
      <c r="H106" s="548">
        <f t="shared" si="82"/>
        <v>21</v>
      </c>
      <c r="I106" s="4">
        <f t="shared" si="83"/>
        <v>1</v>
      </c>
      <c r="J106" s="360">
        <f t="shared" si="115"/>
        <v>4.8499999999999996</v>
      </c>
      <c r="K106" s="4">
        <f t="shared" si="130"/>
        <v>5.1322751322751321</v>
      </c>
      <c r="L106" s="4"/>
      <c r="M106" s="360">
        <f t="shared" si="85"/>
        <v>0.95414728603845911</v>
      </c>
      <c r="N106" s="4">
        <f t="shared" si="131"/>
        <v>0.19916327287000074</v>
      </c>
      <c r="O106" s="4">
        <f t="shared" si="116"/>
        <v>4.949581636435</v>
      </c>
      <c r="P106" s="4">
        <f t="shared" si="117"/>
        <v>4.7504183635649992</v>
      </c>
      <c r="Q106" s="4">
        <f t="shared" si="132"/>
        <v>0</v>
      </c>
      <c r="R106" s="4">
        <f t="shared" si="88"/>
        <v>4.8503407613044764</v>
      </c>
      <c r="S106" s="360">
        <f t="shared" si="133"/>
        <v>3.1759837426041784E-2</v>
      </c>
      <c r="T106" s="360">
        <f t="shared" si="90"/>
        <v>0.3</v>
      </c>
      <c r="U106" s="360">
        <f t="shared" si="134"/>
        <v>0.33260491566994416</v>
      </c>
      <c r="V106" s="4">
        <f t="shared" si="118"/>
        <v>5.7493484602090909E-2</v>
      </c>
      <c r="W106" s="360">
        <f t="shared" si="135"/>
        <v>6.6110015433817299E-6</v>
      </c>
      <c r="X106" s="360">
        <f t="shared" si="119"/>
        <v>6.6110015433817299E-6</v>
      </c>
      <c r="Y106" s="4">
        <f t="shared" si="93"/>
        <v>1.0145243701560143</v>
      </c>
      <c r="Z106" s="360">
        <f t="shared" si="120"/>
        <v>1.0292596976404576E-3</v>
      </c>
      <c r="AA106" s="541">
        <f t="shared" si="121"/>
        <v>1.0292596976404576E-3</v>
      </c>
      <c r="AB106" s="360">
        <f t="shared" si="94"/>
        <v>4.7378353148278549</v>
      </c>
      <c r="AC106" s="360">
        <f t="shared" si="136"/>
        <v>0.13468250082257976</v>
      </c>
      <c r="AD106" s="360">
        <f t="shared" si="96"/>
        <v>0.38031986019906222</v>
      </c>
      <c r="AE106" s="360">
        <f t="shared" si="97"/>
        <v>0.63444464999999983</v>
      </c>
      <c r="AF106" s="360">
        <f t="shared" si="98"/>
        <v>0</v>
      </c>
      <c r="AG106" s="360">
        <f t="shared" si="137"/>
        <v>1.1734699835698088</v>
      </c>
      <c r="AH106" s="360">
        <f t="shared" si="100"/>
        <v>1.0386154391023319</v>
      </c>
      <c r="AI106" s="360">
        <f t="shared" si="138"/>
        <v>2.6968050758543246E-3</v>
      </c>
      <c r="AJ106" s="360">
        <f t="shared" si="102"/>
        <v>0.19962599999999997</v>
      </c>
      <c r="AK106" s="360">
        <f t="shared" si="139"/>
        <v>0.2024319889989438</v>
      </c>
      <c r="AL106" s="360">
        <f t="shared" si="104"/>
        <v>0.19962599999999997</v>
      </c>
      <c r="AM106" s="360">
        <f t="shared" si="105"/>
        <v>2.5666199999999995</v>
      </c>
      <c r="AN106" s="360">
        <f t="shared" si="106"/>
        <v>0.2352580550077169</v>
      </c>
      <c r="AO106" s="360">
        <f t="shared" si="107"/>
        <v>7.3499999999999998E-4</v>
      </c>
      <c r="AP106" s="360">
        <f t="shared" si="108"/>
        <v>0.34650000000000003</v>
      </c>
      <c r="AQ106" s="360">
        <f t="shared" si="109"/>
        <v>1.3167</v>
      </c>
      <c r="AR106" s="360">
        <f t="shared" si="110"/>
        <v>1.1088</v>
      </c>
      <c r="AS106" s="360">
        <f t="shared" si="129"/>
        <v>0.34723500000000002</v>
      </c>
      <c r="AT106" s="360">
        <f t="shared" si="122"/>
        <v>5.0582818139455972</v>
      </c>
      <c r="AU106">
        <f t="shared" si="111"/>
        <v>97</v>
      </c>
      <c r="AV106" s="542">
        <f t="shared" si="123"/>
        <v>0.95043732145944848</v>
      </c>
      <c r="AW106" s="551">
        <f t="shared" si="112"/>
        <v>143.37195917849041</v>
      </c>
      <c r="AX106" s="551">
        <f t="shared" si="113"/>
        <v>39.877830381959861</v>
      </c>
      <c r="AY106" s="9"/>
      <c r="AZ106" s="4">
        <f t="shared" si="124"/>
        <v>95.043732145944844</v>
      </c>
      <c r="BA106" s="360">
        <f t="shared" si="114"/>
        <v>0.33260491566994416</v>
      </c>
      <c r="BB106" s="360">
        <f t="shared" si="125"/>
        <v>3.9425219725687519</v>
      </c>
      <c r="BC106" s="360">
        <f t="shared" si="126"/>
        <v>2.8674391835698083</v>
      </c>
      <c r="BD106" s="360">
        <f t="shared" si="127"/>
        <v>1.0494165889989437</v>
      </c>
      <c r="BE106" s="360">
        <f t="shared" si="128"/>
        <v>0.2352580550077169</v>
      </c>
      <c r="BK106" s="18"/>
      <c r="BL106" s="19"/>
    </row>
    <row r="107" spans="7:64" x14ac:dyDescent="0.2">
      <c r="G107">
        <v>98</v>
      </c>
      <c r="H107" s="548">
        <f t="shared" si="82"/>
        <v>21</v>
      </c>
      <c r="I107" s="4">
        <f t="shared" si="83"/>
        <v>1</v>
      </c>
      <c r="J107" s="360">
        <f t="shared" si="115"/>
        <v>4.9000000000000004</v>
      </c>
      <c r="K107" s="4">
        <f t="shared" si="130"/>
        <v>5.1851851851851842</v>
      </c>
      <c r="L107" s="4"/>
      <c r="M107" s="360">
        <f t="shared" si="85"/>
        <v>0.95416546808768621</v>
      </c>
      <c r="N107" s="4">
        <f t="shared" si="131"/>
        <v>0.19909116856158207</v>
      </c>
      <c r="O107" s="4">
        <f t="shared" si="116"/>
        <v>4.9995455842807912</v>
      </c>
      <c r="P107" s="4">
        <f t="shared" si="117"/>
        <v>4.8004544157192095</v>
      </c>
      <c r="Q107" s="4">
        <f t="shared" si="132"/>
        <v>0</v>
      </c>
      <c r="R107" s="4">
        <f t="shared" si="88"/>
        <v>4.9003370402231798</v>
      </c>
      <c r="S107" s="360">
        <f t="shared" si="133"/>
        <v>3.2417959195507426E-2</v>
      </c>
      <c r="T107" s="360">
        <f t="shared" si="90"/>
        <v>0.3</v>
      </c>
      <c r="U107" s="360">
        <f t="shared" si="134"/>
        <v>0.333282305770632</v>
      </c>
      <c r="V107" s="4">
        <f t="shared" si="118"/>
        <v>5.7472669881153286E-2</v>
      </c>
      <c r="W107" s="360">
        <f t="shared" si="135"/>
        <v>6.6062155665360485E-6</v>
      </c>
      <c r="X107" s="360">
        <f t="shared" si="119"/>
        <v>6.6062155665360485E-6</v>
      </c>
      <c r="Y107" s="4">
        <f t="shared" si="93"/>
        <v>1.024788396115321</v>
      </c>
      <c r="Z107" s="360">
        <f t="shared" si="120"/>
        <v>1.0501912568126122E-3</v>
      </c>
      <c r="AA107" s="541">
        <f t="shared" si="121"/>
        <v>1.0501912568126122E-3</v>
      </c>
      <c r="AB107" s="360">
        <f t="shared" si="94"/>
        <v>4.7867175183176958</v>
      </c>
      <c r="AC107" s="360">
        <f t="shared" si="136"/>
        <v>0.13747598760101712</v>
      </c>
      <c r="AD107" s="360">
        <f t="shared" si="96"/>
        <v>0.3842406835000835</v>
      </c>
      <c r="AE107" s="360">
        <f t="shared" si="97"/>
        <v>0.63444464999999983</v>
      </c>
      <c r="AF107" s="360">
        <f t="shared" si="98"/>
        <v>0</v>
      </c>
      <c r="AG107" s="360">
        <f t="shared" si="137"/>
        <v>1.1808364939067642</v>
      </c>
      <c r="AH107" s="360">
        <f t="shared" si="100"/>
        <v>1.0491132005716812</v>
      </c>
      <c r="AI107" s="360">
        <f t="shared" si="138"/>
        <v>2.7515962690343914E-3</v>
      </c>
      <c r="AJ107" s="360">
        <f t="shared" si="102"/>
        <v>0.201684</v>
      </c>
      <c r="AK107" s="360">
        <f t="shared" si="139"/>
        <v>0.20454816306149798</v>
      </c>
      <c r="AL107" s="360">
        <f t="shared" si="104"/>
        <v>0.201684</v>
      </c>
      <c r="AM107" s="360">
        <f t="shared" si="105"/>
        <v>2.5930800000000001</v>
      </c>
      <c r="AN107" s="360">
        <f t="shared" si="106"/>
        <v>0.24013303107783276</v>
      </c>
      <c r="AO107" s="360">
        <f t="shared" si="107"/>
        <v>7.3499999999999998E-4</v>
      </c>
      <c r="AP107" s="360">
        <f t="shared" si="108"/>
        <v>0.34650000000000003</v>
      </c>
      <c r="AQ107" s="360">
        <f t="shared" si="109"/>
        <v>1.3167</v>
      </c>
      <c r="AR107" s="360">
        <f t="shared" si="110"/>
        <v>1.1088</v>
      </c>
      <c r="AS107" s="360">
        <f t="shared" si="129"/>
        <v>0.34723500000000002</v>
      </c>
      <c r="AT107" s="360">
        <f t="shared" si="122"/>
        <v>5.1018557912891067</v>
      </c>
      <c r="AU107">
        <f t="shared" si="111"/>
        <v>98</v>
      </c>
      <c r="AV107" s="542">
        <f t="shared" si="123"/>
        <v>0.95051635344356078</v>
      </c>
      <c r="AW107" s="551">
        <f t="shared" si="112"/>
        <v>144.61346469533822</v>
      </c>
      <c r="AX107" s="551">
        <f t="shared" si="113"/>
        <v>40.290053396336923</v>
      </c>
      <c r="AY107" s="9"/>
      <c r="AZ107" s="4">
        <f t="shared" si="124"/>
        <v>95.051635344356072</v>
      </c>
      <c r="BA107" s="360">
        <f t="shared" si="114"/>
        <v>0.333282305770632</v>
      </c>
      <c r="BB107" s="360">
        <f t="shared" si="125"/>
        <v>3.9784646569682622</v>
      </c>
      <c r="BC107" s="360">
        <f t="shared" si="126"/>
        <v>2.8922692939067645</v>
      </c>
      <c r="BD107" s="360">
        <f t="shared" si="127"/>
        <v>1.060264563061498</v>
      </c>
      <c r="BE107" s="360">
        <f t="shared" si="128"/>
        <v>0.24013303107783276</v>
      </c>
      <c r="BK107" s="18"/>
      <c r="BL107" s="19"/>
    </row>
    <row r="108" spans="7:64" x14ac:dyDescent="0.2">
      <c r="G108">
        <v>99</v>
      </c>
      <c r="H108" s="548">
        <f t="shared" si="82"/>
        <v>21</v>
      </c>
      <c r="I108" s="4">
        <f t="shared" si="83"/>
        <v>1</v>
      </c>
      <c r="J108" s="360">
        <f t="shared" si="115"/>
        <v>4.95</v>
      </c>
      <c r="K108" s="4">
        <f t="shared" si="130"/>
        <v>5.2380952380952372</v>
      </c>
      <c r="L108" s="4"/>
      <c r="M108" s="360">
        <f t="shared" si="85"/>
        <v>0.95418364957499646</v>
      </c>
      <c r="N108" s="4">
        <f t="shared" si="131"/>
        <v>0.19901906124336269</v>
      </c>
      <c r="O108" s="4">
        <f t="shared" si="116"/>
        <v>5.0495095306216813</v>
      </c>
      <c r="P108" s="4">
        <f t="shared" si="117"/>
        <v>4.8504904693783191</v>
      </c>
      <c r="Q108" s="4">
        <f t="shared" si="132"/>
        <v>0</v>
      </c>
      <c r="R108" s="4">
        <f t="shared" si="88"/>
        <v>4.9503333943848187</v>
      </c>
      <c r="S108" s="360">
        <f t="shared" si="133"/>
        <v>3.3082830966008052E-2</v>
      </c>
      <c r="T108" s="360">
        <f t="shared" si="90"/>
        <v>0.3</v>
      </c>
      <c r="U108" s="360">
        <f t="shared" si="134"/>
        <v>0.33396671611942019</v>
      </c>
      <c r="V108" s="4">
        <f t="shared" si="118"/>
        <v>5.7451854291361036E-2</v>
      </c>
      <c r="W108" s="360">
        <f t="shared" si="135"/>
        <v>6.6014311230315591E-6</v>
      </c>
      <c r="X108" s="360">
        <f t="shared" si="119"/>
        <v>6.6014311230315591E-6</v>
      </c>
      <c r="Y108" s="4">
        <f t="shared" si="93"/>
        <v>1.0350484512106994</v>
      </c>
      <c r="Z108" s="360">
        <f t="shared" si="120"/>
        <v>1.0713252963536677E-3</v>
      </c>
      <c r="AA108" s="541">
        <f t="shared" si="121"/>
        <v>1.0713252963536677E-3</v>
      </c>
      <c r="AB108" s="360">
        <f t="shared" si="94"/>
        <v>4.8356007240602539</v>
      </c>
      <c r="AC108" s="360">
        <f t="shared" si="136"/>
        <v>0.14029820617519231</v>
      </c>
      <c r="AD108" s="360">
        <f t="shared" si="96"/>
        <v>0.38816150680110478</v>
      </c>
      <c r="AE108" s="360">
        <f t="shared" si="97"/>
        <v>0.63444464999999983</v>
      </c>
      <c r="AF108" s="360">
        <f t="shared" si="98"/>
        <v>0</v>
      </c>
      <c r="AG108" s="360">
        <f t="shared" si="137"/>
        <v>1.1882440564380183</v>
      </c>
      <c r="AH108" s="360">
        <f t="shared" si="100"/>
        <v>1.0596066973313585</v>
      </c>
      <c r="AI108" s="360">
        <f t="shared" si="138"/>
        <v>2.8069158825736731E-3</v>
      </c>
      <c r="AJ108" s="360">
        <f t="shared" si="102"/>
        <v>0.20374199999999998</v>
      </c>
      <c r="AK108" s="360">
        <f t="shared" si="139"/>
        <v>0.20666493409975278</v>
      </c>
      <c r="AL108" s="360">
        <f t="shared" si="104"/>
        <v>0.20374199999999998</v>
      </c>
      <c r="AM108" s="360">
        <f t="shared" si="105"/>
        <v>2.6195399999999998</v>
      </c>
      <c r="AN108" s="360">
        <f t="shared" si="106"/>
        <v>0.24505800715561521</v>
      </c>
      <c r="AO108" s="360">
        <f t="shared" si="107"/>
        <v>7.3499999999999998E-4</v>
      </c>
      <c r="AP108" s="360">
        <f t="shared" si="108"/>
        <v>0.34650000000000003</v>
      </c>
      <c r="AQ108" s="360">
        <f t="shared" si="109"/>
        <v>1.3167</v>
      </c>
      <c r="AR108" s="360">
        <f t="shared" si="110"/>
        <v>1.1088</v>
      </c>
      <c r="AS108" s="360">
        <f t="shared" si="129"/>
        <v>0.34723500000000002</v>
      </c>
      <c r="AT108" s="360">
        <f t="shared" si="122"/>
        <v>5.1455286405402836</v>
      </c>
      <c r="AU108">
        <f t="shared" si="111"/>
        <v>99</v>
      </c>
      <c r="AV108" s="542">
        <f t="shared" si="123"/>
        <v>0.95059289911235523</v>
      </c>
      <c r="AW108" s="551">
        <f t="shared" si="112"/>
        <v>145.85702282190093</v>
      </c>
      <c r="AX108" s="551">
        <f t="shared" si="113"/>
        <v>40.702299095790607</v>
      </c>
      <c r="AY108" s="9"/>
      <c r="AZ108" s="4">
        <f t="shared" si="124"/>
        <v>95.059289911235524</v>
      </c>
      <c r="BA108" s="360">
        <f t="shared" si="114"/>
        <v>0.33396671611942019</v>
      </c>
      <c r="BB108" s="360">
        <f t="shared" si="125"/>
        <v>4.0144489905377707</v>
      </c>
      <c r="BC108" s="360">
        <f t="shared" si="126"/>
        <v>2.9171404564380183</v>
      </c>
      <c r="BD108" s="360">
        <f t="shared" si="127"/>
        <v>1.0711131340997528</v>
      </c>
      <c r="BE108" s="360">
        <f t="shared" si="128"/>
        <v>0.24505800715561521</v>
      </c>
      <c r="BK108" s="18"/>
      <c r="BL108" s="19"/>
    </row>
    <row r="109" spans="7:64" x14ac:dyDescent="0.2">
      <c r="G109">
        <v>100</v>
      </c>
      <c r="H109" s="548">
        <f t="shared" si="82"/>
        <v>21</v>
      </c>
      <c r="I109" s="4">
        <f t="shared" si="83"/>
        <v>1</v>
      </c>
      <c r="J109" s="360">
        <f t="shared" si="115"/>
        <v>5</v>
      </c>
      <c r="K109" s="4">
        <f t="shared" si="130"/>
        <v>5.2910052910052903</v>
      </c>
      <c r="L109" s="4"/>
      <c r="M109" s="360">
        <f t="shared" si="85"/>
        <v>0.95420183050041607</v>
      </c>
      <c r="N109" s="4">
        <f t="shared" si="131"/>
        <v>0.19894695091548148</v>
      </c>
      <c r="O109" s="4">
        <f t="shared" si="116"/>
        <v>5.0994734754577404</v>
      </c>
      <c r="P109" s="4">
        <f t="shared" si="117"/>
        <v>4.9005265245422596</v>
      </c>
      <c r="Q109" s="4">
        <f t="shared" si="132"/>
        <v>0</v>
      </c>
      <c r="R109" s="4">
        <f t="shared" si="88"/>
        <v>5.0003298215324303</v>
      </c>
      <c r="S109" s="360">
        <f t="shared" si="133"/>
        <v>3.3754452737543836E-2</v>
      </c>
      <c r="T109" s="360">
        <f t="shared" si="90"/>
        <v>0.3</v>
      </c>
      <c r="U109" s="360">
        <f t="shared" si="134"/>
        <v>0.33465814895130469</v>
      </c>
      <c r="V109" s="4">
        <f t="shared" si="118"/>
        <v>5.7431037832754252E-2</v>
      </c>
      <c r="W109" s="360">
        <f t="shared" si="135"/>
        <v>6.5966482130945009E-6</v>
      </c>
      <c r="X109" s="360">
        <f t="shared" si="119"/>
        <v>6.5966482130945009E-6</v>
      </c>
      <c r="Y109" s="4">
        <f t="shared" si="93"/>
        <v>1.045304533767424</v>
      </c>
      <c r="Z109" s="360">
        <f t="shared" si="120"/>
        <v>1.0926615683147318E-3</v>
      </c>
      <c r="AA109" s="541">
        <f t="shared" si="121"/>
        <v>1.0926615683147318E-3</v>
      </c>
      <c r="AB109" s="360">
        <f t="shared" si="94"/>
        <v>4.8844849297966366</v>
      </c>
      <c r="AC109" s="360">
        <f t="shared" si="136"/>
        <v>0.14314915817646273</v>
      </c>
      <c r="AD109" s="360">
        <f t="shared" si="96"/>
        <v>0.39208233010212601</v>
      </c>
      <c r="AE109" s="360">
        <f t="shared" si="97"/>
        <v>0.63444464999999983</v>
      </c>
      <c r="AF109" s="360">
        <f t="shared" si="98"/>
        <v>0</v>
      </c>
      <c r="AG109" s="360">
        <f t="shared" si="137"/>
        <v>1.1956928263511177</v>
      </c>
      <c r="AH109" s="360">
        <f t="shared" si="100"/>
        <v>1.0700959278009119</v>
      </c>
      <c r="AI109" s="360">
        <f t="shared" si="138"/>
        <v>2.8627632367402363E-3</v>
      </c>
      <c r="AJ109" s="360">
        <f t="shared" si="102"/>
        <v>0.20579999999999998</v>
      </c>
      <c r="AK109" s="360">
        <f t="shared" si="139"/>
        <v>0.20878230209652499</v>
      </c>
      <c r="AL109" s="360">
        <f t="shared" si="104"/>
        <v>0.20579999999999998</v>
      </c>
      <c r="AM109" s="360">
        <f t="shared" si="105"/>
        <v>2.6459999999999999</v>
      </c>
      <c r="AN109" s="360">
        <f t="shared" si="106"/>
        <v>0.25003298324106543</v>
      </c>
      <c r="AO109" s="360">
        <f t="shared" si="107"/>
        <v>7.3499999999999998E-4</v>
      </c>
      <c r="AP109" s="360">
        <f t="shared" si="108"/>
        <v>0.34650000000000003</v>
      </c>
      <c r="AQ109" s="360">
        <f t="shared" si="109"/>
        <v>1.3167</v>
      </c>
      <c r="AR109" s="360">
        <f t="shared" si="110"/>
        <v>1.1088</v>
      </c>
      <c r="AS109" s="360">
        <f t="shared" si="129"/>
        <v>0.34723500000000002</v>
      </c>
      <c r="AT109" s="360">
        <f t="shared" si="122"/>
        <v>5.1893005188565411</v>
      </c>
      <c r="AU109">
        <f t="shared" si="111"/>
        <v>100</v>
      </c>
      <c r="AV109" s="542">
        <f t="shared" si="123"/>
        <v>0.95066703083621806</v>
      </c>
      <c r="AW109" s="551">
        <f t="shared" si="112"/>
        <v>147.10264131755588</v>
      </c>
      <c r="AX109" s="551">
        <f t="shared" si="113"/>
        <v>41.114567479667947</v>
      </c>
      <c r="AY109" s="9"/>
      <c r="AZ109" s="4">
        <f t="shared" si="124"/>
        <v>95.066703083621803</v>
      </c>
      <c r="BA109" s="360">
        <f t="shared" si="114"/>
        <v>0.33465814895130469</v>
      </c>
      <c r="BB109" s="360">
        <f t="shared" si="125"/>
        <v>4.0504751284476423</v>
      </c>
      <c r="BC109" s="360">
        <f t="shared" si="126"/>
        <v>2.9420528263511176</v>
      </c>
      <c r="BD109" s="360">
        <f t="shared" si="127"/>
        <v>1.081962302096525</v>
      </c>
      <c r="BE109" s="360">
        <f t="shared" si="128"/>
        <v>0.25003298324106543</v>
      </c>
      <c r="BK109" s="18"/>
      <c r="BL109" s="19"/>
    </row>
    <row r="110" spans="7:64" x14ac:dyDescent="0.2">
      <c r="H110" s="548"/>
      <c r="I110" s="4"/>
      <c r="K110" s="4"/>
      <c r="L110" s="4"/>
      <c r="R110" s="360"/>
      <c r="S110" s="360"/>
      <c r="T110" s="360"/>
      <c r="U110" s="360"/>
      <c r="W110" s="360"/>
      <c r="X110" s="360"/>
      <c r="Y110" s="360"/>
      <c r="Z110" s="360"/>
      <c r="AA110" s="541"/>
      <c r="AB110" s="360"/>
      <c r="AC110" s="360"/>
      <c r="AD110" s="360"/>
      <c r="AE110" s="360"/>
      <c r="AG110" s="360"/>
      <c r="AH110" s="360"/>
      <c r="AI110" s="360"/>
      <c r="AJ110" s="360"/>
      <c r="AK110" s="360"/>
      <c r="AL110" s="360"/>
      <c r="AM110" s="360"/>
      <c r="AN110" s="360"/>
      <c r="AO110" s="360"/>
      <c r="AP110" s="360"/>
      <c r="AQ110" s="360"/>
      <c r="AR110" s="360"/>
      <c r="AS110" s="360"/>
      <c r="AT110" s="360"/>
      <c r="AV110" s="542"/>
      <c r="AW110" s="551"/>
      <c r="AX110" s="551"/>
      <c r="AY110" s="9"/>
      <c r="AZ110" s="48"/>
      <c r="BA110" s="360"/>
      <c r="BB110" s="360"/>
      <c r="BC110" s="360"/>
      <c r="BD110" s="360"/>
      <c r="BE110" s="360"/>
    </row>
    <row r="111" spans="7:64" x14ac:dyDescent="0.2">
      <c r="H111" s="548"/>
      <c r="I111" s="4"/>
      <c r="K111" s="4"/>
      <c r="L111" s="4"/>
      <c r="R111" s="360"/>
      <c r="S111" s="360"/>
      <c r="T111" s="360"/>
      <c r="U111" s="360"/>
      <c r="W111" s="360"/>
      <c r="X111" s="360"/>
      <c r="Y111" s="360"/>
      <c r="Z111" s="360"/>
      <c r="AA111" s="541"/>
      <c r="AB111" s="360"/>
      <c r="AC111" s="360"/>
      <c r="AD111" s="360"/>
      <c r="AE111" s="360"/>
      <c r="AG111" s="360">
        <v>1.0264505953745029</v>
      </c>
      <c r="AH111" s="360">
        <v>5.6934364538745408</v>
      </c>
      <c r="AI111" s="360">
        <v>0.18476674632955281</v>
      </c>
      <c r="AJ111" s="360">
        <v>0.50400000000000011</v>
      </c>
      <c r="AK111" s="360">
        <v>0.7151956198638304</v>
      </c>
      <c r="AL111" s="360">
        <v>0.50400000000000011</v>
      </c>
      <c r="AM111" s="360">
        <v>0.2772</v>
      </c>
      <c r="AN111" s="360">
        <f>CHOOSE(SENSING_TYPE, Rs_Ch2*R111^2, 0)</f>
        <v>0</v>
      </c>
      <c r="AO111" s="360">
        <v>4.1999999999999996E-4</v>
      </c>
      <c r="AP111" s="360">
        <v>0.189</v>
      </c>
      <c r="AQ111" s="360">
        <v>0.34559999999999996</v>
      </c>
      <c r="AR111" s="360">
        <v>0.2646</v>
      </c>
      <c r="AS111" s="360">
        <v>0.18942000000000001</v>
      </c>
      <c r="AT111" s="360">
        <v>3.6212425503668713</v>
      </c>
      <c r="AU111">
        <v>37.5</v>
      </c>
      <c r="AV111" s="542"/>
      <c r="AW111" s="551"/>
      <c r="AX111" s="551"/>
      <c r="AY111" s="9"/>
      <c r="AZ111" s="48"/>
      <c r="BA111" s="360"/>
      <c r="BB111" s="360"/>
      <c r="BC111" s="360"/>
      <c r="BD111" s="360"/>
      <c r="BE111" s="360"/>
    </row>
    <row r="112" spans="7:64" x14ac:dyDescent="0.2">
      <c r="H112" s="548"/>
      <c r="I112" s="4"/>
      <c r="K112" s="4"/>
      <c r="L112" s="4"/>
      <c r="R112" s="360"/>
      <c r="S112" s="360"/>
      <c r="T112" s="360"/>
      <c r="U112" s="360"/>
      <c r="W112" s="360"/>
      <c r="X112" s="360"/>
      <c r="Y112" s="360"/>
      <c r="Z112" s="360"/>
      <c r="AA112" s="541"/>
      <c r="AB112" s="360"/>
      <c r="AC112" s="360"/>
      <c r="AD112" s="360"/>
      <c r="AE112" s="360"/>
      <c r="AG112" s="360"/>
      <c r="AH112" s="360"/>
      <c r="AI112" s="360"/>
      <c r="AJ112" s="360"/>
      <c r="AK112" s="360"/>
      <c r="AL112" s="360"/>
      <c r="AM112" s="360"/>
      <c r="AN112" s="360"/>
      <c r="AO112" s="360"/>
      <c r="AP112" s="360"/>
      <c r="AQ112" s="360"/>
      <c r="AR112" s="360"/>
      <c r="AS112" s="360"/>
      <c r="AT112" s="360"/>
      <c r="AV112" s="542"/>
      <c r="AW112" s="551"/>
      <c r="AX112" s="551"/>
      <c r="AY112" s="9"/>
      <c r="AZ112" s="48"/>
      <c r="BA112" s="360"/>
      <c r="BB112" s="360"/>
      <c r="BC112" s="360"/>
      <c r="BD112" s="360"/>
      <c r="BE112" s="360"/>
    </row>
    <row r="113" spans="8:57" x14ac:dyDescent="0.2">
      <c r="H113" s="548"/>
      <c r="I113" s="4"/>
      <c r="K113" s="4"/>
      <c r="L113" s="4"/>
      <c r="R113" s="360"/>
      <c r="S113" s="360"/>
      <c r="T113" s="360"/>
      <c r="U113" s="360"/>
      <c r="W113" s="360"/>
      <c r="X113" s="360"/>
      <c r="Y113" s="360"/>
      <c r="Z113" s="360"/>
      <c r="AA113" s="541"/>
      <c r="AB113" s="360"/>
      <c r="AC113" s="360"/>
      <c r="AD113" s="360"/>
      <c r="AE113" s="360"/>
      <c r="AG113" s="360"/>
      <c r="AH113" s="360"/>
      <c r="AI113" s="360"/>
      <c r="AJ113" s="360"/>
      <c r="AK113" s="360"/>
      <c r="AL113" s="360"/>
      <c r="AM113" s="360"/>
      <c r="AN113" s="360"/>
      <c r="AO113" s="360"/>
      <c r="AP113" s="360"/>
      <c r="AQ113" s="360"/>
      <c r="AR113" s="360"/>
      <c r="AS113" s="360"/>
      <c r="AT113" s="360"/>
      <c r="AV113" s="542"/>
      <c r="AW113" s="551"/>
      <c r="AX113" s="551"/>
      <c r="AY113" s="9"/>
      <c r="AZ113" s="48"/>
      <c r="BA113" s="360"/>
      <c r="BB113" s="360"/>
      <c r="BC113" s="360"/>
      <c r="BD113" s="360"/>
      <c r="BE113" s="360"/>
    </row>
    <row r="114" spans="8:57" x14ac:dyDescent="0.2">
      <c r="H114" s="548"/>
      <c r="I114" s="4"/>
      <c r="K114" s="4"/>
      <c r="L114" s="4"/>
      <c r="R114" s="360"/>
      <c r="S114" s="360"/>
      <c r="T114" s="360"/>
      <c r="U114" s="360"/>
      <c r="W114" s="360"/>
      <c r="X114" s="360"/>
      <c r="Y114" s="360"/>
      <c r="Z114" s="360"/>
      <c r="AA114" s="541"/>
      <c r="AB114" s="360"/>
      <c r="AC114" s="360"/>
      <c r="AD114" s="360"/>
      <c r="AE114" s="360"/>
      <c r="AG114" s="360"/>
      <c r="AH114" s="360"/>
      <c r="AI114" s="360"/>
      <c r="AJ114" s="360"/>
      <c r="AK114" s="360"/>
      <c r="AL114" s="360"/>
      <c r="AM114" s="360"/>
      <c r="AN114" s="360"/>
      <c r="AO114" s="360"/>
      <c r="AP114" s="360"/>
      <c r="AQ114" s="360"/>
      <c r="AR114" s="360"/>
      <c r="AS114" s="360"/>
      <c r="AT114" s="360"/>
      <c r="AV114" s="542"/>
      <c r="AW114" s="551"/>
      <c r="AX114" s="551"/>
      <c r="AY114" s="9"/>
      <c r="AZ114" s="48"/>
      <c r="BA114" s="360"/>
      <c r="BB114" s="360"/>
      <c r="BC114" s="360"/>
      <c r="BD114" s="360"/>
      <c r="BE114" s="360"/>
    </row>
    <row r="115" spans="8:57" x14ac:dyDescent="0.2">
      <c r="H115" s="548"/>
      <c r="I115" s="4"/>
      <c r="K115" s="4"/>
      <c r="L115" s="4"/>
      <c r="R115" s="360"/>
      <c r="S115" s="360"/>
      <c r="T115" s="360"/>
      <c r="U115" s="360"/>
      <c r="W115" s="360"/>
      <c r="X115" s="360"/>
      <c r="Y115" s="360"/>
      <c r="Z115" s="360"/>
      <c r="AA115" s="541"/>
      <c r="AB115" s="360"/>
      <c r="AC115" s="360"/>
      <c r="AD115" s="360"/>
      <c r="AE115" s="360"/>
      <c r="AG115" s="360"/>
      <c r="AH115" s="360"/>
      <c r="AI115" s="360"/>
      <c r="AJ115" s="360"/>
      <c r="AK115" s="360"/>
      <c r="AL115" s="360"/>
      <c r="AM115" s="360"/>
      <c r="AN115" s="360"/>
      <c r="AO115" s="360"/>
      <c r="AP115" s="360"/>
      <c r="AQ115" s="360"/>
      <c r="AR115" s="360"/>
      <c r="AS115" s="360"/>
      <c r="AT115" s="360"/>
      <c r="AV115" s="542"/>
      <c r="AW115" s="551"/>
      <c r="AX115" s="551"/>
      <c r="AY115" s="9"/>
      <c r="AZ115" s="48"/>
      <c r="BA115" s="360"/>
      <c r="BB115" s="360"/>
      <c r="BC115" s="360"/>
      <c r="BD115" s="360"/>
      <c r="BE115" s="360"/>
    </row>
    <row r="116" spans="8:57" x14ac:dyDescent="0.2">
      <c r="H116" s="548"/>
      <c r="I116" s="4"/>
      <c r="K116" s="4"/>
      <c r="L116" s="4"/>
      <c r="R116" s="360"/>
      <c r="S116" s="360"/>
      <c r="T116" s="360"/>
      <c r="U116" s="360"/>
      <c r="W116" s="360"/>
      <c r="X116" s="360"/>
      <c r="Y116" s="360"/>
      <c r="Z116" s="360"/>
      <c r="AA116" s="541"/>
      <c r="AB116" s="360"/>
      <c r="AC116" s="360"/>
      <c r="AD116" s="360"/>
      <c r="AE116" s="360"/>
      <c r="AG116" s="360"/>
      <c r="AH116" s="360"/>
      <c r="AI116" s="360"/>
      <c r="AJ116" s="360"/>
      <c r="AK116" s="360"/>
      <c r="AL116" s="360"/>
      <c r="AM116" s="360"/>
      <c r="AN116" s="360"/>
      <c r="AO116" s="360"/>
      <c r="AP116" s="360"/>
      <c r="AQ116" s="360"/>
      <c r="AR116" s="360"/>
      <c r="AS116" s="360"/>
      <c r="AT116" s="360"/>
      <c r="AV116" s="542"/>
      <c r="AW116" s="551"/>
      <c r="AX116" s="551"/>
      <c r="AY116" s="9"/>
      <c r="AZ116" s="48"/>
      <c r="BA116" s="360"/>
      <c r="BB116" s="360"/>
      <c r="BC116" s="360"/>
      <c r="BD116" s="360"/>
      <c r="BE116" s="360"/>
    </row>
    <row r="117" spans="8:57" x14ac:dyDescent="0.2">
      <c r="H117" s="548"/>
      <c r="I117" s="4"/>
      <c r="K117" s="4"/>
      <c r="L117" s="4"/>
      <c r="R117" s="360"/>
      <c r="S117" s="360"/>
      <c r="T117" s="360"/>
      <c r="U117" s="360"/>
      <c r="W117" s="360"/>
      <c r="X117" s="360"/>
      <c r="Y117" s="360"/>
      <c r="Z117" s="360"/>
      <c r="AA117" s="541"/>
      <c r="AB117" s="360"/>
      <c r="AC117" s="360"/>
      <c r="AD117" s="360"/>
      <c r="AE117" s="360"/>
      <c r="AG117" s="360"/>
      <c r="AH117" s="360"/>
      <c r="AI117" s="360"/>
      <c r="AJ117" s="360"/>
      <c r="AK117" s="360"/>
      <c r="AL117" s="360"/>
      <c r="AM117" s="360"/>
      <c r="AN117" s="360"/>
      <c r="AO117" s="360"/>
      <c r="AP117" s="360"/>
      <c r="AQ117" s="360"/>
      <c r="AR117" s="360"/>
      <c r="AS117" s="360"/>
      <c r="AT117" s="360"/>
      <c r="AV117" s="542"/>
      <c r="AW117" s="551"/>
      <c r="AX117" s="551"/>
      <c r="AY117" s="9"/>
      <c r="AZ117" s="48"/>
      <c r="BA117" s="360"/>
      <c r="BB117" s="360"/>
      <c r="BC117" s="360"/>
      <c r="BD117" s="360"/>
      <c r="BE117" s="360"/>
    </row>
    <row r="118" spans="8:57" x14ac:dyDescent="0.2">
      <c r="H118" s="548"/>
      <c r="I118" s="4"/>
      <c r="K118" s="4"/>
      <c r="L118" s="4"/>
      <c r="R118" s="360"/>
      <c r="S118" s="360"/>
      <c r="T118" s="360"/>
      <c r="U118" s="360"/>
      <c r="W118" s="360"/>
      <c r="X118" s="360"/>
      <c r="Y118" s="360"/>
      <c r="Z118" s="360"/>
      <c r="AA118" s="541"/>
      <c r="AB118" s="360"/>
      <c r="AC118" s="360"/>
      <c r="AD118" s="360"/>
      <c r="AE118" s="360"/>
      <c r="AG118" s="360"/>
      <c r="AH118" s="360"/>
      <c r="AI118" s="360"/>
      <c r="AJ118" s="360"/>
      <c r="AK118" s="360"/>
      <c r="AL118" s="360"/>
      <c r="AM118" s="360"/>
      <c r="AN118" s="360"/>
      <c r="AO118" s="360"/>
      <c r="AP118" s="360"/>
      <c r="AQ118" s="360"/>
      <c r="AR118" s="360"/>
      <c r="AS118" s="360"/>
      <c r="AT118" s="360"/>
      <c r="AV118" s="542"/>
      <c r="AW118" s="551"/>
      <c r="AX118" s="551"/>
      <c r="AY118" s="9"/>
      <c r="AZ118" s="48"/>
      <c r="BA118" s="360"/>
      <c r="BB118" s="360"/>
      <c r="BC118" s="360"/>
      <c r="BD118" s="360"/>
      <c r="BE118" s="360"/>
    </row>
    <row r="119" spans="8:57" x14ac:dyDescent="0.2">
      <c r="H119" s="548"/>
      <c r="I119" s="4"/>
      <c r="K119" s="4"/>
      <c r="L119" s="4"/>
      <c r="R119" s="360"/>
      <c r="S119" s="360"/>
      <c r="T119" s="360"/>
      <c r="U119" s="360"/>
      <c r="W119" s="360"/>
      <c r="X119" s="360"/>
      <c r="Y119" s="360"/>
      <c r="Z119" s="360"/>
      <c r="AA119" s="541"/>
      <c r="AB119" s="360"/>
      <c r="AC119" s="360"/>
      <c r="AD119" s="360"/>
      <c r="AE119" s="360"/>
      <c r="AG119" s="360"/>
      <c r="AH119" s="360"/>
      <c r="AI119" s="360"/>
      <c r="AJ119" s="360"/>
      <c r="AK119" s="360"/>
      <c r="AL119" s="360"/>
      <c r="AM119" s="360"/>
      <c r="AN119" s="360"/>
      <c r="AO119" s="360"/>
      <c r="AP119" s="360"/>
      <c r="AQ119" s="360"/>
      <c r="AR119" s="360"/>
      <c r="AS119" s="360"/>
      <c r="AT119" s="360"/>
      <c r="AV119" s="542"/>
      <c r="AW119" s="551"/>
      <c r="AX119" s="551"/>
      <c r="AY119" s="9"/>
      <c r="AZ119" s="48"/>
      <c r="BA119" s="360"/>
      <c r="BB119" s="360"/>
      <c r="BC119" s="360"/>
      <c r="BD119" s="360"/>
      <c r="BE119" s="360"/>
    </row>
    <row r="120" spans="8:57" x14ac:dyDescent="0.2">
      <c r="H120" s="548"/>
      <c r="I120" s="4"/>
      <c r="K120" s="4"/>
      <c r="L120" s="4"/>
      <c r="R120" s="360"/>
      <c r="S120" s="360"/>
      <c r="T120" s="360"/>
      <c r="U120" s="360"/>
      <c r="W120" s="360"/>
      <c r="X120" s="360"/>
      <c r="Y120" s="360"/>
      <c r="Z120" s="360"/>
      <c r="AA120" s="541"/>
      <c r="AB120" s="360"/>
      <c r="AC120" s="360"/>
      <c r="AD120" s="360"/>
      <c r="AE120" s="360"/>
      <c r="AG120" s="360"/>
      <c r="AH120" s="360"/>
      <c r="AI120" s="360"/>
      <c r="AJ120" s="360"/>
      <c r="AK120" s="360"/>
      <c r="AL120" s="360"/>
      <c r="AM120" s="360"/>
      <c r="AN120" s="360"/>
      <c r="AO120" s="360"/>
      <c r="AP120" s="360"/>
      <c r="AQ120" s="360"/>
      <c r="AR120" s="360"/>
      <c r="AS120" s="360"/>
      <c r="AT120" s="360"/>
      <c r="AV120" s="542"/>
      <c r="AW120" s="551"/>
      <c r="AX120" s="551"/>
      <c r="AY120" s="9"/>
      <c r="AZ120" s="48"/>
      <c r="BA120" s="360"/>
      <c r="BB120" s="360"/>
      <c r="BC120" s="360"/>
      <c r="BD120" s="360"/>
      <c r="BE120" s="360"/>
    </row>
    <row r="121" spans="8:57" x14ac:dyDescent="0.2">
      <c r="H121" s="548"/>
      <c r="I121" s="4"/>
      <c r="K121" s="4"/>
      <c r="L121" s="4"/>
      <c r="R121" s="360"/>
      <c r="S121" s="360"/>
      <c r="T121" s="360"/>
      <c r="U121" s="360"/>
      <c r="W121" s="360"/>
      <c r="X121" s="360"/>
      <c r="Y121" s="360"/>
      <c r="Z121" s="360"/>
      <c r="AA121" s="541"/>
      <c r="AB121" s="360"/>
      <c r="AC121" s="360"/>
      <c r="AD121" s="360"/>
      <c r="AE121" s="360"/>
      <c r="AG121" s="360"/>
      <c r="AH121" s="360"/>
      <c r="AI121" s="360"/>
      <c r="AJ121" s="360"/>
      <c r="AK121" s="360"/>
      <c r="AL121" s="360"/>
      <c r="AM121" s="360"/>
      <c r="AN121" s="360"/>
      <c r="AO121" s="360"/>
      <c r="AP121" s="360"/>
      <c r="AQ121" s="360"/>
      <c r="AR121" s="360"/>
      <c r="AS121" s="360"/>
      <c r="AT121" s="360"/>
      <c r="AV121" s="542"/>
      <c r="AW121" s="551"/>
      <c r="AX121" s="551"/>
      <c r="AY121" s="9"/>
      <c r="AZ121" s="48"/>
      <c r="BA121" s="360"/>
      <c r="BB121" s="360"/>
      <c r="BC121" s="360"/>
      <c r="BD121" s="360"/>
      <c r="BE121" s="360"/>
    </row>
    <row r="122" spans="8:57" x14ac:dyDescent="0.2">
      <c r="H122" s="548"/>
      <c r="I122" s="4"/>
      <c r="K122" s="4"/>
      <c r="L122" s="4"/>
      <c r="R122" s="360"/>
      <c r="S122" s="360"/>
      <c r="T122" s="360"/>
      <c r="U122" s="360"/>
      <c r="W122" s="360"/>
      <c r="X122" s="360"/>
      <c r="Y122" s="360"/>
      <c r="Z122" s="360"/>
      <c r="AA122" s="541"/>
      <c r="AB122" s="360"/>
      <c r="AC122" s="360"/>
      <c r="AD122" s="360"/>
      <c r="AE122" s="360"/>
      <c r="AG122" s="360"/>
      <c r="AH122" s="360"/>
      <c r="AI122" s="360"/>
      <c r="AJ122" s="360"/>
      <c r="AK122" s="360"/>
      <c r="AL122" s="360"/>
      <c r="AM122" s="360"/>
      <c r="AN122" s="360"/>
      <c r="AO122" s="360"/>
      <c r="AP122" s="360"/>
      <c r="AQ122" s="360"/>
      <c r="AR122" s="360"/>
      <c r="AS122" s="360"/>
      <c r="AT122" s="360"/>
      <c r="AV122" s="542"/>
      <c r="AW122" s="551"/>
      <c r="AX122" s="551"/>
      <c r="AY122" s="9"/>
      <c r="AZ122" s="48"/>
      <c r="BA122" s="360"/>
      <c r="BB122" s="360"/>
      <c r="BC122" s="360"/>
      <c r="BD122" s="360"/>
      <c r="BE122" s="360"/>
    </row>
    <row r="123" spans="8:57" x14ac:dyDescent="0.2">
      <c r="H123" s="548"/>
      <c r="I123" s="4"/>
      <c r="K123" s="4"/>
      <c r="L123" s="4"/>
      <c r="R123" s="360"/>
      <c r="S123" s="360"/>
      <c r="T123" s="360"/>
      <c r="U123" s="360"/>
      <c r="W123" s="360"/>
      <c r="X123" s="360"/>
      <c r="Y123" s="360"/>
      <c r="Z123" s="360"/>
      <c r="AA123" s="541"/>
      <c r="AB123" s="360"/>
      <c r="AC123" s="360"/>
      <c r="AD123" s="360"/>
      <c r="AE123" s="360"/>
      <c r="AG123" s="360"/>
      <c r="AH123" s="360"/>
      <c r="AI123" s="360"/>
      <c r="AJ123" s="360"/>
      <c r="AK123" s="360"/>
      <c r="AL123" s="360"/>
      <c r="AM123" s="360"/>
      <c r="AN123" s="360"/>
      <c r="AO123" s="360"/>
      <c r="AP123" s="360"/>
      <c r="AQ123" s="360"/>
      <c r="AR123" s="360"/>
      <c r="AS123" s="360"/>
      <c r="AT123" s="360"/>
      <c r="AV123" s="542"/>
      <c r="AW123" s="551"/>
      <c r="AX123" s="551"/>
      <c r="AY123" s="9"/>
      <c r="AZ123" s="48"/>
      <c r="BA123" s="360"/>
      <c r="BB123" s="360"/>
      <c r="BC123" s="360"/>
      <c r="BD123" s="360"/>
      <c r="BE123" s="360"/>
    </row>
    <row r="124" spans="8:57" x14ac:dyDescent="0.2">
      <c r="H124" s="548"/>
      <c r="I124" s="4"/>
      <c r="K124" s="4"/>
      <c r="L124" s="4"/>
      <c r="R124" s="360"/>
      <c r="S124" s="360"/>
      <c r="T124" s="360"/>
      <c r="U124" s="360"/>
      <c r="W124" s="360"/>
      <c r="X124" s="360"/>
      <c r="Y124" s="360"/>
      <c r="Z124" s="360"/>
      <c r="AA124" s="541"/>
      <c r="AB124" s="360"/>
      <c r="AC124" s="360"/>
      <c r="AD124" s="360"/>
      <c r="AE124" s="360"/>
      <c r="AG124" s="360"/>
      <c r="AH124" s="360"/>
      <c r="AI124" s="360"/>
      <c r="AJ124" s="360"/>
      <c r="AK124" s="360"/>
      <c r="AL124" s="360"/>
      <c r="AM124" s="360"/>
      <c r="AN124" s="360"/>
      <c r="AO124" s="360"/>
      <c r="AP124" s="360"/>
      <c r="AQ124" s="360"/>
      <c r="AR124" s="360"/>
      <c r="AS124" s="360"/>
      <c r="AT124" s="360"/>
      <c r="AV124" s="542"/>
      <c r="AW124" s="551"/>
      <c r="AX124" s="551"/>
      <c r="AY124" s="9"/>
      <c r="AZ124" s="48"/>
      <c r="BA124" s="360"/>
      <c r="BB124" s="360"/>
      <c r="BC124" s="360"/>
      <c r="BD124" s="360"/>
      <c r="BE124" s="360"/>
    </row>
    <row r="125" spans="8:57" x14ac:dyDescent="0.2">
      <c r="H125" s="548"/>
      <c r="I125" s="4"/>
      <c r="K125" s="4"/>
      <c r="L125" s="4"/>
      <c r="R125" s="360"/>
      <c r="S125" s="360"/>
      <c r="T125" s="360"/>
      <c r="U125" s="360"/>
      <c r="W125" s="360"/>
      <c r="X125" s="360"/>
      <c r="Y125" s="360"/>
      <c r="Z125" s="360"/>
      <c r="AA125" s="541"/>
      <c r="AB125" s="360"/>
      <c r="AC125" s="360"/>
      <c r="AD125" s="360"/>
      <c r="AE125" s="360"/>
      <c r="AG125" s="360"/>
      <c r="AH125" s="360"/>
      <c r="AI125" s="360"/>
      <c r="AJ125" s="360"/>
      <c r="AK125" s="360"/>
      <c r="AL125" s="360"/>
      <c r="AM125" s="360"/>
      <c r="AN125" s="360"/>
      <c r="AO125" s="360"/>
      <c r="AP125" s="360"/>
      <c r="AQ125" s="360"/>
      <c r="AR125" s="360"/>
      <c r="AS125" s="360"/>
      <c r="AT125" s="360"/>
      <c r="AV125" s="542"/>
      <c r="AW125" s="551"/>
      <c r="AX125" s="551"/>
      <c r="AY125" s="9"/>
      <c r="AZ125" s="48"/>
      <c r="BA125" s="360"/>
      <c r="BB125" s="360"/>
      <c r="BC125" s="360"/>
      <c r="BD125" s="360"/>
      <c r="BE125" s="360"/>
    </row>
    <row r="126" spans="8:57" x14ac:dyDescent="0.2">
      <c r="H126" s="548"/>
      <c r="I126" s="4"/>
      <c r="K126" s="4"/>
      <c r="L126" s="4"/>
      <c r="R126" s="360"/>
      <c r="S126" s="360"/>
      <c r="T126" s="360"/>
      <c r="U126" s="360"/>
      <c r="W126" s="360"/>
      <c r="X126" s="360"/>
      <c r="Y126" s="360"/>
      <c r="Z126" s="360"/>
      <c r="AA126" s="541"/>
      <c r="AB126" s="360"/>
      <c r="AC126" s="360"/>
      <c r="AD126" s="360"/>
      <c r="AE126" s="360"/>
      <c r="AG126" s="360"/>
      <c r="AH126" s="360"/>
      <c r="AI126" s="360"/>
      <c r="AJ126" s="360"/>
      <c r="AK126" s="360"/>
      <c r="AL126" s="360"/>
      <c r="AM126" s="360"/>
      <c r="AN126" s="360"/>
      <c r="AO126" s="360"/>
      <c r="AP126" s="360"/>
      <c r="AQ126" s="360"/>
      <c r="AR126" s="360"/>
      <c r="AS126" s="360"/>
      <c r="AT126" s="360"/>
      <c r="AV126" s="542"/>
      <c r="AW126" s="551"/>
      <c r="AX126" s="551"/>
      <c r="AY126" s="9"/>
      <c r="AZ126" s="48"/>
      <c r="BA126" s="360"/>
      <c r="BB126" s="360"/>
      <c r="BC126" s="360"/>
      <c r="BD126" s="360"/>
      <c r="BE126" s="360"/>
    </row>
    <row r="127" spans="8:57" x14ac:dyDescent="0.2">
      <c r="H127" s="548"/>
      <c r="I127" s="4"/>
      <c r="K127" s="4"/>
      <c r="L127" s="4"/>
      <c r="R127" s="360"/>
      <c r="S127" s="360"/>
      <c r="T127" s="360"/>
      <c r="U127" s="360"/>
      <c r="W127" s="360"/>
      <c r="X127" s="360"/>
      <c r="Y127" s="360"/>
      <c r="Z127" s="360"/>
      <c r="AA127" s="541"/>
      <c r="AB127" s="360"/>
      <c r="AC127" s="360"/>
      <c r="AD127" s="360"/>
      <c r="AE127" s="360"/>
      <c r="AG127" s="360"/>
      <c r="AH127" s="360"/>
      <c r="AI127" s="360"/>
      <c r="AJ127" s="360"/>
      <c r="AK127" s="360"/>
      <c r="AL127" s="360"/>
      <c r="AM127" s="360"/>
      <c r="AN127" s="360"/>
      <c r="AO127" s="360"/>
      <c r="AP127" s="360"/>
      <c r="AQ127" s="360"/>
      <c r="AR127" s="360"/>
      <c r="AS127" s="360"/>
      <c r="AT127" s="360"/>
      <c r="AV127" s="542"/>
      <c r="AW127" s="551"/>
      <c r="AX127" s="551"/>
      <c r="AY127" s="9"/>
      <c r="AZ127" s="48"/>
      <c r="BA127" s="360"/>
      <c r="BB127" s="360"/>
      <c r="BC127" s="360"/>
      <c r="BD127" s="360"/>
      <c r="BE127" s="360"/>
    </row>
    <row r="128" spans="8:57" x14ac:dyDescent="0.2">
      <c r="H128" s="548"/>
      <c r="I128" s="4"/>
      <c r="K128" s="4"/>
      <c r="L128" s="4"/>
      <c r="R128" s="360"/>
      <c r="S128" s="360"/>
      <c r="T128" s="360"/>
      <c r="U128" s="360"/>
      <c r="W128" s="360"/>
      <c r="X128" s="360"/>
      <c r="Y128" s="360"/>
      <c r="Z128" s="360"/>
      <c r="AA128" s="541"/>
      <c r="AB128" s="360"/>
      <c r="AC128" s="360"/>
      <c r="AD128" s="360"/>
      <c r="AE128" s="360"/>
      <c r="AG128" s="360"/>
      <c r="AH128" s="360"/>
      <c r="AI128" s="360"/>
      <c r="AJ128" s="360"/>
      <c r="AK128" s="360"/>
      <c r="AL128" s="360"/>
      <c r="AM128" s="360"/>
      <c r="AN128" s="360"/>
      <c r="AO128" s="360"/>
      <c r="AP128" s="360"/>
      <c r="AQ128" s="360"/>
      <c r="AR128" s="360"/>
      <c r="AS128" s="360"/>
      <c r="AT128" s="360"/>
      <c r="AV128" s="542"/>
      <c r="AW128" s="551"/>
      <c r="AX128" s="551"/>
      <c r="AY128" s="9"/>
      <c r="AZ128" s="48"/>
      <c r="BA128" s="360"/>
      <c r="BB128" s="360"/>
      <c r="BC128" s="360"/>
      <c r="BD128" s="360"/>
      <c r="BE128" s="360"/>
    </row>
    <row r="129" spans="8:57" x14ac:dyDescent="0.2">
      <c r="H129" s="548"/>
      <c r="I129" s="4"/>
      <c r="K129" s="4"/>
      <c r="L129" s="4"/>
      <c r="R129" s="360"/>
      <c r="S129" s="360"/>
      <c r="T129" s="360"/>
      <c r="U129" s="360"/>
      <c r="W129" s="360"/>
      <c r="X129" s="360"/>
      <c r="Y129" s="360"/>
      <c r="Z129" s="360"/>
      <c r="AA129" s="541"/>
      <c r="AB129" s="360"/>
      <c r="AC129" s="360"/>
      <c r="AD129" s="360"/>
      <c r="AE129" s="360"/>
      <c r="AG129" s="360"/>
      <c r="AH129" s="360"/>
      <c r="AI129" s="360"/>
      <c r="AJ129" s="360"/>
      <c r="AK129" s="360"/>
      <c r="AL129" s="360"/>
      <c r="AM129" s="360"/>
      <c r="AN129" s="360"/>
      <c r="AO129" s="360"/>
      <c r="AP129" s="360"/>
      <c r="AQ129" s="360"/>
      <c r="AR129" s="360"/>
      <c r="AS129" s="360"/>
      <c r="AT129" s="360"/>
      <c r="AV129" s="542"/>
      <c r="AW129" s="551"/>
      <c r="AX129" s="551"/>
      <c r="AY129" s="9"/>
      <c r="AZ129" s="48"/>
      <c r="BA129" s="360"/>
      <c r="BB129" s="360"/>
      <c r="BC129" s="360"/>
      <c r="BD129" s="360"/>
      <c r="BE129" s="360"/>
    </row>
    <row r="130" spans="8:57" x14ac:dyDescent="0.2">
      <c r="H130" s="548"/>
      <c r="I130" s="4"/>
      <c r="K130" s="4"/>
      <c r="L130" s="4"/>
      <c r="R130" s="360"/>
      <c r="S130" s="360"/>
      <c r="T130" s="360"/>
      <c r="U130" s="360"/>
      <c r="W130" s="360"/>
      <c r="X130" s="360"/>
      <c r="Y130" s="360"/>
      <c r="Z130" s="360"/>
      <c r="AA130" s="541"/>
      <c r="AB130" s="360"/>
      <c r="AC130" s="360"/>
      <c r="AD130" s="360"/>
      <c r="AE130" s="360"/>
      <c r="AG130" s="360"/>
      <c r="AH130" s="360"/>
      <c r="AI130" s="360"/>
      <c r="AJ130" s="360"/>
      <c r="AK130" s="360"/>
      <c r="AL130" s="360"/>
      <c r="AM130" s="360"/>
      <c r="AN130" s="360"/>
      <c r="AO130" s="360"/>
      <c r="AP130" s="360"/>
      <c r="AQ130" s="360"/>
      <c r="AR130" s="360"/>
      <c r="AS130" s="360"/>
      <c r="AT130" s="360"/>
      <c r="AV130" s="542"/>
      <c r="AW130" s="551"/>
      <c r="AX130" s="551"/>
      <c r="AY130" s="9"/>
      <c r="AZ130" s="48"/>
      <c r="BA130" s="360"/>
      <c r="BB130" s="360"/>
      <c r="BC130" s="360"/>
      <c r="BD130" s="360"/>
      <c r="BE130" s="360"/>
    </row>
    <row r="131" spans="8:57" x14ac:dyDescent="0.2">
      <c r="H131" s="548"/>
      <c r="I131" s="4"/>
      <c r="K131" s="4"/>
      <c r="L131" s="4"/>
      <c r="R131" s="360"/>
      <c r="S131" s="360"/>
      <c r="T131" s="360"/>
      <c r="U131" s="360"/>
      <c r="W131" s="360"/>
      <c r="X131" s="360"/>
      <c r="Y131" s="360"/>
      <c r="Z131" s="360"/>
      <c r="AA131" s="541"/>
      <c r="AB131" s="360"/>
      <c r="AC131" s="360"/>
      <c r="AD131" s="360"/>
      <c r="AE131" s="360"/>
      <c r="AG131" s="360"/>
      <c r="AH131" s="360"/>
      <c r="AI131" s="360"/>
      <c r="AJ131" s="360"/>
      <c r="AK131" s="360"/>
      <c r="AL131" s="360"/>
      <c r="AM131" s="360"/>
      <c r="AN131" s="360"/>
      <c r="AO131" s="360"/>
      <c r="AP131" s="360"/>
      <c r="AQ131" s="360"/>
      <c r="AR131" s="360"/>
      <c r="AS131" s="360"/>
      <c r="AT131" s="360"/>
      <c r="AV131" s="542"/>
      <c r="AW131" s="551"/>
      <c r="AX131" s="551"/>
      <c r="AY131" s="9"/>
      <c r="AZ131" s="48"/>
      <c r="BA131" s="360"/>
      <c r="BB131" s="360"/>
      <c r="BC131" s="360"/>
      <c r="BD131" s="360"/>
      <c r="BE131" s="360"/>
    </row>
    <row r="132" spans="8:57" x14ac:dyDescent="0.2">
      <c r="H132" s="548"/>
      <c r="I132" s="4"/>
      <c r="K132" s="4"/>
      <c r="L132" s="4"/>
      <c r="R132" s="360"/>
      <c r="S132" s="360"/>
      <c r="T132" s="360"/>
      <c r="U132" s="360"/>
      <c r="W132" s="360"/>
      <c r="X132" s="360"/>
      <c r="Y132" s="360"/>
      <c r="Z132" s="360"/>
      <c r="AA132" s="541"/>
      <c r="AB132" s="360"/>
      <c r="AC132" s="360"/>
      <c r="AD132" s="360"/>
      <c r="AE132" s="360"/>
      <c r="AG132" s="360"/>
      <c r="AH132" s="360"/>
      <c r="AI132" s="360"/>
      <c r="AJ132" s="360"/>
      <c r="AK132" s="360"/>
      <c r="AL132" s="360"/>
      <c r="AM132" s="360"/>
      <c r="AN132" s="360"/>
      <c r="AO132" s="360"/>
      <c r="AP132" s="360"/>
      <c r="AQ132" s="360"/>
      <c r="AR132" s="360"/>
      <c r="AS132" s="360"/>
      <c r="AT132" s="360"/>
      <c r="AV132" s="542"/>
      <c r="AW132" s="551"/>
      <c r="AX132" s="551"/>
      <c r="AY132" s="9"/>
      <c r="AZ132" s="48"/>
      <c r="BA132" s="360"/>
      <c r="BB132" s="360"/>
      <c r="BC132" s="360"/>
      <c r="BD132" s="360"/>
      <c r="BE132" s="360"/>
    </row>
    <row r="133" spans="8:57" x14ac:dyDescent="0.2">
      <c r="H133" s="548"/>
      <c r="I133" s="4"/>
      <c r="K133" s="4"/>
      <c r="L133" s="4"/>
      <c r="R133" s="360"/>
      <c r="S133" s="360"/>
      <c r="T133" s="360"/>
      <c r="U133" s="360"/>
      <c r="W133" s="360"/>
      <c r="X133" s="360"/>
      <c r="Y133" s="360"/>
      <c r="Z133" s="360"/>
      <c r="AA133" s="541"/>
      <c r="AB133" s="360"/>
      <c r="AC133" s="360"/>
      <c r="AD133" s="360"/>
      <c r="AE133" s="360"/>
      <c r="AG133" s="360"/>
      <c r="AH133" s="360"/>
      <c r="AI133" s="360"/>
      <c r="AJ133" s="360"/>
      <c r="AK133" s="360"/>
      <c r="AL133" s="360"/>
      <c r="AM133" s="360"/>
      <c r="AN133" s="360"/>
      <c r="AO133" s="360"/>
      <c r="AP133" s="360"/>
      <c r="AQ133" s="360"/>
      <c r="AR133" s="360"/>
      <c r="AS133" s="360"/>
      <c r="AT133" s="360"/>
      <c r="AV133" s="542"/>
      <c r="AW133" s="551"/>
      <c r="AX133" s="551"/>
      <c r="AY133" s="9"/>
      <c r="AZ133" s="48"/>
      <c r="BA133" s="360"/>
      <c r="BB133" s="360"/>
      <c r="BC133" s="360"/>
      <c r="BD133" s="360"/>
      <c r="BE133" s="360"/>
    </row>
    <row r="134" spans="8:57" x14ac:dyDescent="0.2">
      <c r="H134" s="548"/>
      <c r="I134" s="4"/>
      <c r="K134" s="4"/>
      <c r="L134" s="4"/>
      <c r="R134" s="360"/>
      <c r="S134" s="360"/>
      <c r="T134" s="360"/>
      <c r="U134" s="360"/>
      <c r="W134" s="360"/>
      <c r="X134" s="360"/>
      <c r="Y134" s="360"/>
      <c r="Z134" s="360"/>
      <c r="AA134" s="541"/>
      <c r="AB134" s="360"/>
      <c r="AC134" s="360"/>
      <c r="AD134" s="360"/>
      <c r="AE134" s="360"/>
      <c r="AG134" s="360"/>
      <c r="AH134" s="360"/>
      <c r="AI134" s="360"/>
      <c r="AJ134" s="360"/>
      <c r="AK134" s="360"/>
      <c r="AL134" s="360"/>
      <c r="AM134" s="360"/>
      <c r="AN134" s="360"/>
      <c r="AO134" s="360"/>
      <c r="AP134" s="360"/>
      <c r="AQ134" s="360"/>
      <c r="AR134" s="360"/>
      <c r="AS134" s="360"/>
      <c r="AT134" s="360"/>
      <c r="AV134" s="542"/>
      <c r="AW134" s="551"/>
      <c r="AX134" s="551"/>
      <c r="AY134" s="9"/>
      <c r="AZ134" s="48"/>
      <c r="BA134" s="360"/>
      <c r="BB134" s="360"/>
      <c r="BC134" s="360"/>
      <c r="BD134" s="360"/>
      <c r="BE134" s="360"/>
    </row>
    <row r="135" spans="8:57" x14ac:dyDescent="0.2">
      <c r="H135" s="548"/>
      <c r="I135" s="4"/>
      <c r="K135" s="4"/>
      <c r="L135" s="4"/>
      <c r="R135" s="360"/>
      <c r="S135" s="360"/>
      <c r="T135" s="360"/>
      <c r="U135" s="360"/>
      <c r="W135" s="360"/>
      <c r="X135" s="360"/>
      <c r="Y135" s="360"/>
      <c r="Z135" s="360"/>
      <c r="AA135" s="541"/>
      <c r="AB135" s="360"/>
      <c r="AC135" s="360"/>
      <c r="AD135" s="360"/>
      <c r="AE135" s="360"/>
      <c r="AG135" s="360"/>
      <c r="AH135" s="360"/>
      <c r="AI135" s="360"/>
      <c r="AJ135" s="360"/>
      <c r="AK135" s="360"/>
      <c r="AL135" s="360"/>
      <c r="AM135" s="360"/>
      <c r="AN135" s="360"/>
      <c r="AO135" s="360"/>
      <c r="AP135" s="360"/>
      <c r="AQ135" s="360"/>
      <c r="AR135" s="360"/>
      <c r="AS135" s="360"/>
      <c r="AT135" s="360"/>
      <c r="AV135" s="542"/>
      <c r="AW135" s="551"/>
      <c r="AX135" s="551"/>
      <c r="AY135" s="9"/>
      <c r="AZ135" s="48"/>
      <c r="BA135" s="360"/>
      <c r="BB135" s="360"/>
      <c r="BC135" s="360"/>
      <c r="BD135" s="360"/>
      <c r="BE135" s="360"/>
    </row>
    <row r="136" spans="8:57" x14ac:dyDescent="0.2">
      <c r="H136" s="548"/>
      <c r="I136" s="4"/>
      <c r="K136" s="4"/>
      <c r="L136" s="4"/>
      <c r="R136" s="360"/>
      <c r="S136" s="360"/>
      <c r="T136" s="360"/>
      <c r="U136" s="360"/>
      <c r="W136" s="360"/>
      <c r="X136" s="360"/>
      <c r="Y136" s="360"/>
      <c r="Z136" s="360"/>
      <c r="AA136" s="541"/>
      <c r="AB136" s="360"/>
      <c r="AC136" s="360"/>
      <c r="AD136" s="360"/>
      <c r="AE136" s="360"/>
      <c r="AG136" s="360"/>
      <c r="AH136" s="360"/>
      <c r="AI136" s="360"/>
      <c r="AJ136" s="360"/>
      <c r="AK136" s="360"/>
      <c r="AL136" s="360"/>
      <c r="AM136" s="360"/>
      <c r="AN136" s="360"/>
      <c r="AO136" s="360"/>
      <c r="AP136" s="360"/>
      <c r="AQ136" s="360"/>
      <c r="AR136" s="360"/>
      <c r="AS136" s="360"/>
      <c r="AT136" s="360"/>
      <c r="AV136" s="542"/>
      <c r="AW136" s="551"/>
      <c r="AX136" s="551"/>
      <c r="AY136" s="9"/>
      <c r="AZ136" s="48"/>
      <c r="BA136" s="360"/>
      <c r="BB136" s="360"/>
      <c r="BC136" s="360"/>
      <c r="BD136" s="360"/>
      <c r="BE136" s="360"/>
    </row>
    <row r="137" spans="8:57" x14ac:dyDescent="0.2">
      <c r="H137" s="548"/>
      <c r="I137" s="4"/>
      <c r="K137" s="4"/>
      <c r="L137" s="4"/>
      <c r="R137" s="360"/>
      <c r="S137" s="360"/>
      <c r="T137" s="360"/>
      <c r="U137" s="360"/>
      <c r="W137" s="360"/>
      <c r="X137" s="360"/>
      <c r="Y137" s="360"/>
      <c r="Z137" s="360"/>
      <c r="AA137" s="541"/>
      <c r="AB137" s="360"/>
      <c r="AC137" s="360"/>
      <c r="AD137" s="360"/>
      <c r="AE137" s="360"/>
      <c r="AG137" s="360"/>
      <c r="AH137" s="360"/>
      <c r="AI137" s="360"/>
      <c r="AJ137" s="360"/>
      <c r="AK137" s="360"/>
      <c r="AL137" s="360"/>
      <c r="AM137" s="360"/>
      <c r="AN137" s="360"/>
      <c r="AO137" s="360"/>
      <c r="AP137" s="360"/>
      <c r="AQ137" s="360"/>
      <c r="AR137" s="360"/>
      <c r="AS137" s="360"/>
      <c r="AT137" s="360"/>
      <c r="AV137" s="542"/>
      <c r="AW137" s="551"/>
      <c r="AX137" s="551"/>
      <c r="AY137" s="9"/>
      <c r="AZ137" s="48"/>
      <c r="BA137" s="360"/>
      <c r="BB137" s="360"/>
      <c r="BC137" s="360"/>
      <c r="BD137" s="360"/>
      <c r="BE137" s="360"/>
    </row>
    <row r="138" spans="8:57" x14ac:dyDescent="0.2">
      <c r="H138" s="548"/>
      <c r="I138" s="4"/>
      <c r="K138" s="4"/>
      <c r="L138" s="4"/>
      <c r="R138" s="360"/>
      <c r="S138" s="360"/>
      <c r="T138" s="360"/>
      <c r="U138" s="360"/>
      <c r="W138" s="360"/>
      <c r="X138" s="360"/>
      <c r="Y138" s="360"/>
      <c r="Z138" s="360"/>
      <c r="AA138" s="541"/>
      <c r="AB138" s="360"/>
      <c r="AC138" s="360"/>
      <c r="AD138" s="360"/>
      <c r="AE138" s="360"/>
      <c r="AG138" s="360"/>
      <c r="AH138" s="360"/>
      <c r="AI138" s="360"/>
      <c r="AJ138" s="360"/>
      <c r="AK138" s="360"/>
      <c r="AL138" s="360"/>
      <c r="AM138" s="360"/>
      <c r="AN138" s="360"/>
      <c r="AO138" s="360"/>
      <c r="AP138" s="360"/>
      <c r="AQ138" s="360"/>
      <c r="AR138" s="360"/>
      <c r="AS138" s="360"/>
      <c r="AT138" s="360"/>
      <c r="AV138" s="542"/>
      <c r="AW138" s="551"/>
      <c r="AX138" s="551"/>
      <c r="AY138" s="9"/>
      <c r="AZ138" s="48"/>
      <c r="BA138" s="360"/>
      <c r="BB138" s="360"/>
      <c r="BC138" s="360"/>
      <c r="BD138" s="360"/>
      <c r="BE138" s="360"/>
    </row>
    <row r="139" spans="8:57" x14ac:dyDescent="0.2">
      <c r="H139" s="548"/>
      <c r="I139" s="4"/>
      <c r="K139" s="4"/>
      <c r="L139" s="4"/>
      <c r="R139" s="360"/>
      <c r="S139" s="360"/>
      <c r="T139" s="360"/>
      <c r="U139" s="360"/>
      <c r="W139" s="360"/>
      <c r="X139" s="360"/>
      <c r="Y139" s="360"/>
      <c r="Z139" s="360"/>
      <c r="AA139" s="541"/>
      <c r="AB139" s="360"/>
      <c r="AC139" s="360"/>
      <c r="AD139" s="360"/>
      <c r="AE139" s="360"/>
      <c r="AG139" s="360"/>
      <c r="AH139" s="360"/>
      <c r="AI139" s="360"/>
      <c r="AJ139" s="360"/>
      <c r="AK139" s="360"/>
      <c r="AL139" s="360"/>
      <c r="AM139" s="360"/>
      <c r="AN139" s="360"/>
      <c r="AO139" s="360"/>
      <c r="AP139" s="360"/>
      <c r="AQ139" s="360"/>
      <c r="AR139" s="360"/>
      <c r="AS139" s="360"/>
      <c r="AT139" s="360"/>
      <c r="AV139" s="542"/>
      <c r="AW139" s="551"/>
      <c r="AX139" s="551"/>
      <c r="AY139" s="9"/>
      <c r="AZ139" s="48"/>
      <c r="BA139" s="360"/>
      <c r="BB139" s="360"/>
      <c r="BC139" s="360"/>
      <c r="BD139" s="360"/>
      <c r="BE139" s="360"/>
    </row>
    <row r="140" spans="8:57" x14ac:dyDescent="0.2">
      <c r="H140" s="548"/>
      <c r="I140" s="4"/>
      <c r="K140" s="4"/>
      <c r="L140" s="4"/>
      <c r="R140" s="360"/>
      <c r="S140" s="360"/>
      <c r="T140" s="360"/>
      <c r="U140" s="360"/>
      <c r="W140" s="360"/>
      <c r="X140" s="360"/>
      <c r="Y140" s="360"/>
      <c r="Z140" s="360"/>
      <c r="AA140" s="541"/>
      <c r="AB140" s="360"/>
      <c r="AC140" s="360"/>
      <c r="AD140" s="360"/>
      <c r="AE140" s="360"/>
      <c r="AG140" s="360"/>
      <c r="AH140" s="360"/>
      <c r="AI140" s="360"/>
      <c r="AJ140" s="360"/>
      <c r="AK140" s="360"/>
      <c r="AL140" s="360"/>
      <c r="AM140" s="360"/>
      <c r="AN140" s="360"/>
      <c r="AO140" s="360"/>
      <c r="AP140" s="360"/>
      <c r="AQ140" s="360"/>
      <c r="AR140" s="360"/>
      <c r="AS140" s="360"/>
      <c r="AT140" s="360"/>
      <c r="AV140" s="542"/>
      <c r="AW140" s="551"/>
      <c r="AX140" s="551"/>
      <c r="AY140" s="9"/>
      <c r="AZ140" s="48"/>
      <c r="BA140" s="360"/>
      <c r="BB140" s="360"/>
      <c r="BC140" s="360"/>
      <c r="BD140" s="360"/>
      <c r="BE140" s="360"/>
    </row>
    <row r="141" spans="8:57" x14ac:dyDescent="0.2">
      <c r="H141" s="548"/>
      <c r="I141" s="4"/>
      <c r="K141" s="4"/>
      <c r="L141" s="4"/>
      <c r="R141" s="360"/>
      <c r="S141" s="360"/>
      <c r="T141" s="360"/>
      <c r="U141" s="360"/>
      <c r="W141" s="360"/>
      <c r="X141" s="360"/>
      <c r="Y141" s="360"/>
      <c r="Z141" s="360"/>
      <c r="AA141" s="541"/>
      <c r="AB141" s="360"/>
      <c r="AC141" s="360"/>
      <c r="AD141" s="360"/>
      <c r="AE141" s="360"/>
      <c r="AG141" s="360"/>
      <c r="AH141" s="360"/>
      <c r="AI141" s="360"/>
      <c r="AJ141" s="360"/>
      <c r="AK141" s="360"/>
      <c r="AL141" s="360"/>
      <c r="AM141" s="360"/>
      <c r="AN141" s="360"/>
      <c r="AO141" s="360"/>
      <c r="AP141" s="360"/>
      <c r="AQ141" s="360"/>
      <c r="AR141" s="360"/>
      <c r="AS141" s="360"/>
      <c r="AT141" s="360"/>
      <c r="AV141" s="542"/>
      <c r="AW141" s="551"/>
      <c r="AX141" s="551"/>
      <c r="AY141" s="9"/>
      <c r="AZ141" s="48"/>
      <c r="BA141" s="360"/>
      <c r="BB141" s="360"/>
      <c r="BC141" s="360"/>
      <c r="BD141" s="360"/>
      <c r="BE141" s="360"/>
    </row>
    <row r="142" spans="8:57" x14ac:dyDescent="0.2">
      <c r="H142" s="548"/>
      <c r="I142" s="4"/>
      <c r="K142" s="4"/>
      <c r="L142" s="4"/>
      <c r="R142" s="360"/>
      <c r="S142" s="360"/>
      <c r="T142" s="360"/>
      <c r="U142" s="360"/>
      <c r="W142" s="360"/>
      <c r="X142" s="360"/>
      <c r="Y142" s="360"/>
      <c r="Z142" s="360"/>
      <c r="AA142" s="541"/>
      <c r="AB142" s="360"/>
      <c r="AC142" s="360"/>
      <c r="AD142" s="360"/>
      <c r="AE142" s="360"/>
      <c r="AG142" s="360"/>
      <c r="AH142" s="360"/>
      <c r="AI142" s="360"/>
      <c r="AJ142" s="360"/>
      <c r="AK142" s="360"/>
      <c r="AL142" s="360"/>
      <c r="AM142" s="360"/>
      <c r="AN142" s="360"/>
      <c r="AO142" s="360"/>
      <c r="AP142" s="360"/>
      <c r="AQ142" s="360"/>
      <c r="AR142" s="360"/>
      <c r="AS142" s="360"/>
      <c r="AT142" s="360"/>
      <c r="AV142" s="542"/>
      <c r="AW142" s="551"/>
      <c r="AX142" s="551"/>
      <c r="AY142" s="9"/>
      <c r="AZ142" s="48"/>
      <c r="BA142" s="360"/>
      <c r="BB142" s="360"/>
      <c r="BC142" s="360"/>
      <c r="BD142" s="360"/>
      <c r="BE142" s="360"/>
    </row>
    <row r="143" spans="8:57" x14ac:dyDescent="0.2">
      <c r="H143" s="548"/>
      <c r="I143" s="4"/>
      <c r="K143" s="4"/>
      <c r="L143" s="4"/>
      <c r="R143" s="360"/>
      <c r="S143" s="360"/>
      <c r="T143" s="360"/>
      <c r="U143" s="360"/>
      <c r="W143" s="360"/>
      <c r="X143" s="360"/>
      <c r="Y143" s="360"/>
      <c r="Z143" s="360"/>
      <c r="AA143" s="541"/>
      <c r="AB143" s="360"/>
      <c r="AC143" s="360"/>
      <c r="AD143" s="360"/>
      <c r="AE143" s="360"/>
      <c r="AG143" s="360"/>
      <c r="AH143" s="360"/>
      <c r="AI143" s="360"/>
      <c r="AJ143" s="360"/>
      <c r="AK143" s="360"/>
      <c r="AL143" s="360"/>
      <c r="AM143" s="360"/>
      <c r="AN143" s="360"/>
      <c r="AO143" s="360"/>
      <c r="AP143" s="360"/>
      <c r="AQ143" s="360"/>
      <c r="AR143" s="360"/>
      <c r="AS143" s="360"/>
      <c r="AT143" s="360"/>
      <c r="AV143" s="542"/>
      <c r="AW143" s="551"/>
      <c r="AX143" s="551"/>
      <c r="AY143" s="9"/>
      <c r="AZ143" s="48"/>
      <c r="BA143" s="360"/>
      <c r="BB143" s="360"/>
      <c r="BC143" s="360"/>
      <c r="BD143" s="360"/>
      <c r="BE143" s="360"/>
    </row>
    <row r="144" spans="8:57" x14ac:dyDescent="0.2">
      <c r="H144" s="548"/>
      <c r="I144" s="4"/>
      <c r="K144" s="4"/>
      <c r="L144" s="4"/>
      <c r="R144" s="360"/>
      <c r="S144" s="360"/>
      <c r="T144" s="360"/>
      <c r="U144" s="360"/>
      <c r="W144" s="360"/>
      <c r="X144" s="360"/>
      <c r="Y144" s="360"/>
      <c r="Z144" s="360"/>
      <c r="AA144" s="541"/>
      <c r="AB144" s="360"/>
      <c r="AC144" s="360"/>
      <c r="AD144" s="360"/>
      <c r="AE144" s="360"/>
      <c r="AG144" s="360"/>
      <c r="AH144" s="360"/>
      <c r="AI144" s="360"/>
      <c r="AJ144" s="360"/>
      <c r="AK144" s="360"/>
      <c r="AL144" s="360"/>
      <c r="AM144" s="360"/>
      <c r="AN144" s="360"/>
      <c r="AO144" s="360"/>
      <c r="AP144" s="360"/>
      <c r="AQ144" s="360"/>
      <c r="AR144" s="360"/>
      <c r="AS144" s="360"/>
      <c r="AT144" s="360"/>
      <c r="AV144" s="542"/>
      <c r="AW144" s="551"/>
      <c r="AX144" s="551"/>
      <c r="AY144" s="9"/>
      <c r="AZ144" s="48"/>
      <c r="BA144" s="360"/>
      <c r="BB144" s="360"/>
      <c r="BC144" s="360"/>
      <c r="BD144" s="360"/>
      <c r="BE144" s="360"/>
    </row>
    <row r="145" spans="8:57" x14ac:dyDescent="0.2">
      <c r="H145" s="548"/>
      <c r="I145" s="4"/>
      <c r="K145" s="4"/>
      <c r="L145" s="4"/>
      <c r="R145" s="360"/>
      <c r="S145" s="360"/>
      <c r="T145" s="360"/>
      <c r="U145" s="360"/>
      <c r="W145" s="360"/>
      <c r="X145" s="360"/>
      <c r="Y145" s="360"/>
      <c r="Z145" s="360"/>
      <c r="AA145" s="541"/>
      <c r="AB145" s="360"/>
      <c r="AC145" s="360"/>
      <c r="AD145" s="360"/>
      <c r="AE145" s="360"/>
      <c r="AG145" s="360"/>
      <c r="AH145" s="360"/>
      <c r="AI145" s="360"/>
      <c r="AJ145" s="360"/>
      <c r="AK145" s="360"/>
      <c r="AL145" s="360"/>
      <c r="AM145" s="360"/>
      <c r="AN145" s="360"/>
      <c r="AO145" s="360"/>
      <c r="AP145" s="360"/>
      <c r="AQ145" s="360"/>
      <c r="AR145" s="360"/>
      <c r="AS145" s="360"/>
      <c r="AT145" s="360"/>
      <c r="AV145" s="542"/>
      <c r="AW145" s="551"/>
      <c r="AX145" s="551"/>
      <c r="AY145" s="9"/>
      <c r="AZ145" s="48"/>
      <c r="BA145" s="360"/>
      <c r="BB145" s="360"/>
      <c r="BC145" s="360"/>
      <c r="BD145" s="360"/>
      <c r="BE145" s="360"/>
    </row>
    <row r="146" spans="8:57" x14ac:dyDescent="0.2">
      <c r="H146" s="548"/>
      <c r="I146" s="4"/>
      <c r="K146" s="4"/>
      <c r="L146" s="4"/>
      <c r="R146" s="360"/>
      <c r="S146" s="360"/>
      <c r="T146" s="360"/>
      <c r="U146" s="360"/>
      <c r="W146" s="360"/>
      <c r="X146" s="360"/>
      <c r="Y146" s="360"/>
      <c r="Z146" s="360"/>
      <c r="AA146" s="541"/>
      <c r="AB146" s="360"/>
      <c r="AC146" s="360"/>
      <c r="AD146" s="360"/>
      <c r="AE146" s="360"/>
      <c r="AG146" s="360"/>
      <c r="AH146" s="360"/>
      <c r="AI146" s="360"/>
      <c r="AJ146" s="360"/>
      <c r="AK146" s="360"/>
      <c r="AL146" s="360"/>
      <c r="AM146" s="360"/>
      <c r="AN146" s="360"/>
      <c r="AO146" s="360"/>
      <c r="AP146" s="360"/>
      <c r="AQ146" s="360"/>
      <c r="AR146" s="360"/>
      <c r="AS146" s="360"/>
      <c r="AT146" s="360"/>
      <c r="AV146" s="542"/>
      <c r="AW146" s="551"/>
      <c r="AX146" s="551"/>
      <c r="AY146" s="9"/>
      <c r="AZ146" s="48"/>
      <c r="BA146" s="360"/>
      <c r="BB146" s="360"/>
      <c r="BC146" s="360"/>
      <c r="BD146" s="360"/>
      <c r="BE146" s="360"/>
    </row>
    <row r="147" spans="8:57" x14ac:dyDescent="0.2">
      <c r="H147" s="548"/>
      <c r="I147" s="4"/>
      <c r="K147" s="4"/>
      <c r="L147" s="4"/>
      <c r="R147" s="360"/>
      <c r="S147" s="360"/>
      <c r="T147" s="360"/>
      <c r="U147" s="360"/>
      <c r="W147" s="360"/>
      <c r="X147" s="360"/>
      <c r="Y147" s="360"/>
      <c r="Z147" s="360"/>
      <c r="AA147" s="541"/>
      <c r="AB147" s="360"/>
      <c r="AC147" s="360"/>
      <c r="AD147" s="360"/>
      <c r="AE147" s="360"/>
      <c r="AG147" s="360"/>
      <c r="AH147" s="360"/>
      <c r="AI147" s="360"/>
      <c r="AJ147" s="360"/>
      <c r="AK147" s="360"/>
      <c r="AL147" s="360"/>
      <c r="AM147" s="360"/>
      <c r="AN147" s="360"/>
      <c r="AO147" s="360"/>
      <c r="AP147" s="360"/>
      <c r="AQ147" s="360"/>
      <c r="AR147" s="360"/>
      <c r="AS147" s="360"/>
      <c r="AT147" s="360"/>
      <c r="AV147" s="542"/>
      <c r="AW147" s="551"/>
      <c r="AX147" s="551"/>
      <c r="AY147" s="9"/>
      <c r="AZ147" s="48"/>
      <c r="BA147" s="360"/>
      <c r="BB147" s="360"/>
      <c r="BC147" s="360"/>
      <c r="BD147" s="360"/>
      <c r="BE147" s="360"/>
    </row>
    <row r="148" spans="8:57" x14ac:dyDescent="0.2">
      <c r="H148" s="548"/>
      <c r="I148" s="4"/>
      <c r="K148" s="4"/>
      <c r="L148" s="4"/>
      <c r="R148" s="360"/>
      <c r="S148" s="360"/>
      <c r="T148" s="360"/>
      <c r="U148" s="360"/>
      <c r="W148" s="360"/>
      <c r="X148" s="360"/>
      <c r="Y148" s="360"/>
      <c r="Z148" s="360"/>
      <c r="AA148" s="541"/>
      <c r="AB148" s="360"/>
      <c r="AC148" s="360"/>
      <c r="AD148" s="360"/>
      <c r="AE148" s="360"/>
      <c r="AG148" s="360"/>
      <c r="AH148" s="360"/>
      <c r="AI148" s="360"/>
      <c r="AJ148" s="360"/>
      <c r="AK148" s="360"/>
      <c r="AL148" s="360"/>
      <c r="AM148" s="360"/>
      <c r="AN148" s="360"/>
      <c r="AO148" s="360"/>
      <c r="AP148" s="360"/>
      <c r="AQ148" s="360"/>
      <c r="AR148" s="360"/>
      <c r="AS148" s="360"/>
      <c r="AT148" s="360"/>
      <c r="AV148" s="542"/>
      <c r="AW148" s="551"/>
      <c r="AX148" s="551"/>
      <c r="AY148" s="9"/>
      <c r="AZ148" s="48"/>
      <c r="BA148" s="360"/>
      <c r="BB148" s="360"/>
      <c r="BC148" s="360"/>
      <c r="BD148" s="360"/>
      <c r="BE148" s="360"/>
    </row>
    <row r="149" spans="8:57" x14ac:dyDescent="0.2">
      <c r="H149" s="548"/>
      <c r="I149" s="4"/>
      <c r="K149" s="4"/>
      <c r="L149" s="4"/>
      <c r="R149" s="360"/>
      <c r="S149" s="360"/>
      <c r="T149" s="360"/>
      <c r="U149" s="360"/>
      <c r="W149" s="360"/>
      <c r="X149" s="360"/>
      <c r="Y149" s="360"/>
      <c r="Z149" s="360"/>
      <c r="AA149" s="541"/>
      <c r="AB149" s="360"/>
      <c r="AC149" s="360"/>
      <c r="AD149" s="360"/>
      <c r="AE149" s="360"/>
      <c r="AG149" s="360"/>
      <c r="AH149" s="360"/>
      <c r="AI149" s="360"/>
      <c r="AJ149" s="360"/>
      <c r="AK149" s="360"/>
      <c r="AL149" s="360"/>
      <c r="AM149" s="360"/>
      <c r="AN149" s="360"/>
      <c r="AO149" s="360"/>
      <c r="AP149" s="360"/>
      <c r="AQ149" s="360"/>
      <c r="AR149" s="360"/>
      <c r="AS149" s="360"/>
      <c r="AT149" s="360"/>
      <c r="AV149" s="542"/>
      <c r="AW149" s="551"/>
      <c r="AX149" s="551"/>
      <c r="AY149" s="9"/>
      <c r="AZ149" s="48"/>
      <c r="BA149" s="360"/>
      <c r="BB149" s="360"/>
      <c r="BC149" s="360"/>
      <c r="BD149" s="360"/>
      <c r="BE149" s="360"/>
    </row>
    <row r="150" spans="8:57" x14ac:dyDescent="0.2">
      <c r="H150" s="548"/>
      <c r="I150" s="4"/>
      <c r="K150" s="4"/>
      <c r="L150" s="4"/>
      <c r="R150" s="360"/>
      <c r="S150" s="360"/>
      <c r="T150" s="360"/>
      <c r="U150" s="360"/>
      <c r="W150" s="360"/>
      <c r="X150" s="360"/>
      <c r="Y150" s="360"/>
      <c r="Z150" s="360"/>
      <c r="AA150" s="541"/>
      <c r="AB150" s="360"/>
      <c r="AC150" s="360"/>
      <c r="AD150" s="360"/>
      <c r="AE150" s="360"/>
      <c r="AG150" s="360"/>
      <c r="AH150" s="360"/>
      <c r="AI150" s="360"/>
      <c r="AJ150" s="360"/>
      <c r="AK150" s="360"/>
      <c r="AL150" s="360"/>
      <c r="AM150" s="360"/>
      <c r="AN150" s="360"/>
      <c r="AO150" s="360"/>
      <c r="AP150" s="360"/>
      <c r="AQ150" s="360"/>
      <c r="AR150" s="360"/>
      <c r="AS150" s="360"/>
      <c r="AT150" s="360"/>
      <c r="AV150" s="542"/>
      <c r="AW150" s="551"/>
      <c r="AX150" s="551"/>
      <c r="AY150" s="9"/>
      <c r="AZ150" s="48"/>
      <c r="BA150" s="360"/>
      <c r="BB150" s="360"/>
      <c r="BC150" s="360"/>
      <c r="BD150" s="360"/>
      <c r="BE150" s="360"/>
    </row>
    <row r="151" spans="8:57" x14ac:dyDescent="0.2">
      <c r="H151" s="548"/>
      <c r="I151" s="4"/>
      <c r="K151" s="4"/>
      <c r="L151" s="4"/>
      <c r="R151" s="360"/>
      <c r="S151" s="360"/>
      <c r="T151" s="360"/>
      <c r="U151" s="360"/>
      <c r="W151" s="360"/>
      <c r="X151" s="360"/>
      <c r="Y151" s="360"/>
      <c r="Z151" s="360"/>
      <c r="AA151" s="541"/>
      <c r="AB151" s="360"/>
      <c r="AC151" s="360"/>
      <c r="AD151" s="360"/>
      <c r="AE151" s="360"/>
      <c r="AG151" s="360"/>
      <c r="AH151" s="360"/>
      <c r="AI151" s="360"/>
      <c r="AJ151" s="360"/>
      <c r="AK151" s="360"/>
      <c r="AL151" s="360"/>
      <c r="AM151" s="360"/>
      <c r="AN151" s="360"/>
      <c r="AO151" s="360"/>
      <c r="AP151" s="360"/>
      <c r="AQ151" s="360"/>
      <c r="AR151" s="360"/>
      <c r="AS151" s="360"/>
      <c r="AT151" s="360"/>
      <c r="AV151" s="542"/>
      <c r="AW151" s="551"/>
      <c r="AX151" s="551"/>
      <c r="AY151" s="9"/>
      <c r="AZ151" s="48"/>
      <c r="BA151" s="360"/>
      <c r="BB151" s="360"/>
      <c r="BC151" s="360"/>
      <c r="BD151" s="360"/>
      <c r="BE151" s="360"/>
    </row>
    <row r="152" spans="8:57" x14ac:dyDescent="0.2">
      <c r="H152" s="548"/>
      <c r="I152" s="4"/>
      <c r="K152" s="4"/>
      <c r="L152" s="4"/>
      <c r="R152" s="360"/>
      <c r="S152" s="360"/>
      <c r="T152" s="360"/>
      <c r="U152" s="360"/>
      <c r="W152" s="360"/>
      <c r="X152" s="360"/>
      <c r="Y152" s="360"/>
      <c r="Z152" s="360"/>
      <c r="AA152" s="541"/>
      <c r="AB152" s="360"/>
      <c r="AC152" s="360"/>
      <c r="AD152" s="360"/>
      <c r="AE152" s="360"/>
      <c r="AG152" s="360"/>
      <c r="AH152" s="360"/>
      <c r="AI152" s="360"/>
      <c r="AJ152" s="360"/>
      <c r="AK152" s="360"/>
      <c r="AL152" s="360"/>
      <c r="AM152" s="360"/>
      <c r="AN152" s="360"/>
      <c r="AO152" s="360"/>
      <c r="AP152" s="360"/>
      <c r="AQ152" s="360"/>
      <c r="AR152" s="360"/>
      <c r="AS152" s="360"/>
      <c r="AT152" s="360"/>
      <c r="AV152" s="542"/>
      <c r="AW152" s="551"/>
      <c r="AX152" s="551"/>
      <c r="AY152" s="9"/>
      <c r="AZ152" s="48"/>
      <c r="BA152" s="360"/>
      <c r="BB152" s="360"/>
      <c r="BC152" s="360"/>
      <c r="BD152" s="360"/>
      <c r="BE152" s="360"/>
    </row>
    <row r="153" spans="8:57" x14ac:dyDescent="0.2">
      <c r="H153" s="548"/>
      <c r="I153" s="4"/>
      <c r="K153" s="4"/>
      <c r="L153" s="4"/>
      <c r="R153" s="360"/>
      <c r="S153" s="360"/>
      <c r="T153" s="360"/>
      <c r="U153" s="360"/>
      <c r="W153" s="360"/>
      <c r="X153" s="360"/>
      <c r="Y153" s="360"/>
      <c r="Z153" s="360"/>
      <c r="AA153" s="541"/>
      <c r="AB153" s="360"/>
      <c r="AC153" s="360"/>
      <c r="AD153" s="360"/>
      <c r="AE153" s="360"/>
      <c r="AG153" s="360"/>
      <c r="AH153" s="360"/>
      <c r="AI153" s="360"/>
      <c r="AJ153" s="360"/>
      <c r="AK153" s="360"/>
      <c r="AL153" s="360"/>
      <c r="AM153" s="360"/>
      <c r="AN153" s="360"/>
      <c r="AO153" s="360"/>
      <c r="AP153" s="360"/>
      <c r="AQ153" s="360"/>
      <c r="AR153" s="360"/>
      <c r="AS153" s="360"/>
      <c r="AT153" s="360"/>
      <c r="AV153" s="542"/>
      <c r="AW153" s="551"/>
      <c r="AX153" s="551"/>
      <c r="AY153" s="9"/>
      <c r="AZ153" s="48"/>
      <c r="BA153" s="360"/>
      <c r="BB153" s="360"/>
      <c r="BC153" s="360"/>
      <c r="BD153" s="360"/>
      <c r="BE153" s="360"/>
    </row>
    <row r="154" spans="8:57" x14ac:dyDescent="0.2">
      <c r="H154" s="548"/>
      <c r="I154" s="4"/>
      <c r="K154" s="4"/>
      <c r="L154" s="4"/>
      <c r="R154" s="360"/>
      <c r="S154" s="360"/>
      <c r="T154" s="360"/>
      <c r="U154" s="360"/>
      <c r="W154" s="360"/>
      <c r="X154" s="360"/>
      <c r="Y154" s="360"/>
      <c r="Z154" s="360"/>
      <c r="AA154" s="541"/>
      <c r="AB154" s="360"/>
      <c r="AC154" s="360"/>
      <c r="AD154" s="360"/>
      <c r="AE154" s="360"/>
      <c r="AG154" s="360"/>
      <c r="AH154" s="360"/>
      <c r="AI154" s="360"/>
      <c r="AJ154" s="360"/>
      <c r="AK154" s="360"/>
      <c r="AL154" s="360"/>
      <c r="AM154" s="360"/>
      <c r="AN154" s="360"/>
      <c r="AO154" s="360"/>
      <c r="AP154" s="360"/>
      <c r="AQ154" s="360"/>
      <c r="AR154" s="360"/>
      <c r="AS154" s="360"/>
      <c r="AT154" s="360"/>
      <c r="AV154" s="542"/>
      <c r="AW154" s="551"/>
      <c r="AX154" s="551"/>
      <c r="AY154" s="9"/>
      <c r="AZ154" s="48"/>
      <c r="BA154" s="360"/>
      <c r="BB154" s="360"/>
      <c r="BC154" s="360"/>
      <c r="BD154" s="360"/>
      <c r="BE154" s="360"/>
    </row>
    <row r="155" spans="8:57" x14ac:dyDescent="0.2">
      <c r="H155" s="548"/>
      <c r="I155" s="4"/>
      <c r="K155" s="4"/>
      <c r="L155" s="4"/>
      <c r="R155" s="360"/>
      <c r="S155" s="360"/>
      <c r="T155" s="360"/>
      <c r="U155" s="360"/>
      <c r="W155" s="360"/>
      <c r="X155" s="360"/>
      <c r="Y155" s="360"/>
      <c r="Z155" s="360"/>
      <c r="AA155" s="541"/>
      <c r="AB155" s="360"/>
      <c r="AC155" s="360"/>
      <c r="AD155" s="360"/>
      <c r="AE155" s="360"/>
      <c r="AG155" s="360"/>
      <c r="AH155" s="360"/>
      <c r="AI155" s="360"/>
      <c r="AJ155" s="360"/>
      <c r="AK155" s="360"/>
      <c r="AL155" s="360"/>
      <c r="AM155" s="360"/>
      <c r="AN155" s="360"/>
      <c r="AO155" s="360"/>
      <c r="AP155" s="360"/>
      <c r="AQ155" s="360"/>
      <c r="AR155" s="360"/>
      <c r="AS155" s="360"/>
      <c r="AT155" s="360"/>
      <c r="AV155" s="542"/>
      <c r="AW155" s="551"/>
      <c r="AX155" s="551"/>
      <c r="AY155" s="9"/>
      <c r="AZ155" s="48"/>
      <c r="BA155" s="360"/>
      <c r="BB155" s="360"/>
      <c r="BC155" s="360"/>
      <c r="BD155" s="360"/>
      <c r="BE155" s="360"/>
    </row>
    <row r="156" spans="8:57" x14ac:dyDescent="0.2">
      <c r="H156" s="548"/>
      <c r="I156" s="4"/>
      <c r="K156" s="4"/>
      <c r="L156" s="4"/>
      <c r="R156" s="360"/>
      <c r="S156" s="360"/>
      <c r="T156" s="360"/>
      <c r="U156" s="360"/>
      <c r="W156" s="360"/>
      <c r="X156" s="360"/>
      <c r="Y156" s="360"/>
      <c r="Z156" s="360"/>
      <c r="AA156" s="541"/>
      <c r="AB156" s="360"/>
      <c r="AC156" s="360"/>
      <c r="AD156" s="360"/>
      <c r="AE156" s="360"/>
      <c r="AG156" s="360"/>
      <c r="AH156" s="360"/>
      <c r="AI156" s="360"/>
      <c r="AJ156" s="360"/>
      <c r="AK156" s="360"/>
      <c r="AL156" s="360"/>
      <c r="AM156" s="360"/>
      <c r="AN156" s="360"/>
      <c r="AO156" s="360"/>
      <c r="AP156" s="360"/>
      <c r="AQ156" s="360"/>
      <c r="AR156" s="360"/>
      <c r="AS156" s="360"/>
      <c r="AT156" s="360"/>
      <c r="AV156" s="542"/>
      <c r="AW156" s="551"/>
      <c r="AX156" s="551"/>
      <c r="AY156" s="9"/>
      <c r="AZ156" s="48"/>
      <c r="BA156" s="360"/>
      <c r="BB156" s="360"/>
      <c r="BC156" s="360"/>
      <c r="BD156" s="360"/>
      <c r="BE156" s="360"/>
    </row>
    <row r="157" spans="8:57" x14ac:dyDescent="0.2">
      <c r="H157" s="548"/>
      <c r="I157" s="4"/>
      <c r="K157" s="4"/>
      <c r="L157" s="4"/>
      <c r="R157" s="360"/>
      <c r="S157" s="360"/>
      <c r="T157" s="360"/>
      <c r="U157" s="360"/>
      <c r="W157" s="360"/>
      <c r="X157" s="360"/>
      <c r="Y157" s="360"/>
      <c r="Z157" s="360"/>
      <c r="AA157" s="541"/>
      <c r="AB157" s="360"/>
      <c r="AC157" s="360"/>
      <c r="AD157" s="360"/>
      <c r="AE157" s="360"/>
      <c r="AG157" s="360"/>
      <c r="AH157" s="360"/>
      <c r="AI157" s="360"/>
      <c r="AJ157" s="360"/>
      <c r="AK157" s="360"/>
      <c r="AL157" s="360"/>
      <c r="AM157" s="360"/>
      <c r="AN157" s="360"/>
      <c r="AO157" s="360"/>
      <c r="AP157" s="360"/>
      <c r="AQ157" s="360"/>
      <c r="AR157" s="360"/>
      <c r="AS157" s="360"/>
      <c r="AT157" s="360"/>
      <c r="AV157" s="542"/>
      <c r="AW157" s="551"/>
      <c r="AX157" s="551"/>
      <c r="AY157" s="9"/>
      <c r="AZ157" s="48"/>
      <c r="BA157" s="360"/>
      <c r="BB157" s="360"/>
      <c r="BC157" s="360"/>
      <c r="BD157" s="360"/>
      <c r="BE157" s="360"/>
    </row>
    <row r="158" spans="8:57" x14ac:dyDescent="0.2">
      <c r="H158" s="548"/>
      <c r="I158" s="4"/>
      <c r="K158" s="4"/>
      <c r="L158" s="4"/>
      <c r="R158" s="360"/>
      <c r="S158" s="360"/>
      <c r="T158" s="360"/>
      <c r="U158" s="360"/>
      <c r="W158" s="360"/>
      <c r="X158" s="360"/>
      <c r="Y158" s="360"/>
      <c r="Z158" s="360"/>
      <c r="AA158" s="541"/>
      <c r="AB158" s="360"/>
      <c r="AC158" s="360"/>
      <c r="AD158" s="360"/>
      <c r="AE158" s="360"/>
      <c r="AG158" s="360"/>
      <c r="AH158" s="360"/>
      <c r="AI158" s="360"/>
      <c r="AJ158" s="360"/>
      <c r="AK158" s="360"/>
      <c r="AL158" s="360"/>
      <c r="AM158" s="360"/>
      <c r="AN158" s="360"/>
      <c r="AO158" s="360"/>
      <c r="AP158" s="360"/>
      <c r="AQ158" s="360"/>
      <c r="AR158" s="360"/>
      <c r="AS158" s="360"/>
      <c r="AT158" s="360"/>
      <c r="AV158" s="542"/>
      <c r="AW158" s="551"/>
      <c r="AX158" s="551"/>
      <c r="AY158" s="9"/>
      <c r="AZ158" s="48"/>
      <c r="BA158" s="360"/>
      <c r="BB158" s="360"/>
      <c r="BC158" s="360"/>
      <c r="BD158" s="360"/>
      <c r="BE158" s="360"/>
    </row>
    <row r="159" spans="8:57" x14ac:dyDescent="0.2">
      <c r="H159" s="548"/>
      <c r="I159" s="4"/>
      <c r="K159" s="4"/>
      <c r="L159" s="4"/>
      <c r="R159" s="360"/>
      <c r="S159" s="360"/>
      <c r="T159" s="360"/>
      <c r="U159" s="360"/>
      <c r="W159" s="360"/>
      <c r="X159" s="360"/>
      <c r="Y159" s="360"/>
      <c r="Z159" s="360"/>
      <c r="AA159" s="541"/>
      <c r="AB159" s="360"/>
      <c r="AC159" s="360"/>
      <c r="AD159" s="360"/>
      <c r="AE159" s="360"/>
      <c r="AG159" s="360"/>
      <c r="AH159" s="360"/>
      <c r="AI159" s="360"/>
      <c r="AJ159" s="360"/>
      <c r="AK159" s="360"/>
      <c r="AL159" s="360"/>
      <c r="AM159" s="360"/>
      <c r="AN159" s="360"/>
      <c r="AO159" s="360"/>
      <c r="AP159" s="360"/>
      <c r="AQ159" s="360"/>
      <c r="AR159" s="360"/>
      <c r="AS159" s="360"/>
      <c r="AT159" s="360"/>
      <c r="AV159" s="542"/>
      <c r="AW159" s="551"/>
      <c r="AX159" s="551"/>
      <c r="AY159" s="9"/>
      <c r="AZ159" s="48"/>
      <c r="BA159" s="360"/>
      <c r="BB159" s="360"/>
      <c r="BC159" s="360"/>
      <c r="BD159" s="360"/>
      <c r="BE159" s="360"/>
    </row>
    <row r="160" spans="8:57" x14ac:dyDescent="0.2">
      <c r="H160" s="548"/>
      <c r="I160" s="4"/>
      <c r="K160" s="4"/>
      <c r="L160" s="4"/>
      <c r="R160" s="360"/>
      <c r="S160" s="360"/>
      <c r="T160" s="360"/>
      <c r="U160" s="360"/>
      <c r="W160" s="360"/>
      <c r="X160" s="360"/>
      <c r="Y160" s="360"/>
      <c r="Z160" s="360"/>
      <c r="AA160" s="541"/>
      <c r="AB160" s="360"/>
      <c r="AC160" s="360"/>
      <c r="AD160" s="360"/>
      <c r="AE160" s="360"/>
      <c r="AG160" s="360"/>
      <c r="AH160" s="360"/>
      <c r="AI160" s="360"/>
      <c r="AJ160" s="360"/>
      <c r="AK160" s="360"/>
      <c r="AL160" s="360"/>
      <c r="AM160" s="360"/>
      <c r="AN160" s="360"/>
      <c r="AO160" s="360"/>
      <c r="AP160" s="360"/>
      <c r="AQ160" s="360"/>
      <c r="AR160" s="360"/>
      <c r="AS160" s="360"/>
      <c r="AT160" s="360"/>
      <c r="AV160" s="542"/>
      <c r="AW160" s="551"/>
      <c r="AX160" s="551"/>
      <c r="AY160" s="9"/>
      <c r="AZ160" s="48"/>
      <c r="BA160" s="360"/>
      <c r="BB160" s="360"/>
      <c r="BC160" s="360"/>
      <c r="BD160" s="360"/>
      <c r="BE160" s="360"/>
    </row>
    <row r="161" spans="8:57" x14ac:dyDescent="0.2">
      <c r="H161" s="548"/>
      <c r="I161" s="4"/>
      <c r="K161" s="4"/>
      <c r="L161" s="4"/>
      <c r="R161" s="360"/>
      <c r="S161" s="360"/>
      <c r="T161" s="360"/>
      <c r="U161" s="360"/>
      <c r="W161" s="360"/>
      <c r="X161" s="360"/>
      <c r="Y161" s="360"/>
      <c r="Z161" s="360"/>
      <c r="AA161" s="541"/>
      <c r="AB161" s="360"/>
      <c r="AC161" s="360"/>
      <c r="AD161" s="360"/>
      <c r="AE161" s="360"/>
      <c r="AG161" s="360"/>
      <c r="AH161" s="360"/>
      <c r="AI161" s="360"/>
      <c r="AJ161" s="360"/>
      <c r="AK161" s="360"/>
      <c r="AL161" s="360"/>
      <c r="AM161" s="360"/>
      <c r="AN161" s="360"/>
      <c r="AO161" s="360"/>
      <c r="AP161" s="360"/>
      <c r="AQ161" s="360"/>
      <c r="AR161" s="360"/>
      <c r="AS161" s="360"/>
      <c r="AT161" s="360"/>
      <c r="AV161" s="542"/>
      <c r="AW161" s="551"/>
      <c r="AX161" s="551"/>
      <c r="AY161" s="9"/>
      <c r="AZ161" s="48"/>
      <c r="BA161" s="360"/>
      <c r="BB161" s="360"/>
      <c r="BC161" s="360"/>
      <c r="BD161" s="360"/>
      <c r="BE161" s="360"/>
    </row>
    <row r="162" spans="8:57" x14ac:dyDescent="0.2">
      <c r="H162" s="548"/>
      <c r="I162" s="4"/>
      <c r="K162" s="4"/>
      <c r="L162" s="4"/>
      <c r="R162" s="360"/>
      <c r="S162" s="360"/>
      <c r="T162" s="360"/>
      <c r="U162" s="360"/>
      <c r="W162" s="360"/>
      <c r="X162" s="360"/>
      <c r="Y162" s="360"/>
      <c r="Z162" s="360"/>
      <c r="AA162" s="541"/>
      <c r="AB162" s="360"/>
      <c r="AC162" s="360"/>
      <c r="AD162" s="360"/>
      <c r="AE162" s="360"/>
      <c r="AG162" s="360"/>
      <c r="AH162" s="360"/>
      <c r="AI162" s="360"/>
      <c r="AJ162" s="360"/>
      <c r="AK162" s="360"/>
      <c r="AL162" s="360"/>
      <c r="AM162" s="360"/>
      <c r="AN162" s="360"/>
      <c r="AO162" s="360"/>
      <c r="AP162" s="360"/>
      <c r="AQ162" s="360"/>
      <c r="AR162" s="360"/>
      <c r="AS162" s="360"/>
      <c r="AT162" s="360"/>
      <c r="AV162" s="542"/>
      <c r="AW162" s="551"/>
      <c r="AX162" s="551"/>
      <c r="AY162" s="9"/>
      <c r="AZ162" s="48"/>
      <c r="BA162" s="360"/>
      <c r="BB162" s="360"/>
      <c r="BC162" s="360"/>
      <c r="BD162" s="360"/>
      <c r="BE162" s="360"/>
    </row>
    <row r="163" spans="8:57" x14ac:dyDescent="0.2">
      <c r="H163" s="548"/>
      <c r="I163" s="4"/>
      <c r="K163" s="4"/>
      <c r="L163" s="4"/>
      <c r="R163" s="360"/>
      <c r="S163" s="360"/>
      <c r="T163" s="360"/>
      <c r="U163" s="360"/>
      <c r="W163" s="360"/>
      <c r="X163" s="360"/>
      <c r="Y163" s="360"/>
      <c r="Z163" s="360"/>
      <c r="AA163" s="541"/>
      <c r="AB163" s="360"/>
      <c r="AC163" s="360"/>
      <c r="AD163" s="360"/>
      <c r="AE163" s="360"/>
      <c r="AG163" s="360"/>
      <c r="AH163" s="360"/>
      <c r="AI163" s="360"/>
      <c r="AJ163" s="360"/>
      <c r="AK163" s="360"/>
      <c r="AL163" s="360"/>
      <c r="AM163" s="360"/>
      <c r="AN163" s="360"/>
      <c r="AO163" s="360"/>
      <c r="AP163" s="360"/>
      <c r="AQ163" s="360"/>
      <c r="AR163" s="360"/>
      <c r="AS163" s="360"/>
      <c r="AT163" s="360"/>
      <c r="AV163" s="542"/>
      <c r="AW163" s="551"/>
      <c r="AX163" s="551"/>
      <c r="AY163" s="9"/>
      <c r="AZ163" s="48"/>
      <c r="BA163" s="360"/>
      <c r="BB163" s="360"/>
      <c r="BC163" s="360"/>
      <c r="BD163" s="360"/>
      <c r="BE163" s="360"/>
    </row>
    <row r="164" spans="8:57" x14ac:dyDescent="0.2">
      <c r="H164" s="548"/>
      <c r="I164" s="4"/>
      <c r="K164" s="4"/>
      <c r="L164" s="4"/>
      <c r="R164" s="360"/>
      <c r="S164" s="360"/>
      <c r="T164" s="360"/>
      <c r="U164" s="360"/>
      <c r="W164" s="360"/>
      <c r="X164" s="360"/>
      <c r="Y164" s="360"/>
      <c r="Z164" s="360"/>
      <c r="AA164" s="541"/>
      <c r="AB164" s="360"/>
      <c r="AC164" s="360"/>
      <c r="AD164" s="360"/>
      <c r="AE164" s="360"/>
      <c r="AG164" s="360"/>
      <c r="AH164" s="360"/>
      <c r="AI164" s="360"/>
      <c r="AJ164" s="360"/>
      <c r="AK164" s="360"/>
      <c r="AL164" s="360"/>
      <c r="AM164" s="360"/>
      <c r="AN164" s="360"/>
      <c r="AO164" s="360"/>
      <c r="AP164" s="360"/>
      <c r="AQ164" s="360"/>
      <c r="AR164" s="360"/>
      <c r="AS164" s="360"/>
      <c r="AT164" s="360"/>
      <c r="AV164" s="542"/>
      <c r="AW164" s="551"/>
      <c r="AX164" s="551"/>
      <c r="AY164" s="9"/>
      <c r="AZ164" s="48"/>
      <c r="BA164" s="360"/>
      <c r="BB164" s="360"/>
      <c r="BC164" s="360"/>
      <c r="BD164" s="360"/>
      <c r="BE164" s="360"/>
    </row>
    <row r="165" spans="8:57" x14ac:dyDescent="0.2">
      <c r="H165" s="548"/>
      <c r="I165" s="4"/>
      <c r="K165" s="4"/>
      <c r="L165" s="4"/>
      <c r="R165" s="360"/>
      <c r="S165" s="360"/>
      <c r="T165" s="360"/>
      <c r="U165" s="360"/>
      <c r="W165" s="360"/>
      <c r="X165" s="360"/>
      <c r="Y165" s="360"/>
      <c r="Z165" s="360"/>
      <c r="AA165" s="541"/>
      <c r="AB165" s="360"/>
      <c r="AC165" s="360"/>
      <c r="AD165" s="360"/>
      <c r="AE165" s="360"/>
      <c r="AG165" s="360"/>
      <c r="AH165" s="360"/>
      <c r="AI165" s="360"/>
      <c r="AJ165" s="360"/>
      <c r="AK165" s="360"/>
      <c r="AL165" s="360"/>
      <c r="AM165" s="360"/>
      <c r="AN165" s="360"/>
      <c r="AO165" s="360"/>
      <c r="AP165" s="360"/>
      <c r="AQ165" s="360"/>
      <c r="AR165" s="360"/>
      <c r="AS165" s="360"/>
      <c r="AT165" s="360"/>
      <c r="AV165" s="542"/>
      <c r="AW165" s="551"/>
      <c r="AX165" s="551"/>
      <c r="AY165" s="9"/>
      <c r="AZ165" s="48"/>
      <c r="BA165" s="360"/>
      <c r="BB165" s="360"/>
      <c r="BC165" s="360"/>
      <c r="BD165" s="360"/>
      <c r="BE165" s="360"/>
    </row>
    <row r="166" spans="8:57" x14ac:dyDescent="0.2">
      <c r="H166" s="548"/>
      <c r="I166" s="4"/>
      <c r="K166" s="4"/>
      <c r="L166" s="4"/>
      <c r="R166" s="360"/>
      <c r="S166" s="360"/>
      <c r="T166" s="360"/>
      <c r="U166" s="360"/>
      <c r="W166" s="360"/>
      <c r="X166" s="360"/>
      <c r="Y166" s="360"/>
      <c r="Z166" s="360"/>
      <c r="AA166" s="541"/>
      <c r="AB166" s="360"/>
      <c r="AC166" s="360"/>
      <c r="AD166" s="360"/>
      <c r="AE166" s="360"/>
      <c r="AG166" s="360"/>
      <c r="AH166" s="360"/>
      <c r="AI166" s="360"/>
      <c r="AJ166" s="360"/>
      <c r="AK166" s="360"/>
      <c r="AL166" s="360"/>
      <c r="AM166" s="360"/>
      <c r="AN166" s="360"/>
      <c r="AO166" s="360"/>
      <c r="AP166" s="360"/>
      <c r="AQ166" s="360"/>
      <c r="AR166" s="360"/>
      <c r="AS166" s="360"/>
      <c r="AT166" s="360"/>
      <c r="AV166" s="542"/>
      <c r="AW166" s="551"/>
      <c r="AX166" s="551"/>
      <c r="AY166" s="9"/>
      <c r="AZ166" s="48"/>
      <c r="BA166" s="360"/>
      <c r="BB166" s="360"/>
      <c r="BC166" s="360"/>
      <c r="BD166" s="360"/>
      <c r="BE166" s="360"/>
    </row>
    <row r="167" spans="8:57" x14ac:dyDescent="0.2">
      <c r="H167" s="548"/>
      <c r="I167" s="4"/>
      <c r="K167" s="4"/>
      <c r="L167" s="4"/>
      <c r="R167" s="360"/>
      <c r="S167" s="360"/>
      <c r="T167" s="360"/>
      <c r="U167" s="360"/>
      <c r="W167" s="360"/>
      <c r="X167" s="360"/>
      <c r="Y167" s="360"/>
      <c r="Z167" s="360"/>
      <c r="AA167" s="541"/>
      <c r="AB167" s="360"/>
      <c r="AC167" s="360"/>
      <c r="AD167" s="360"/>
      <c r="AE167" s="360"/>
      <c r="AG167" s="360"/>
      <c r="AH167" s="360"/>
      <c r="AI167" s="360"/>
      <c r="AJ167" s="360"/>
      <c r="AK167" s="360"/>
      <c r="AL167" s="360"/>
      <c r="AM167" s="360"/>
      <c r="AN167" s="360"/>
      <c r="AO167" s="360"/>
      <c r="AP167" s="360"/>
      <c r="AQ167" s="360"/>
      <c r="AR167" s="360"/>
      <c r="AS167" s="360"/>
      <c r="AT167" s="360"/>
      <c r="AV167" s="542"/>
      <c r="AW167" s="551"/>
      <c r="AX167" s="551"/>
      <c r="AY167" s="9"/>
      <c r="AZ167" s="48"/>
      <c r="BA167" s="360"/>
      <c r="BB167" s="360"/>
      <c r="BC167" s="360"/>
      <c r="BD167" s="360"/>
      <c r="BE167" s="360"/>
    </row>
    <row r="168" spans="8:57" x14ac:dyDescent="0.2">
      <c r="H168" s="548"/>
      <c r="I168" s="4"/>
      <c r="K168" s="4"/>
      <c r="L168" s="4"/>
      <c r="R168" s="360"/>
      <c r="S168" s="360"/>
      <c r="T168" s="360"/>
      <c r="U168" s="360"/>
      <c r="W168" s="360"/>
      <c r="X168" s="360"/>
      <c r="Y168" s="360"/>
      <c r="Z168" s="360"/>
      <c r="AA168" s="541"/>
      <c r="AB168" s="360"/>
      <c r="AC168" s="360"/>
      <c r="AD168" s="360"/>
      <c r="AE168" s="360"/>
      <c r="AG168" s="360"/>
      <c r="AH168" s="360"/>
      <c r="AI168" s="360"/>
      <c r="AJ168" s="360"/>
      <c r="AK168" s="360"/>
      <c r="AL168" s="360"/>
      <c r="AM168" s="360"/>
      <c r="AN168" s="360"/>
      <c r="AO168" s="360"/>
      <c r="AP168" s="360"/>
      <c r="AQ168" s="360"/>
      <c r="AR168" s="360"/>
      <c r="AS168" s="360"/>
      <c r="AT168" s="360"/>
      <c r="AV168" s="542"/>
      <c r="AW168" s="551"/>
      <c r="AX168" s="551"/>
      <c r="AY168" s="9"/>
      <c r="AZ168" s="48"/>
      <c r="BA168" s="360"/>
      <c r="BB168" s="360"/>
      <c r="BC168" s="360"/>
      <c r="BD168" s="360"/>
      <c r="BE168" s="360"/>
    </row>
    <row r="169" spans="8:57" x14ac:dyDescent="0.2">
      <c r="H169" s="548"/>
      <c r="I169" s="4"/>
      <c r="K169" s="4"/>
      <c r="L169" s="4"/>
      <c r="R169" s="360"/>
      <c r="S169" s="360"/>
      <c r="T169" s="360"/>
      <c r="U169" s="360"/>
      <c r="W169" s="360"/>
      <c r="X169" s="360"/>
      <c r="Y169" s="360"/>
      <c r="Z169" s="360"/>
      <c r="AA169" s="541"/>
      <c r="AB169" s="360"/>
      <c r="AC169" s="360"/>
      <c r="AD169" s="360"/>
      <c r="AE169" s="360"/>
      <c r="AG169" s="360"/>
      <c r="AH169" s="360"/>
      <c r="AI169" s="360"/>
      <c r="AJ169" s="360"/>
      <c r="AK169" s="360"/>
      <c r="AL169" s="360"/>
      <c r="AM169" s="360"/>
      <c r="AN169" s="360"/>
      <c r="AO169" s="360"/>
      <c r="AP169" s="360"/>
      <c r="AQ169" s="360"/>
      <c r="AR169" s="360"/>
      <c r="AS169" s="360"/>
      <c r="AT169" s="360"/>
      <c r="AV169" s="542"/>
      <c r="AW169" s="551"/>
      <c r="AX169" s="551"/>
      <c r="AY169" s="9"/>
      <c r="AZ169" s="48"/>
      <c r="BA169" s="360"/>
      <c r="BB169" s="360"/>
      <c r="BC169" s="360"/>
      <c r="BD169" s="360"/>
      <c r="BE169" s="360"/>
    </row>
    <row r="170" spans="8:57" x14ac:dyDescent="0.2">
      <c r="H170" s="548"/>
      <c r="I170" s="4"/>
      <c r="K170" s="4"/>
      <c r="L170" s="4"/>
      <c r="R170" s="360"/>
      <c r="S170" s="360"/>
      <c r="T170" s="360"/>
      <c r="U170" s="360"/>
      <c r="W170" s="360"/>
      <c r="X170" s="360"/>
      <c r="Y170" s="360"/>
      <c r="Z170" s="360"/>
      <c r="AA170" s="541"/>
      <c r="AB170" s="360"/>
      <c r="AC170" s="360"/>
      <c r="AD170" s="360"/>
      <c r="AE170" s="360"/>
      <c r="AG170" s="360"/>
      <c r="AH170" s="360"/>
      <c r="AI170" s="360"/>
      <c r="AJ170" s="360"/>
      <c r="AK170" s="360"/>
      <c r="AL170" s="360"/>
      <c r="AM170" s="360"/>
      <c r="AN170" s="360"/>
      <c r="AO170" s="360"/>
      <c r="AP170" s="360"/>
      <c r="AQ170" s="360"/>
      <c r="AR170" s="360"/>
      <c r="AS170" s="360"/>
      <c r="AT170" s="360"/>
      <c r="AV170" s="542"/>
      <c r="AW170" s="551"/>
      <c r="AX170" s="551"/>
      <c r="AY170" s="9"/>
      <c r="AZ170" s="48"/>
      <c r="BA170" s="360"/>
      <c r="BB170" s="360"/>
      <c r="BC170" s="360"/>
      <c r="BD170" s="360"/>
      <c r="BE170" s="360"/>
    </row>
    <row r="171" spans="8:57" x14ac:dyDescent="0.2">
      <c r="H171" s="548"/>
      <c r="I171" s="4"/>
      <c r="K171" s="4"/>
      <c r="L171" s="4"/>
      <c r="R171" s="360"/>
      <c r="S171" s="360"/>
      <c r="T171" s="360"/>
      <c r="U171" s="360"/>
      <c r="W171" s="360"/>
      <c r="X171" s="360"/>
      <c r="Y171" s="360"/>
      <c r="Z171" s="360"/>
      <c r="AA171" s="541"/>
      <c r="AB171" s="360"/>
      <c r="AC171" s="360"/>
      <c r="AD171" s="360"/>
      <c r="AE171" s="360"/>
      <c r="AG171" s="360"/>
      <c r="AH171" s="360"/>
      <c r="AI171" s="360"/>
      <c r="AJ171" s="360"/>
      <c r="AK171" s="360"/>
      <c r="AL171" s="360"/>
      <c r="AM171" s="360"/>
      <c r="AN171" s="360"/>
      <c r="AO171" s="360"/>
      <c r="AP171" s="360"/>
      <c r="AQ171" s="360"/>
      <c r="AR171" s="360"/>
      <c r="AS171" s="360"/>
      <c r="AT171" s="360"/>
      <c r="AV171" s="542"/>
      <c r="AW171" s="551"/>
      <c r="AX171" s="551"/>
      <c r="AY171" s="9"/>
      <c r="AZ171" s="48"/>
      <c r="BA171" s="360"/>
      <c r="BB171" s="360"/>
      <c r="BC171" s="360"/>
      <c r="BD171" s="360"/>
      <c r="BE171" s="360"/>
    </row>
    <row r="172" spans="8:57" x14ac:dyDescent="0.2">
      <c r="H172" s="548"/>
      <c r="I172" s="4"/>
      <c r="K172" s="4"/>
      <c r="L172" s="4"/>
      <c r="R172" s="360"/>
      <c r="S172" s="360"/>
      <c r="T172" s="360"/>
      <c r="U172" s="360"/>
      <c r="W172" s="360"/>
      <c r="X172" s="360"/>
      <c r="Y172" s="360"/>
      <c r="Z172" s="360"/>
      <c r="AA172" s="541"/>
      <c r="AB172" s="360"/>
      <c r="AC172" s="360"/>
      <c r="AD172" s="360"/>
      <c r="AE172" s="360"/>
      <c r="AG172" s="360"/>
      <c r="AH172" s="360"/>
      <c r="AI172" s="360"/>
      <c r="AJ172" s="360"/>
      <c r="AK172" s="360"/>
      <c r="AL172" s="360"/>
      <c r="AM172" s="360"/>
      <c r="AN172" s="360"/>
      <c r="AO172" s="360"/>
      <c r="AP172" s="360"/>
      <c r="AQ172" s="360"/>
      <c r="AR172" s="360"/>
      <c r="AS172" s="360"/>
      <c r="AT172" s="360"/>
      <c r="AV172" s="542"/>
      <c r="AW172" s="551"/>
      <c r="AX172" s="551"/>
      <c r="AY172" s="9"/>
      <c r="AZ172" s="48"/>
      <c r="BA172" s="360"/>
      <c r="BB172" s="360"/>
      <c r="BC172" s="360"/>
      <c r="BD172" s="360"/>
      <c r="BE172" s="360"/>
    </row>
    <row r="173" spans="8:57" x14ac:dyDescent="0.2">
      <c r="H173" s="548"/>
      <c r="I173" s="4"/>
      <c r="K173" s="4"/>
      <c r="L173" s="4"/>
      <c r="R173" s="360"/>
      <c r="S173" s="360"/>
      <c r="T173" s="360"/>
      <c r="U173" s="360"/>
      <c r="W173" s="360"/>
      <c r="X173" s="360"/>
      <c r="Y173" s="360"/>
      <c r="Z173" s="360"/>
      <c r="AA173" s="541"/>
      <c r="AB173" s="360"/>
      <c r="AC173" s="360"/>
      <c r="AD173" s="360"/>
      <c r="AE173" s="360"/>
      <c r="AG173" s="360"/>
      <c r="AH173" s="360"/>
      <c r="AI173" s="360"/>
      <c r="AJ173" s="360"/>
      <c r="AK173" s="360"/>
      <c r="AL173" s="360"/>
      <c r="AM173" s="360"/>
      <c r="AN173" s="360"/>
      <c r="AO173" s="360"/>
      <c r="AP173" s="360"/>
      <c r="AQ173" s="360"/>
      <c r="AR173" s="360"/>
      <c r="AS173" s="360"/>
      <c r="AT173" s="360"/>
      <c r="AV173" s="542"/>
      <c r="AW173" s="551"/>
      <c r="AX173" s="551"/>
      <c r="AY173" s="9"/>
      <c r="AZ173" s="48"/>
      <c r="BA173" s="360"/>
      <c r="BB173" s="360"/>
      <c r="BC173" s="360"/>
      <c r="BD173" s="360"/>
      <c r="BE173" s="360"/>
    </row>
    <row r="174" spans="8:57" x14ac:dyDescent="0.2">
      <c r="H174" s="548"/>
      <c r="I174" s="4"/>
      <c r="K174" s="4"/>
      <c r="L174" s="4"/>
      <c r="R174" s="360"/>
      <c r="S174" s="360"/>
      <c r="T174" s="360"/>
      <c r="U174" s="360"/>
      <c r="W174" s="360"/>
      <c r="X174" s="360"/>
      <c r="Y174" s="360"/>
      <c r="Z174" s="360"/>
      <c r="AA174" s="541"/>
      <c r="AB174" s="360"/>
      <c r="AC174" s="360"/>
      <c r="AD174" s="360"/>
      <c r="AE174" s="360"/>
      <c r="AG174" s="360"/>
      <c r="AH174" s="360"/>
      <c r="AI174" s="360"/>
      <c r="AJ174" s="360"/>
      <c r="AK174" s="360"/>
      <c r="AL174" s="360"/>
      <c r="AM174" s="360"/>
      <c r="AN174" s="360"/>
      <c r="AO174" s="360"/>
      <c r="AP174" s="360"/>
      <c r="AQ174" s="360"/>
      <c r="AR174" s="360"/>
      <c r="AS174" s="360"/>
      <c r="AT174" s="360"/>
      <c r="AV174" s="542"/>
      <c r="AW174" s="551"/>
      <c r="AX174" s="551"/>
      <c r="AY174" s="9"/>
      <c r="AZ174" s="48"/>
      <c r="BA174" s="360"/>
      <c r="BB174" s="360"/>
      <c r="BC174" s="360"/>
      <c r="BD174" s="360"/>
      <c r="BE174" s="360"/>
    </row>
    <row r="175" spans="8:57" x14ac:dyDescent="0.2">
      <c r="H175" s="548"/>
      <c r="I175" s="4"/>
      <c r="K175" s="4"/>
      <c r="L175" s="4"/>
      <c r="R175" s="360"/>
      <c r="S175" s="360"/>
      <c r="T175" s="360"/>
      <c r="U175" s="360"/>
      <c r="W175" s="360"/>
      <c r="X175" s="360"/>
      <c r="Y175" s="360"/>
      <c r="Z175" s="360"/>
      <c r="AA175" s="541"/>
      <c r="AB175" s="360"/>
      <c r="AC175" s="360"/>
      <c r="AD175" s="360"/>
      <c r="AE175" s="360"/>
      <c r="AG175" s="360"/>
      <c r="AH175" s="360"/>
      <c r="AI175" s="360"/>
      <c r="AJ175" s="360"/>
      <c r="AK175" s="360"/>
      <c r="AL175" s="360"/>
      <c r="AM175" s="360"/>
      <c r="AN175" s="360"/>
      <c r="AO175" s="360"/>
      <c r="AP175" s="360"/>
      <c r="AQ175" s="360"/>
      <c r="AR175" s="360"/>
      <c r="AS175" s="360"/>
      <c r="AT175" s="360"/>
      <c r="AV175" s="542"/>
      <c r="AW175" s="551"/>
      <c r="AX175" s="551"/>
      <c r="AY175" s="9"/>
      <c r="AZ175" s="48"/>
      <c r="BA175" s="360"/>
      <c r="BB175" s="360"/>
      <c r="BC175" s="360"/>
      <c r="BD175" s="360"/>
      <c r="BE175" s="360"/>
    </row>
    <row r="176" spans="8:57" x14ac:dyDescent="0.2">
      <c r="H176" s="548"/>
      <c r="I176" s="4"/>
      <c r="K176" s="4"/>
      <c r="L176" s="4"/>
      <c r="R176" s="360"/>
      <c r="S176" s="360"/>
      <c r="T176" s="360"/>
      <c r="U176" s="360"/>
      <c r="W176" s="360"/>
      <c r="X176" s="360"/>
      <c r="Y176" s="360"/>
      <c r="Z176" s="360"/>
      <c r="AA176" s="541"/>
      <c r="AB176" s="360"/>
      <c r="AC176" s="360"/>
      <c r="AD176" s="360"/>
      <c r="AE176" s="360"/>
      <c r="AG176" s="360"/>
      <c r="AH176" s="360"/>
      <c r="AI176" s="360"/>
      <c r="AJ176" s="360"/>
      <c r="AK176" s="360"/>
      <c r="AL176" s="360"/>
      <c r="AM176" s="360"/>
      <c r="AN176" s="360"/>
      <c r="AO176" s="360"/>
      <c r="AP176" s="360"/>
      <c r="AQ176" s="360"/>
      <c r="AR176" s="360"/>
      <c r="AS176" s="360"/>
      <c r="AT176" s="360"/>
      <c r="AV176" s="542"/>
      <c r="AW176" s="551"/>
      <c r="AX176" s="551"/>
      <c r="AY176" s="9"/>
      <c r="AZ176" s="48"/>
      <c r="BA176" s="360"/>
      <c r="BB176" s="360"/>
      <c r="BC176" s="360"/>
      <c r="BD176" s="360"/>
      <c r="BE176" s="360"/>
    </row>
    <row r="177" spans="8:57" x14ac:dyDescent="0.2">
      <c r="H177" s="548"/>
      <c r="I177" s="4"/>
      <c r="K177" s="4"/>
      <c r="L177" s="4"/>
      <c r="R177" s="360"/>
      <c r="S177" s="360"/>
      <c r="T177" s="360"/>
      <c r="U177" s="360"/>
      <c r="W177" s="360"/>
      <c r="X177" s="360"/>
      <c r="Y177" s="360"/>
      <c r="Z177" s="360"/>
      <c r="AA177" s="541"/>
      <c r="AB177" s="360"/>
      <c r="AC177" s="360"/>
      <c r="AD177" s="360"/>
      <c r="AE177" s="360"/>
      <c r="AG177" s="360"/>
      <c r="AH177" s="360"/>
      <c r="AI177" s="360"/>
      <c r="AJ177" s="360"/>
      <c r="AK177" s="360"/>
      <c r="AL177" s="360"/>
      <c r="AM177" s="360"/>
      <c r="AN177" s="360"/>
      <c r="AO177" s="360"/>
      <c r="AP177" s="360"/>
      <c r="AQ177" s="360"/>
      <c r="AR177" s="360"/>
      <c r="AS177" s="360"/>
      <c r="AT177" s="360"/>
      <c r="AV177" s="542"/>
      <c r="AW177" s="551"/>
      <c r="AX177" s="551"/>
      <c r="AY177" s="9"/>
      <c r="AZ177" s="48"/>
      <c r="BA177" s="360"/>
      <c r="BB177" s="360"/>
      <c r="BC177" s="360"/>
      <c r="BD177" s="360"/>
      <c r="BE177" s="360"/>
    </row>
    <row r="178" spans="8:57" x14ac:dyDescent="0.2">
      <c r="H178" s="548"/>
      <c r="I178" s="4"/>
      <c r="K178" s="4"/>
      <c r="L178" s="4"/>
      <c r="R178" s="360"/>
      <c r="S178" s="360"/>
      <c r="T178" s="360"/>
      <c r="U178" s="360"/>
      <c r="W178" s="360"/>
      <c r="X178" s="360"/>
      <c r="Y178" s="360"/>
      <c r="Z178" s="360"/>
      <c r="AA178" s="541"/>
      <c r="AB178" s="360"/>
      <c r="AC178" s="360"/>
      <c r="AD178" s="360"/>
      <c r="AE178" s="360"/>
      <c r="AG178" s="360"/>
      <c r="AH178" s="360"/>
      <c r="AI178" s="360"/>
      <c r="AJ178" s="360"/>
      <c r="AK178" s="360"/>
      <c r="AL178" s="360"/>
      <c r="AM178" s="360"/>
      <c r="AN178" s="360"/>
      <c r="AO178" s="360"/>
      <c r="AP178" s="360"/>
      <c r="AQ178" s="360"/>
      <c r="AR178" s="360"/>
      <c r="AS178" s="360"/>
      <c r="AT178" s="360"/>
      <c r="AV178" s="542"/>
      <c r="AW178" s="551"/>
      <c r="AX178" s="551"/>
      <c r="AY178" s="9"/>
      <c r="AZ178" s="48"/>
      <c r="BA178" s="360"/>
      <c r="BB178" s="360"/>
      <c r="BC178" s="360"/>
      <c r="BD178" s="360"/>
      <c r="BE178" s="360"/>
    </row>
    <row r="179" spans="8:57" x14ac:dyDescent="0.2">
      <c r="H179" s="548"/>
      <c r="I179" s="4"/>
      <c r="K179" s="4"/>
      <c r="L179" s="4"/>
      <c r="R179" s="360"/>
      <c r="S179" s="360"/>
      <c r="T179" s="360"/>
      <c r="U179" s="360"/>
      <c r="W179" s="360"/>
      <c r="X179" s="360"/>
      <c r="Y179" s="360"/>
      <c r="Z179" s="360"/>
      <c r="AA179" s="541"/>
      <c r="AB179" s="360"/>
      <c r="AC179" s="360"/>
      <c r="AD179" s="360"/>
      <c r="AE179" s="360"/>
      <c r="AG179" s="360"/>
      <c r="AH179" s="360"/>
      <c r="AI179" s="360"/>
      <c r="AJ179" s="360"/>
      <c r="AK179" s="360"/>
      <c r="AL179" s="360"/>
      <c r="AM179" s="360"/>
      <c r="AN179" s="360"/>
      <c r="AO179" s="360"/>
      <c r="AP179" s="360"/>
      <c r="AQ179" s="360"/>
      <c r="AR179" s="360"/>
      <c r="AS179" s="360"/>
      <c r="AT179" s="360"/>
      <c r="AV179" s="542"/>
      <c r="AW179" s="551"/>
      <c r="AX179" s="551"/>
      <c r="AY179" s="9"/>
      <c r="AZ179" s="48"/>
      <c r="BA179" s="360"/>
      <c r="BB179" s="360"/>
      <c r="BC179" s="360"/>
      <c r="BD179" s="360"/>
      <c r="BE179" s="360"/>
    </row>
    <row r="180" spans="8:57" x14ac:dyDescent="0.2">
      <c r="H180" s="548"/>
      <c r="I180" s="4"/>
      <c r="K180" s="4"/>
      <c r="L180" s="4"/>
      <c r="R180" s="360"/>
      <c r="S180" s="360"/>
      <c r="T180" s="360"/>
      <c r="U180" s="360"/>
      <c r="W180" s="360"/>
      <c r="X180" s="360"/>
      <c r="Y180" s="360"/>
      <c r="Z180" s="360"/>
      <c r="AA180" s="541"/>
      <c r="AB180" s="360"/>
      <c r="AC180" s="360"/>
      <c r="AD180" s="360"/>
      <c r="AE180" s="360"/>
      <c r="AG180" s="360"/>
      <c r="AH180" s="360"/>
      <c r="AI180" s="360"/>
      <c r="AJ180" s="360"/>
      <c r="AK180" s="360"/>
      <c r="AL180" s="360"/>
      <c r="AM180" s="360"/>
      <c r="AN180" s="360"/>
      <c r="AO180" s="360"/>
      <c r="AP180" s="360"/>
      <c r="AQ180" s="360"/>
      <c r="AR180" s="360"/>
      <c r="AS180" s="360"/>
      <c r="AT180" s="360"/>
      <c r="AV180" s="542"/>
      <c r="AW180" s="551"/>
      <c r="AX180" s="551"/>
      <c r="AY180" s="9"/>
      <c r="AZ180" s="48"/>
      <c r="BA180" s="360"/>
      <c r="BB180" s="360"/>
      <c r="BC180" s="360"/>
      <c r="BD180" s="360"/>
      <c r="BE180" s="360"/>
    </row>
    <row r="181" spans="8:57" x14ac:dyDescent="0.2">
      <c r="H181" s="548"/>
      <c r="I181" s="4"/>
      <c r="K181" s="4"/>
      <c r="L181" s="4"/>
      <c r="R181" s="360"/>
      <c r="S181" s="360"/>
      <c r="T181" s="360"/>
      <c r="U181" s="360"/>
      <c r="W181" s="360"/>
      <c r="X181" s="360"/>
      <c r="Y181" s="360"/>
      <c r="Z181" s="360"/>
      <c r="AA181" s="541"/>
      <c r="AB181" s="360"/>
      <c r="AC181" s="360"/>
      <c r="AD181" s="360"/>
      <c r="AE181" s="360"/>
      <c r="AG181" s="360"/>
      <c r="AH181" s="360"/>
      <c r="AI181" s="360"/>
      <c r="AJ181" s="360"/>
      <c r="AK181" s="360"/>
      <c r="AL181" s="360"/>
      <c r="AM181" s="360"/>
      <c r="AN181" s="360"/>
      <c r="AO181" s="360"/>
      <c r="AP181" s="360"/>
      <c r="AQ181" s="360"/>
      <c r="AR181" s="360"/>
      <c r="AS181" s="360"/>
      <c r="AT181" s="360"/>
      <c r="AV181" s="542"/>
      <c r="AW181" s="551"/>
      <c r="AX181" s="551"/>
      <c r="AY181" s="9"/>
      <c r="AZ181" s="48"/>
      <c r="BA181" s="360"/>
      <c r="BB181" s="360"/>
      <c r="BC181" s="360"/>
      <c r="BD181" s="360"/>
      <c r="BE181" s="360"/>
    </row>
    <row r="182" spans="8:57" x14ac:dyDescent="0.2">
      <c r="H182" s="548"/>
      <c r="I182" s="4"/>
      <c r="K182" s="4"/>
      <c r="L182" s="4"/>
      <c r="R182" s="360"/>
      <c r="S182" s="360"/>
      <c r="T182" s="360"/>
      <c r="U182" s="360"/>
      <c r="W182" s="360"/>
      <c r="X182" s="360"/>
      <c r="Y182" s="360"/>
      <c r="Z182" s="360"/>
      <c r="AA182" s="541"/>
      <c r="AB182" s="360"/>
      <c r="AC182" s="360"/>
      <c r="AD182" s="360"/>
      <c r="AE182" s="360"/>
      <c r="AG182" s="360"/>
      <c r="AH182" s="360"/>
      <c r="AI182" s="360"/>
      <c r="AJ182" s="360"/>
      <c r="AK182" s="360"/>
      <c r="AL182" s="360"/>
      <c r="AM182" s="360"/>
      <c r="AN182" s="360"/>
      <c r="AO182" s="360"/>
      <c r="AP182" s="360"/>
      <c r="AQ182" s="360"/>
      <c r="AR182" s="360"/>
      <c r="AS182" s="360"/>
      <c r="AT182" s="360"/>
      <c r="AV182" s="542"/>
      <c r="AW182" s="551"/>
      <c r="AX182" s="551"/>
      <c r="AY182" s="9"/>
      <c r="AZ182" s="48"/>
      <c r="BA182" s="360"/>
      <c r="BB182" s="360"/>
      <c r="BC182" s="360"/>
      <c r="BD182" s="360"/>
      <c r="BE182" s="360"/>
    </row>
    <row r="183" spans="8:57" x14ac:dyDescent="0.2">
      <c r="H183" s="548"/>
      <c r="I183" s="4"/>
      <c r="K183" s="4"/>
      <c r="L183" s="4"/>
      <c r="R183" s="360"/>
      <c r="S183" s="360"/>
      <c r="T183" s="360"/>
      <c r="U183" s="360"/>
      <c r="W183" s="360"/>
      <c r="X183" s="360"/>
      <c r="Y183" s="360"/>
      <c r="Z183" s="360"/>
      <c r="AA183" s="541"/>
      <c r="AB183" s="360"/>
      <c r="AC183" s="360"/>
      <c r="AD183" s="360"/>
      <c r="AE183" s="360"/>
      <c r="AG183" s="360"/>
      <c r="AH183" s="360"/>
      <c r="AI183" s="360"/>
      <c r="AJ183" s="360"/>
      <c r="AK183" s="360"/>
      <c r="AL183" s="360"/>
      <c r="AM183" s="360"/>
      <c r="AN183" s="360"/>
      <c r="AO183" s="360"/>
      <c r="AP183" s="360"/>
      <c r="AQ183" s="360"/>
      <c r="AR183" s="360"/>
      <c r="AS183" s="360"/>
      <c r="AT183" s="360"/>
      <c r="AV183" s="542"/>
      <c r="AW183" s="551"/>
      <c r="AX183" s="551"/>
      <c r="AY183" s="9"/>
      <c r="AZ183" s="48"/>
      <c r="BA183" s="360"/>
      <c r="BB183" s="360"/>
      <c r="BC183" s="360"/>
      <c r="BD183" s="360"/>
      <c r="BE183" s="360"/>
    </row>
    <row r="184" spans="8:57" x14ac:dyDescent="0.2">
      <c r="H184" s="548"/>
      <c r="I184" s="4"/>
      <c r="K184" s="4"/>
      <c r="L184" s="4"/>
      <c r="R184" s="360"/>
      <c r="S184" s="360"/>
      <c r="T184" s="360"/>
      <c r="U184" s="360"/>
      <c r="W184" s="360"/>
      <c r="X184" s="360"/>
      <c r="Y184" s="360"/>
      <c r="Z184" s="360"/>
      <c r="AA184" s="541"/>
      <c r="AB184" s="360"/>
      <c r="AC184" s="360"/>
      <c r="AD184" s="360"/>
      <c r="AE184" s="360"/>
      <c r="AG184" s="360"/>
      <c r="AH184" s="360"/>
      <c r="AI184" s="360"/>
      <c r="AJ184" s="360"/>
      <c r="AK184" s="360"/>
      <c r="AL184" s="360"/>
      <c r="AM184" s="360"/>
      <c r="AN184" s="360"/>
      <c r="AO184" s="360"/>
      <c r="AP184" s="360"/>
      <c r="AQ184" s="360"/>
      <c r="AR184" s="360"/>
      <c r="AS184" s="360"/>
      <c r="AT184" s="360"/>
      <c r="AV184" s="542"/>
      <c r="AW184" s="551"/>
      <c r="AX184" s="551"/>
      <c r="AY184" s="9"/>
      <c r="AZ184" s="48"/>
      <c r="BA184" s="360"/>
      <c r="BB184" s="360"/>
      <c r="BC184" s="360"/>
      <c r="BD184" s="360"/>
      <c r="BE184" s="360"/>
    </row>
    <row r="185" spans="8:57" x14ac:dyDescent="0.2">
      <c r="H185" s="548"/>
      <c r="I185" s="4"/>
      <c r="K185" s="4"/>
      <c r="L185" s="4"/>
      <c r="R185" s="360"/>
      <c r="S185" s="360"/>
      <c r="T185" s="360"/>
      <c r="U185" s="360"/>
      <c r="W185" s="360"/>
      <c r="X185" s="360"/>
      <c r="Y185" s="360"/>
      <c r="Z185" s="360"/>
      <c r="AA185" s="541"/>
      <c r="AB185" s="360"/>
      <c r="AC185" s="360"/>
      <c r="AD185" s="360"/>
      <c r="AE185" s="360"/>
      <c r="AG185" s="360"/>
      <c r="AH185" s="360"/>
      <c r="AI185" s="360"/>
      <c r="AJ185" s="360"/>
      <c r="AK185" s="360"/>
      <c r="AL185" s="360"/>
      <c r="AM185" s="360"/>
      <c r="AN185" s="360"/>
      <c r="AO185" s="360"/>
      <c r="AP185" s="360"/>
      <c r="AQ185" s="360"/>
      <c r="AR185" s="360"/>
      <c r="AS185" s="360"/>
      <c r="AT185" s="360"/>
      <c r="AV185" s="542"/>
      <c r="AW185" s="551"/>
      <c r="AX185" s="551"/>
      <c r="AY185" s="9"/>
      <c r="AZ185" s="48"/>
      <c r="BA185" s="360"/>
      <c r="BB185" s="360"/>
      <c r="BC185" s="360"/>
      <c r="BD185" s="360"/>
      <c r="BE185" s="360"/>
    </row>
    <row r="186" spans="8:57" x14ac:dyDescent="0.2">
      <c r="H186" s="548"/>
      <c r="I186" s="4"/>
      <c r="K186" s="4"/>
      <c r="L186" s="4"/>
      <c r="R186" s="360"/>
      <c r="S186" s="360"/>
      <c r="T186" s="360"/>
      <c r="U186" s="360"/>
      <c r="W186" s="360"/>
      <c r="X186" s="360"/>
      <c r="Y186" s="360"/>
      <c r="Z186" s="360"/>
      <c r="AA186" s="541"/>
      <c r="AB186" s="360"/>
      <c r="AC186" s="360"/>
      <c r="AD186" s="360"/>
      <c r="AE186" s="360"/>
      <c r="AG186" s="360"/>
      <c r="AH186" s="360"/>
      <c r="AI186" s="360"/>
      <c r="AJ186" s="360"/>
      <c r="AK186" s="360"/>
      <c r="AL186" s="360"/>
      <c r="AM186" s="360"/>
      <c r="AN186" s="360"/>
      <c r="AO186" s="360"/>
      <c r="AP186" s="360"/>
      <c r="AQ186" s="360"/>
      <c r="AR186" s="360"/>
      <c r="AS186" s="360"/>
      <c r="AT186" s="360"/>
      <c r="AV186" s="542"/>
      <c r="AW186" s="551"/>
      <c r="AX186" s="551"/>
      <c r="AY186" s="9"/>
      <c r="AZ186" s="48"/>
      <c r="BA186" s="360"/>
      <c r="BB186" s="360"/>
      <c r="BC186" s="360"/>
      <c r="BD186" s="360"/>
      <c r="BE186" s="360"/>
    </row>
    <row r="187" spans="8:57" x14ac:dyDescent="0.2">
      <c r="H187" s="548"/>
      <c r="I187" s="4"/>
      <c r="K187" s="4"/>
      <c r="L187" s="4"/>
      <c r="R187" s="360"/>
      <c r="S187" s="360"/>
      <c r="T187" s="360"/>
      <c r="U187" s="360"/>
      <c r="W187" s="360"/>
      <c r="X187" s="360"/>
      <c r="Y187" s="360"/>
      <c r="Z187" s="360"/>
      <c r="AA187" s="541"/>
      <c r="AB187" s="360"/>
      <c r="AC187" s="360"/>
      <c r="AD187" s="360"/>
      <c r="AE187" s="360"/>
      <c r="AG187" s="360"/>
      <c r="AH187" s="360"/>
      <c r="AI187" s="360"/>
      <c r="AJ187" s="360"/>
      <c r="AK187" s="360"/>
      <c r="AL187" s="360"/>
      <c r="AM187" s="360"/>
      <c r="AN187" s="360"/>
      <c r="AO187" s="360"/>
      <c r="AP187" s="360"/>
      <c r="AQ187" s="360"/>
      <c r="AR187" s="360"/>
      <c r="AS187" s="360"/>
      <c r="AT187" s="360"/>
      <c r="AV187" s="542"/>
      <c r="AW187" s="551"/>
      <c r="AX187" s="551"/>
      <c r="AY187" s="9"/>
      <c r="AZ187" s="48"/>
      <c r="BA187" s="360"/>
      <c r="BB187" s="360"/>
      <c r="BC187" s="360"/>
      <c r="BD187" s="360"/>
      <c r="BE187" s="360"/>
    </row>
    <row r="188" spans="8:57" x14ac:dyDescent="0.2">
      <c r="H188" s="548"/>
      <c r="I188" s="4"/>
      <c r="K188" s="4"/>
      <c r="L188" s="4"/>
      <c r="R188" s="360"/>
      <c r="S188" s="360"/>
      <c r="T188" s="360"/>
      <c r="U188" s="360"/>
      <c r="W188" s="360"/>
      <c r="X188" s="360"/>
      <c r="Y188" s="360"/>
      <c r="Z188" s="360"/>
      <c r="AA188" s="541"/>
      <c r="AB188" s="360"/>
      <c r="AC188" s="360"/>
      <c r="AD188" s="360"/>
      <c r="AE188" s="360"/>
      <c r="AG188" s="360"/>
      <c r="AH188" s="360"/>
      <c r="AI188" s="360"/>
      <c r="AJ188" s="360"/>
      <c r="AK188" s="360"/>
      <c r="AL188" s="360"/>
      <c r="AM188" s="360"/>
      <c r="AN188" s="360"/>
      <c r="AO188" s="360"/>
      <c r="AP188" s="360"/>
      <c r="AQ188" s="360"/>
      <c r="AR188" s="360"/>
      <c r="AS188" s="360"/>
      <c r="AT188" s="360"/>
      <c r="AV188" s="542"/>
      <c r="AW188" s="551"/>
      <c r="AX188" s="551"/>
      <c r="AY188" s="9"/>
      <c r="AZ188" s="48"/>
      <c r="BA188" s="360"/>
      <c r="BB188" s="360"/>
      <c r="BC188" s="360"/>
      <c r="BD188" s="360"/>
      <c r="BE188" s="360"/>
    </row>
    <row r="189" spans="8:57" x14ac:dyDescent="0.2">
      <c r="H189" s="548"/>
      <c r="I189" s="4"/>
      <c r="K189" s="4"/>
      <c r="L189" s="4"/>
      <c r="R189" s="360"/>
      <c r="S189" s="360"/>
      <c r="T189" s="360"/>
      <c r="U189" s="360"/>
      <c r="W189" s="360"/>
      <c r="X189" s="360"/>
      <c r="Y189" s="360"/>
      <c r="Z189" s="360"/>
      <c r="AA189" s="541"/>
      <c r="AB189" s="360"/>
      <c r="AC189" s="360"/>
      <c r="AD189" s="360"/>
      <c r="AE189" s="360"/>
      <c r="AG189" s="360"/>
      <c r="AH189" s="360"/>
      <c r="AI189" s="360"/>
      <c r="AJ189" s="360"/>
      <c r="AK189" s="360"/>
      <c r="AL189" s="360"/>
      <c r="AM189" s="360"/>
      <c r="AN189" s="360"/>
      <c r="AO189" s="360"/>
      <c r="AP189" s="360"/>
      <c r="AQ189" s="360"/>
      <c r="AR189" s="360"/>
      <c r="AS189" s="360"/>
      <c r="AT189" s="360"/>
      <c r="AV189" s="542"/>
      <c r="AW189" s="551"/>
      <c r="AX189" s="551"/>
      <c r="AY189" s="9"/>
      <c r="AZ189" s="48"/>
      <c r="BA189" s="360"/>
      <c r="BB189" s="360"/>
      <c r="BC189" s="360"/>
      <c r="BD189" s="360"/>
      <c r="BE189" s="360"/>
    </row>
    <row r="190" spans="8:57" x14ac:dyDescent="0.2">
      <c r="H190" s="548"/>
      <c r="I190" s="4"/>
      <c r="K190" s="4"/>
      <c r="L190" s="4"/>
      <c r="R190" s="360"/>
      <c r="S190" s="360"/>
      <c r="T190" s="360"/>
      <c r="U190" s="360"/>
      <c r="W190" s="360"/>
      <c r="X190" s="360"/>
      <c r="Y190" s="360"/>
      <c r="Z190" s="360"/>
      <c r="AA190" s="541"/>
      <c r="AB190" s="360"/>
      <c r="AC190" s="360"/>
      <c r="AD190" s="360"/>
      <c r="AE190" s="360"/>
      <c r="AG190" s="360"/>
      <c r="AH190" s="360"/>
      <c r="AI190" s="360"/>
      <c r="AJ190" s="360"/>
      <c r="AK190" s="360"/>
      <c r="AL190" s="360"/>
      <c r="AM190" s="360"/>
      <c r="AN190" s="360"/>
      <c r="AO190" s="360"/>
      <c r="AP190" s="360"/>
      <c r="AQ190" s="360"/>
      <c r="AR190" s="360"/>
      <c r="AS190" s="360"/>
      <c r="AT190" s="360"/>
      <c r="AV190" s="542"/>
      <c r="AW190" s="551"/>
      <c r="AX190" s="551"/>
      <c r="AY190" s="9"/>
      <c r="AZ190" s="48"/>
      <c r="BA190" s="360"/>
      <c r="BB190" s="360"/>
      <c r="BC190" s="360"/>
      <c r="BD190" s="360"/>
      <c r="BE190" s="360"/>
    </row>
    <row r="191" spans="8:57" x14ac:dyDescent="0.2">
      <c r="H191" s="548"/>
      <c r="I191" s="4"/>
      <c r="K191" s="4"/>
      <c r="L191" s="4"/>
      <c r="R191" s="360"/>
      <c r="S191" s="360"/>
      <c r="T191" s="360"/>
      <c r="U191" s="360"/>
      <c r="W191" s="360"/>
      <c r="X191" s="360"/>
      <c r="Y191" s="360"/>
      <c r="Z191" s="360"/>
      <c r="AA191" s="541"/>
      <c r="AB191" s="360"/>
      <c r="AC191" s="360"/>
      <c r="AD191" s="360"/>
      <c r="AE191" s="360"/>
      <c r="AG191" s="360"/>
      <c r="AH191" s="360"/>
      <c r="AI191" s="360"/>
      <c r="AJ191" s="360"/>
      <c r="AK191" s="360"/>
      <c r="AL191" s="360"/>
      <c r="AM191" s="360"/>
      <c r="AN191" s="360"/>
      <c r="AO191" s="360"/>
      <c r="AP191" s="360"/>
      <c r="AQ191" s="360"/>
      <c r="AR191" s="360"/>
      <c r="AS191" s="360"/>
      <c r="AT191" s="360"/>
      <c r="AV191" s="542"/>
      <c r="AW191" s="551"/>
      <c r="AX191" s="551"/>
      <c r="AY191" s="9"/>
      <c r="AZ191" s="48"/>
      <c r="BA191" s="360"/>
      <c r="BB191" s="360"/>
      <c r="BC191" s="360"/>
      <c r="BD191" s="360"/>
      <c r="BE191" s="360"/>
    </row>
    <row r="192" spans="8:57" x14ac:dyDescent="0.2">
      <c r="H192" s="548"/>
      <c r="I192" s="4"/>
      <c r="K192" s="4"/>
      <c r="L192" s="4"/>
      <c r="R192" s="360"/>
      <c r="S192" s="360"/>
      <c r="T192" s="360"/>
      <c r="U192" s="360"/>
      <c r="W192" s="360"/>
      <c r="X192" s="360"/>
      <c r="Y192" s="360"/>
      <c r="Z192" s="360"/>
      <c r="AA192" s="541"/>
      <c r="AB192" s="360"/>
      <c r="AC192" s="360"/>
      <c r="AD192" s="360"/>
      <c r="AE192" s="360"/>
      <c r="AG192" s="360"/>
      <c r="AH192" s="360"/>
      <c r="AI192" s="360"/>
      <c r="AJ192" s="360"/>
      <c r="AK192" s="360"/>
      <c r="AL192" s="360"/>
      <c r="AM192" s="360"/>
      <c r="AN192" s="360"/>
      <c r="AO192" s="360"/>
      <c r="AP192" s="360"/>
      <c r="AQ192" s="360"/>
      <c r="AR192" s="360"/>
      <c r="AS192" s="360"/>
      <c r="AT192" s="360"/>
      <c r="AV192" s="542"/>
      <c r="AW192" s="551"/>
      <c r="AX192" s="551"/>
      <c r="AY192" s="9"/>
      <c r="AZ192" s="48"/>
      <c r="BA192" s="360"/>
      <c r="BB192" s="360"/>
      <c r="BC192" s="360"/>
      <c r="BD192" s="360"/>
      <c r="BE192" s="360"/>
    </row>
    <row r="193" spans="8:57" x14ac:dyDescent="0.2">
      <c r="H193" s="548"/>
      <c r="I193" s="4"/>
      <c r="K193" s="4"/>
      <c r="L193" s="4"/>
      <c r="R193" s="360"/>
      <c r="S193" s="360"/>
      <c r="T193" s="360"/>
      <c r="U193" s="360"/>
      <c r="W193" s="360"/>
      <c r="X193" s="360"/>
      <c r="Y193" s="360"/>
      <c r="Z193" s="360"/>
      <c r="AA193" s="541"/>
      <c r="AB193" s="360"/>
      <c r="AC193" s="360"/>
      <c r="AD193" s="360"/>
      <c r="AE193" s="360"/>
      <c r="AG193" s="360"/>
      <c r="AH193" s="360"/>
      <c r="AI193" s="360"/>
      <c r="AJ193" s="360"/>
      <c r="AK193" s="360"/>
      <c r="AL193" s="360"/>
      <c r="AM193" s="360"/>
      <c r="AN193" s="360"/>
      <c r="AO193" s="360"/>
      <c r="AP193" s="360"/>
      <c r="AQ193" s="360"/>
      <c r="AR193" s="360"/>
      <c r="AS193" s="360"/>
      <c r="AT193" s="360"/>
      <c r="AV193" s="542"/>
      <c r="AW193" s="551"/>
      <c r="AX193" s="551"/>
      <c r="AY193" s="9"/>
      <c r="AZ193" s="48"/>
      <c r="BA193" s="360"/>
      <c r="BB193" s="360"/>
      <c r="BC193" s="360"/>
      <c r="BD193" s="360"/>
      <c r="BE193" s="360"/>
    </row>
    <row r="194" spans="8:57" x14ac:dyDescent="0.2">
      <c r="H194" s="548"/>
      <c r="I194" s="4"/>
      <c r="K194" s="4"/>
      <c r="L194" s="4"/>
      <c r="R194" s="360"/>
      <c r="S194" s="360"/>
      <c r="T194" s="360"/>
      <c r="U194" s="360"/>
      <c r="W194" s="360"/>
      <c r="X194" s="360"/>
      <c r="Y194" s="360"/>
      <c r="Z194" s="360"/>
      <c r="AA194" s="541"/>
      <c r="AB194" s="360"/>
      <c r="AC194" s="360"/>
      <c r="AD194" s="360"/>
      <c r="AE194" s="360"/>
      <c r="AG194" s="360"/>
      <c r="AH194" s="360"/>
      <c r="AI194" s="360"/>
      <c r="AJ194" s="360"/>
      <c r="AK194" s="360"/>
      <c r="AL194" s="360"/>
      <c r="AM194" s="360"/>
      <c r="AN194" s="360"/>
      <c r="AO194" s="360"/>
      <c r="AP194" s="360"/>
      <c r="AQ194" s="360"/>
      <c r="AR194" s="360"/>
      <c r="AS194" s="360"/>
      <c r="AT194" s="360"/>
      <c r="AV194" s="542"/>
      <c r="AW194" s="551"/>
      <c r="AX194" s="551"/>
      <c r="AY194" s="9"/>
      <c r="AZ194" s="48"/>
      <c r="BA194" s="360"/>
      <c r="BB194" s="360"/>
      <c r="BC194" s="360"/>
      <c r="BD194" s="360"/>
      <c r="BE194" s="360"/>
    </row>
    <row r="195" spans="8:57" x14ac:dyDescent="0.2">
      <c r="H195" s="548"/>
      <c r="I195" s="4"/>
      <c r="K195" s="4"/>
      <c r="L195" s="4"/>
      <c r="R195" s="360"/>
      <c r="S195" s="360"/>
      <c r="T195" s="360"/>
      <c r="U195" s="360"/>
      <c r="W195" s="360"/>
      <c r="X195" s="360"/>
      <c r="Y195" s="360"/>
      <c r="Z195" s="360"/>
      <c r="AA195" s="541"/>
      <c r="AB195" s="360"/>
      <c r="AC195" s="360"/>
      <c r="AD195" s="360"/>
      <c r="AE195" s="360"/>
      <c r="AG195" s="360"/>
      <c r="AH195" s="360"/>
      <c r="AI195" s="360"/>
      <c r="AJ195" s="360"/>
      <c r="AK195" s="360"/>
      <c r="AL195" s="360"/>
      <c r="AM195" s="360"/>
      <c r="AN195" s="360"/>
      <c r="AO195" s="360"/>
      <c r="AP195" s="360"/>
      <c r="AQ195" s="360"/>
      <c r="AR195" s="360"/>
      <c r="AS195" s="360"/>
      <c r="AT195" s="360"/>
      <c r="AV195" s="542"/>
      <c r="AW195" s="551"/>
      <c r="AX195" s="551"/>
      <c r="AY195" s="9"/>
      <c r="AZ195" s="48"/>
      <c r="BA195" s="360"/>
      <c r="BB195" s="360"/>
      <c r="BC195" s="360"/>
      <c r="BD195" s="360"/>
      <c r="BE195" s="360"/>
    </row>
    <row r="196" spans="8:57" x14ac:dyDescent="0.2">
      <c r="H196" s="548"/>
      <c r="I196" s="4"/>
      <c r="K196" s="4"/>
      <c r="L196" s="4"/>
      <c r="R196" s="360"/>
      <c r="S196" s="360"/>
      <c r="T196" s="360"/>
      <c r="U196" s="360"/>
      <c r="W196" s="360"/>
      <c r="X196" s="360"/>
      <c r="Y196" s="360"/>
      <c r="Z196" s="360"/>
      <c r="AA196" s="541"/>
      <c r="AB196" s="360"/>
      <c r="AC196" s="360"/>
      <c r="AD196" s="360"/>
      <c r="AE196" s="360"/>
      <c r="AG196" s="360"/>
      <c r="AH196" s="360"/>
      <c r="AI196" s="360"/>
      <c r="AJ196" s="360"/>
      <c r="AK196" s="360"/>
      <c r="AL196" s="360"/>
      <c r="AM196" s="360"/>
      <c r="AN196" s="360"/>
      <c r="AO196" s="360"/>
      <c r="AP196" s="360"/>
      <c r="AQ196" s="360"/>
      <c r="AR196" s="360"/>
      <c r="AS196" s="360"/>
      <c r="AT196" s="360"/>
      <c r="AV196" s="542"/>
      <c r="AW196" s="551"/>
      <c r="AX196" s="551"/>
      <c r="AY196" s="9"/>
      <c r="AZ196" s="48"/>
      <c r="BA196" s="360"/>
      <c r="BB196" s="360"/>
      <c r="BC196" s="360"/>
      <c r="BD196" s="360"/>
      <c r="BE196" s="360"/>
    </row>
    <row r="197" spans="8:57" x14ac:dyDescent="0.2">
      <c r="H197" s="548"/>
      <c r="I197" s="4"/>
      <c r="K197" s="4"/>
      <c r="L197" s="4"/>
      <c r="R197" s="360"/>
      <c r="S197" s="360"/>
      <c r="T197" s="360"/>
      <c r="U197" s="360"/>
      <c r="W197" s="360"/>
      <c r="X197" s="360"/>
      <c r="Y197" s="360"/>
      <c r="Z197" s="360"/>
      <c r="AA197" s="541"/>
      <c r="AB197" s="360"/>
      <c r="AC197" s="360"/>
      <c r="AD197" s="360"/>
      <c r="AE197" s="360"/>
      <c r="AG197" s="360"/>
      <c r="AH197" s="360"/>
      <c r="AI197" s="360"/>
      <c r="AJ197" s="360"/>
      <c r="AK197" s="360"/>
      <c r="AL197" s="360"/>
      <c r="AM197" s="360"/>
      <c r="AN197" s="360"/>
      <c r="AO197" s="360"/>
      <c r="AP197" s="360"/>
      <c r="AQ197" s="360"/>
      <c r="AR197" s="360"/>
      <c r="AS197" s="360"/>
      <c r="AT197" s="360"/>
      <c r="AV197" s="542"/>
      <c r="AW197" s="551"/>
      <c r="AX197" s="551"/>
      <c r="AY197" s="9"/>
      <c r="AZ197" s="48"/>
      <c r="BA197" s="360"/>
      <c r="BB197" s="360"/>
      <c r="BC197" s="360"/>
      <c r="BD197" s="360"/>
      <c r="BE197" s="360"/>
    </row>
    <row r="198" spans="8:57" x14ac:dyDescent="0.2">
      <c r="H198" s="548"/>
      <c r="I198" s="4"/>
      <c r="K198" s="4"/>
      <c r="L198" s="4"/>
      <c r="R198" s="360"/>
      <c r="S198" s="360"/>
      <c r="T198" s="360"/>
      <c r="U198" s="360"/>
      <c r="W198" s="360"/>
      <c r="X198" s="360"/>
      <c r="Y198" s="360"/>
      <c r="Z198" s="360"/>
      <c r="AA198" s="541"/>
      <c r="AB198" s="360"/>
      <c r="AC198" s="360"/>
      <c r="AD198" s="360"/>
      <c r="AE198" s="360"/>
      <c r="AG198" s="360"/>
      <c r="AH198" s="360"/>
      <c r="AI198" s="360"/>
      <c r="AJ198" s="360"/>
      <c r="AK198" s="360"/>
      <c r="AL198" s="360"/>
      <c r="AM198" s="360"/>
      <c r="AN198" s="360"/>
      <c r="AO198" s="360"/>
      <c r="AP198" s="360"/>
      <c r="AQ198" s="360"/>
      <c r="AR198" s="360"/>
      <c r="AS198" s="360"/>
      <c r="AT198" s="360"/>
      <c r="AV198" s="542"/>
      <c r="AW198" s="551"/>
      <c r="AX198" s="551"/>
      <c r="AY198" s="9"/>
      <c r="AZ198" s="48"/>
      <c r="BA198" s="360"/>
      <c r="BB198" s="360"/>
      <c r="BC198" s="360"/>
      <c r="BD198" s="360"/>
      <c r="BE198" s="360"/>
    </row>
    <row r="199" spans="8:57" x14ac:dyDescent="0.2">
      <c r="H199" s="548"/>
      <c r="I199" s="4"/>
      <c r="K199" s="4"/>
      <c r="L199" s="4"/>
      <c r="R199" s="360"/>
      <c r="S199" s="360"/>
      <c r="T199" s="360"/>
      <c r="U199" s="360"/>
      <c r="W199" s="360"/>
      <c r="X199" s="360"/>
      <c r="Y199" s="360"/>
      <c r="Z199" s="360"/>
      <c r="AA199" s="541"/>
      <c r="AB199" s="360"/>
      <c r="AC199" s="360"/>
      <c r="AD199" s="360"/>
      <c r="AE199" s="360"/>
      <c r="AG199" s="360"/>
      <c r="AH199" s="360"/>
      <c r="AI199" s="360"/>
      <c r="AJ199" s="360"/>
      <c r="AK199" s="360"/>
      <c r="AL199" s="360"/>
      <c r="AM199" s="360"/>
      <c r="AN199" s="360"/>
      <c r="AO199" s="360"/>
      <c r="AP199" s="360"/>
      <c r="AQ199" s="360"/>
      <c r="AR199" s="360"/>
      <c r="AS199" s="360"/>
      <c r="AT199" s="360"/>
      <c r="AV199" s="542"/>
      <c r="AW199" s="551"/>
      <c r="AX199" s="551"/>
      <c r="AY199" s="9"/>
      <c r="AZ199" s="48"/>
      <c r="BA199" s="360"/>
      <c r="BB199" s="360"/>
      <c r="BC199" s="360"/>
      <c r="BD199" s="360"/>
      <c r="BE199" s="360"/>
    </row>
    <row r="200" spans="8:57" x14ac:dyDescent="0.2">
      <c r="H200" s="548"/>
      <c r="I200" s="4"/>
      <c r="K200" s="4"/>
      <c r="L200" s="4"/>
      <c r="R200" s="360"/>
      <c r="S200" s="360"/>
      <c r="T200" s="360"/>
      <c r="U200" s="360"/>
      <c r="W200" s="360"/>
      <c r="X200" s="360"/>
      <c r="Y200" s="360"/>
      <c r="Z200" s="360"/>
      <c r="AA200" s="541"/>
      <c r="AB200" s="360"/>
      <c r="AC200" s="360"/>
      <c r="AD200" s="360"/>
      <c r="AE200" s="360"/>
      <c r="AG200" s="360"/>
      <c r="AH200" s="360"/>
      <c r="AI200" s="360"/>
      <c r="AJ200" s="360"/>
      <c r="AK200" s="360"/>
      <c r="AL200" s="360"/>
      <c r="AM200" s="360"/>
      <c r="AN200" s="360"/>
      <c r="AO200" s="360"/>
      <c r="AP200" s="360"/>
      <c r="AQ200" s="360"/>
      <c r="AR200" s="360"/>
      <c r="AS200" s="360"/>
      <c r="AT200" s="360"/>
      <c r="AV200" s="542"/>
      <c r="AW200" s="551"/>
      <c r="AX200" s="551"/>
      <c r="AY200" s="9"/>
      <c r="AZ200" s="48"/>
      <c r="BA200" s="360"/>
      <c r="BB200" s="360"/>
      <c r="BC200" s="360"/>
      <c r="BD200" s="360"/>
      <c r="BE200" s="360"/>
    </row>
    <row r="201" spans="8:57" x14ac:dyDescent="0.2">
      <c r="H201" s="548"/>
      <c r="I201" s="4"/>
      <c r="K201" s="4"/>
      <c r="L201" s="4"/>
      <c r="R201" s="360"/>
      <c r="S201" s="360"/>
      <c r="T201" s="360"/>
      <c r="U201" s="360"/>
      <c r="W201" s="360"/>
      <c r="X201" s="360"/>
      <c r="Y201" s="360"/>
      <c r="Z201" s="360"/>
      <c r="AA201" s="541"/>
      <c r="AB201" s="360"/>
      <c r="AC201" s="360"/>
      <c r="AD201" s="360"/>
      <c r="AE201" s="360"/>
      <c r="AG201" s="360"/>
      <c r="AH201" s="360"/>
      <c r="AI201" s="360"/>
      <c r="AJ201" s="360"/>
      <c r="AK201" s="360"/>
      <c r="AL201" s="360"/>
      <c r="AM201" s="360"/>
      <c r="AN201" s="360"/>
      <c r="AO201" s="360"/>
      <c r="AP201" s="360"/>
      <c r="AQ201" s="360"/>
      <c r="AR201" s="360"/>
      <c r="AS201" s="360"/>
      <c r="AT201" s="360"/>
      <c r="AV201" s="542"/>
      <c r="AW201" s="551"/>
      <c r="AX201" s="551"/>
      <c r="AY201" s="9"/>
      <c r="AZ201" s="48"/>
      <c r="BA201" s="360"/>
      <c r="BB201" s="360"/>
      <c r="BC201" s="360"/>
      <c r="BD201" s="360"/>
      <c r="BE201" s="360"/>
    </row>
    <row r="202" spans="8:57" x14ac:dyDescent="0.2">
      <c r="H202" s="548"/>
      <c r="I202" s="4"/>
      <c r="K202" s="4"/>
      <c r="L202" s="4"/>
      <c r="R202" s="360"/>
      <c r="S202" s="360"/>
      <c r="T202" s="360"/>
      <c r="U202" s="360"/>
      <c r="W202" s="360"/>
      <c r="X202" s="360"/>
      <c r="Y202" s="360"/>
      <c r="Z202" s="360"/>
      <c r="AA202" s="541"/>
      <c r="AB202" s="360"/>
      <c r="AC202" s="360"/>
      <c r="AD202" s="360"/>
      <c r="AE202" s="360"/>
      <c r="AG202" s="360"/>
      <c r="AH202" s="360"/>
      <c r="AI202" s="360"/>
      <c r="AJ202" s="360"/>
      <c r="AK202" s="360"/>
      <c r="AL202" s="360"/>
      <c r="AM202" s="360"/>
      <c r="AN202" s="360"/>
      <c r="AO202" s="360"/>
      <c r="AP202" s="360"/>
      <c r="AQ202" s="360"/>
      <c r="AR202" s="360"/>
      <c r="AS202" s="360"/>
      <c r="AT202" s="360"/>
      <c r="AV202" s="542"/>
      <c r="AW202" s="551"/>
      <c r="AX202" s="551"/>
      <c r="AY202" s="9"/>
      <c r="AZ202" s="48"/>
      <c r="BA202" s="360"/>
      <c r="BB202" s="360"/>
      <c r="BC202" s="360"/>
      <c r="BD202" s="360"/>
      <c r="BE202" s="360"/>
    </row>
    <row r="203" spans="8:57" x14ac:dyDescent="0.2">
      <c r="H203" s="548"/>
      <c r="I203" s="4"/>
      <c r="K203" s="4"/>
      <c r="L203" s="4"/>
      <c r="R203" s="360"/>
      <c r="S203" s="360"/>
      <c r="T203" s="360"/>
      <c r="U203" s="360"/>
      <c r="W203" s="360"/>
      <c r="X203" s="360"/>
      <c r="Y203" s="360"/>
      <c r="Z203" s="360"/>
      <c r="AA203" s="541"/>
      <c r="AB203" s="360"/>
      <c r="AC203" s="360"/>
      <c r="AD203" s="360"/>
      <c r="AE203" s="360"/>
      <c r="AG203" s="360"/>
      <c r="AH203" s="360"/>
      <c r="AI203" s="360"/>
      <c r="AJ203" s="360"/>
      <c r="AK203" s="360"/>
      <c r="AL203" s="360"/>
      <c r="AM203" s="360"/>
      <c r="AN203" s="360"/>
      <c r="AO203" s="360"/>
      <c r="AP203" s="360"/>
      <c r="AQ203" s="360"/>
      <c r="AR203" s="360"/>
      <c r="AS203" s="360"/>
      <c r="AT203" s="360"/>
      <c r="AV203" s="542"/>
      <c r="AW203" s="551"/>
      <c r="AX203" s="551"/>
      <c r="AY203" s="9"/>
      <c r="AZ203" s="48"/>
      <c r="BA203" s="360"/>
      <c r="BB203" s="360"/>
      <c r="BC203" s="360"/>
      <c r="BD203" s="360"/>
      <c r="BE203" s="360"/>
    </row>
    <row r="204" spans="8:57" x14ac:dyDescent="0.2">
      <c r="H204" s="548"/>
      <c r="I204" s="4"/>
      <c r="K204" s="4"/>
      <c r="L204" s="4"/>
      <c r="R204" s="360"/>
      <c r="S204" s="360"/>
      <c r="T204" s="360"/>
      <c r="U204" s="360"/>
      <c r="W204" s="360"/>
      <c r="X204" s="360"/>
      <c r="Y204" s="360"/>
      <c r="Z204" s="360"/>
      <c r="AA204" s="541"/>
      <c r="AB204" s="360"/>
      <c r="AC204" s="360"/>
      <c r="AD204" s="360"/>
      <c r="AE204" s="360"/>
      <c r="AG204" s="360"/>
      <c r="AH204" s="360"/>
      <c r="AI204" s="360"/>
      <c r="AJ204" s="360"/>
      <c r="AK204" s="360"/>
      <c r="AL204" s="360"/>
      <c r="AM204" s="360"/>
      <c r="AN204" s="360"/>
      <c r="AO204" s="360"/>
      <c r="AP204" s="360"/>
      <c r="AQ204" s="360"/>
      <c r="AR204" s="360"/>
      <c r="AS204" s="360"/>
      <c r="AT204" s="360"/>
      <c r="AV204" s="542"/>
      <c r="AW204" s="551"/>
      <c r="AX204" s="551"/>
      <c r="AY204" s="9"/>
      <c r="AZ204" s="48"/>
      <c r="BA204" s="360"/>
      <c r="BB204" s="360"/>
      <c r="BC204" s="360"/>
      <c r="BD204" s="360"/>
      <c r="BE204" s="360"/>
    </row>
    <row r="205" spans="8:57" x14ac:dyDescent="0.2">
      <c r="H205" s="548"/>
      <c r="I205" s="4"/>
      <c r="K205" s="4"/>
      <c r="L205" s="4"/>
      <c r="R205" s="360"/>
      <c r="S205" s="360"/>
      <c r="T205" s="360"/>
      <c r="U205" s="360"/>
      <c r="W205" s="360"/>
      <c r="X205" s="360"/>
      <c r="Y205" s="360"/>
      <c r="Z205" s="360"/>
      <c r="AA205" s="541"/>
      <c r="AB205" s="360"/>
      <c r="AC205" s="360"/>
      <c r="AD205" s="360"/>
      <c r="AE205" s="360"/>
      <c r="AG205" s="360"/>
      <c r="AH205" s="360"/>
      <c r="AI205" s="360"/>
      <c r="AJ205" s="360"/>
      <c r="AK205" s="360"/>
      <c r="AL205" s="360"/>
      <c r="AM205" s="360"/>
      <c r="AN205" s="360"/>
      <c r="AO205" s="360"/>
      <c r="AP205" s="360"/>
      <c r="AQ205" s="360"/>
      <c r="AR205" s="360"/>
      <c r="AS205" s="360"/>
      <c r="AT205" s="360"/>
      <c r="AV205" s="542"/>
      <c r="AW205" s="551"/>
      <c r="AX205" s="551"/>
      <c r="AY205" s="9"/>
      <c r="AZ205" s="48"/>
      <c r="BA205" s="360"/>
      <c r="BB205" s="360"/>
      <c r="BC205" s="360"/>
      <c r="BD205" s="360"/>
      <c r="BE205" s="360"/>
    </row>
    <row r="206" spans="8:57" x14ac:dyDescent="0.2">
      <c r="H206" s="548"/>
      <c r="I206" s="4"/>
      <c r="K206" s="4"/>
      <c r="L206" s="4"/>
      <c r="R206" s="360"/>
      <c r="S206" s="360"/>
      <c r="T206" s="360"/>
      <c r="U206" s="360"/>
      <c r="W206" s="360"/>
      <c r="X206" s="360"/>
      <c r="Y206" s="360"/>
      <c r="Z206" s="360"/>
      <c r="AA206" s="541"/>
      <c r="AB206" s="360"/>
      <c r="AC206" s="360"/>
      <c r="AD206" s="360"/>
      <c r="AE206" s="360"/>
      <c r="AG206" s="360"/>
      <c r="AH206" s="360"/>
      <c r="AI206" s="360"/>
      <c r="AJ206" s="360"/>
      <c r="AK206" s="360"/>
      <c r="AL206" s="360"/>
      <c r="AM206" s="360"/>
      <c r="AN206" s="360"/>
      <c r="AO206" s="360"/>
      <c r="AP206" s="360"/>
      <c r="AQ206" s="360"/>
      <c r="AR206" s="360"/>
      <c r="AS206" s="360"/>
      <c r="AT206" s="360"/>
      <c r="AV206" s="542"/>
      <c r="AW206" s="551"/>
      <c r="AX206" s="551"/>
      <c r="AY206" s="9"/>
      <c r="AZ206" s="48"/>
      <c r="BA206" s="360"/>
      <c r="BB206" s="360"/>
      <c r="BC206" s="360"/>
      <c r="BD206" s="360"/>
      <c r="BE206" s="360"/>
    </row>
    <row r="207" spans="8:57" x14ac:dyDescent="0.2">
      <c r="H207" s="548"/>
      <c r="I207" s="4"/>
      <c r="K207" s="4"/>
      <c r="L207" s="4"/>
      <c r="R207" s="360"/>
      <c r="S207" s="360"/>
      <c r="T207" s="360"/>
      <c r="U207" s="360"/>
      <c r="W207" s="360"/>
      <c r="X207" s="360"/>
      <c r="Y207" s="360"/>
      <c r="Z207" s="360"/>
      <c r="AA207" s="541"/>
      <c r="AB207" s="360"/>
      <c r="AC207" s="360"/>
      <c r="AD207" s="360"/>
      <c r="AE207" s="360"/>
      <c r="AG207" s="360"/>
      <c r="AH207" s="360"/>
      <c r="AI207" s="360"/>
      <c r="AJ207" s="360"/>
      <c r="AK207" s="360"/>
      <c r="AL207" s="360"/>
      <c r="AM207" s="360"/>
      <c r="AN207" s="360"/>
      <c r="AO207" s="360"/>
      <c r="AP207" s="360"/>
      <c r="AQ207" s="360"/>
      <c r="AR207" s="360"/>
      <c r="AS207" s="360"/>
      <c r="AT207" s="360"/>
      <c r="AV207" s="542"/>
      <c r="AW207" s="551"/>
      <c r="AX207" s="551"/>
      <c r="AY207" s="9"/>
      <c r="AZ207" s="48"/>
      <c r="BA207" s="360"/>
      <c r="BB207" s="360"/>
      <c r="BC207" s="360"/>
      <c r="BD207" s="360"/>
      <c r="BE207" s="360"/>
    </row>
    <row r="208" spans="8:57" x14ac:dyDescent="0.2">
      <c r="H208" s="548"/>
      <c r="I208" s="4"/>
      <c r="K208" s="4"/>
      <c r="L208" s="4"/>
      <c r="R208" s="360"/>
      <c r="S208" s="360"/>
      <c r="T208" s="360"/>
      <c r="U208" s="360"/>
      <c r="W208" s="360"/>
      <c r="X208" s="360"/>
      <c r="Y208" s="360"/>
      <c r="Z208" s="360"/>
      <c r="AA208" s="541"/>
      <c r="AB208" s="360"/>
      <c r="AC208" s="360"/>
      <c r="AD208" s="360"/>
      <c r="AE208" s="360"/>
      <c r="AG208" s="360"/>
      <c r="AH208" s="360"/>
      <c r="AI208" s="360"/>
      <c r="AJ208" s="360"/>
      <c r="AK208" s="360"/>
      <c r="AL208" s="360"/>
      <c r="AM208" s="360"/>
      <c r="AN208" s="360"/>
      <c r="AO208" s="360"/>
      <c r="AP208" s="360"/>
      <c r="AQ208" s="360"/>
      <c r="AR208" s="360"/>
      <c r="AS208" s="360"/>
      <c r="AT208" s="360"/>
      <c r="AV208" s="542"/>
      <c r="AW208" s="551"/>
      <c r="AX208" s="551"/>
      <c r="AY208" s="9"/>
      <c r="AZ208" s="48"/>
      <c r="BA208" s="360"/>
      <c r="BB208" s="360"/>
      <c r="BC208" s="360"/>
      <c r="BD208" s="360"/>
      <c r="BE208" s="360"/>
    </row>
    <row r="209" spans="8:57" x14ac:dyDescent="0.2">
      <c r="H209" s="548"/>
      <c r="I209" s="4"/>
      <c r="K209" s="4"/>
      <c r="L209" s="4"/>
      <c r="R209" s="360"/>
      <c r="S209" s="360"/>
      <c r="T209" s="360"/>
      <c r="U209" s="360"/>
      <c r="W209" s="360"/>
      <c r="X209" s="360"/>
      <c r="Y209" s="360"/>
      <c r="Z209" s="360"/>
      <c r="AA209" s="541"/>
      <c r="AB209" s="360"/>
      <c r="AC209" s="360"/>
      <c r="AD209" s="360"/>
      <c r="AE209" s="360"/>
      <c r="AG209" s="360"/>
      <c r="AH209" s="360"/>
      <c r="AI209" s="360"/>
      <c r="AJ209" s="360"/>
      <c r="AK209" s="360"/>
      <c r="AL209" s="360"/>
      <c r="AM209" s="360"/>
      <c r="AN209" s="360"/>
      <c r="AO209" s="360"/>
      <c r="AP209" s="360"/>
      <c r="AQ209" s="360"/>
      <c r="AR209" s="360"/>
      <c r="AS209" s="360"/>
      <c r="AT209" s="360"/>
      <c r="AV209" s="542"/>
      <c r="AW209" s="551"/>
      <c r="AX209" s="551"/>
      <c r="AY209" s="9"/>
      <c r="AZ209" s="48"/>
      <c r="BA209" s="360"/>
      <c r="BB209" s="360"/>
      <c r="BC209" s="360"/>
      <c r="BD209" s="360"/>
      <c r="BE209" s="360"/>
    </row>
  </sheetData>
  <sheetProtection selectLockedCells="1"/>
  <mergeCells count="11">
    <mergeCell ref="Y7:AA7"/>
    <mergeCell ref="A1:D4"/>
    <mergeCell ref="A6:D7"/>
    <mergeCell ref="G7:N7"/>
    <mergeCell ref="R7:U7"/>
    <mergeCell ref="V7:X7"/>
    <mergeCell ref="AB7:AG7"/>
    <mergeCell ref="AH7:AK7"/>
    <mergeCell ref="AO7:AS7"/>
    <mergeCell ref="AT7:AX7"/>
    <mergeCell ref="AZ7:BE7"/>
  </mergeCells>
  <pageMargins left="0.75" right="0.75" top="1" bottom="1" header="0.5" footer="0.5"/>
  <pageSetup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2:B7"/>
  <sheetViews>
    <sheetView zoomScaleNormal="100" workbookViewId="0">
      <selection activeCell="F5" sqref="F5"/>
    </sheetView>
  </sheetViews>
  <sheetFormatPr defaultRowHeight="12.75" x14ac:dyDescent="0.2"/>
  <cols>
    <col min="1" max="1" width="10.5703125" customWidth="1"/>
    <col min="2" max="2" width="126" customWidth="1"/>
  </cols>
  <sheetData>
    <row r="2" spans="1:2" x14ac:dyDescent="0.2">
      <c r="A2" t="str">
        <f>IF(PLOT_TYPE=1, "EFF_Ch1", "EFF_Ch2")</f>
        <v>EFF_Ch1</v>
      </c>
    </row>
    <row r="5" spans="1:2" ht="409.5" customHeight="1" x14ac:dyDescent="0.2">
      <c r="B5" s="537"/>
    </row>
    <row r="7" spans="1:2" ht="409.5" customHeight="1" x14ac:dyDescent="0.2">
      <c r="B7" s="537"/>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N10"/>
  <sheetViews>
    <sheetView topLeftCell="A10" zoomScaleNormal="100" workbookViewId="0">
      <selection activeCell="B14" sqref="B14"/>
    </sheetView>
  </sheetViews>
  <sheetFormatPr defaultRowHeight="12.75" x14ac:dyDescent="0.2"/>
  <cols>
    <col min="1" max="1" width="10.5703125" customWidth="1"/>
    <col min="2" max="2" width="129.28515625" customWidth="1"/>
  </cols>
  <sheetData>
    <row r="1" spans="1:14" x14ac:dyDescent="0.2">
      <c r="J1" s="114" t="s">
        <v>621</v>
      </c>
      <c r="N1" s="114" t="s">
        <v>623</v>
      </c>
    </row>
    <row r="2" spans="1:14" x14ac:dyDescent="0.2">
      <c r="A2" t="str">
        <f>CHOOSE(SCH_MODE, "SCH_DUAL", "SCH_SINGLE", "SCH_MULTIPHASE", "SCH_MULTIPHASE")</f>
        <v>SCH_DUAL</v>
      </c>
      <c r="J2" s="114" t="s">
        <v>622</v>
      </c>
      <c r="N2" s="114" t="s">
        <v>777</v>
      </c>
    </row>
    <row r="3" spans="1:14" x14ac:dyDescent="0.2">
      <c r="J3" s="114" t="s">
        <v>620</v>
      </c>
    </row>
    <row r="4" spans="1:14" x14ac:dyDescent="0.2">
      <c r="J4" s="114" t="s">
        <v>619</v>
      </c>
    </row>
    <row r="5" spans="1:14" ht="409.5" customHeight="1" x14ac:dyDescent="0.2">
      <c r="B5" s="537"/>
    </row>
    <row r="6" spans="1:14" ht="12" customHeight="1" x14ac:dyDescent="0.2">
      <c r="B6" s="537"/>
    </row>
    <row r="7" spans="1:14" ht="34.5" customHeight="1" x14ac:dyDescent="0.2"/>
    <row r="8" spans="1:14" ht="409.5" customHeight="1" x14ac:dyDescent="0.2">
      <c r="B8" s="537"/>
    </row>
    <row r="9" spans="1:14" x14ac:dyDescent="0.2">
      <c r="B9" s="537"/>
    </row>
    <row r="10" spans="1:14" ht="409.5" customHeight="1" x14ac:dyDescent="0.2">
      <c r="B10" s="537"/>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2:P159"/>
  <sheetViews>
    <sheetView workbookViewId="0">
      <selection activeCell="L45" sqref="L44:L45"/>
    </sheetView>
  </sheetViews>
  <sheetFormatPr defaultRowHeight="12.75" x14ac:dyDescent="0.2"/>
  <cols>
    <col min="1" max="1" width="17.28515625" customWidth="1"/>
    <col min="2" max="2" width="12" bestFit="1" customWidth="1"/>
    <col min="3" max="4" width="12.42578125" bestFit="1" customWidth="1"/>
    <col min="7" max="9" width="12.42578125" bestFit="1" customWidth="1"/>
    <col min="10" max="10" width="11.42578125" bestFit="1" customWidth="1"/>
    <col min="13" max="13" width="12.140625" customWidth="1"/>
    <col min="14" max="14" width="12.42578125" bestFit="1" customWidth="1"/>
    <col min="15" max="15" width="15.42578125" customWidth="1"/>
  </cols>
  <sheetData>
    <row r="2" spans="1:16" x14ac:dyDescent="0.2">
      <c r="A2" t="s">
        <v>160</v>
      </c>
      <c r="B2" t="s">
        <v>152</v>
      </c>
      <c r="C2" t="s">
        <v>31</v>
      </c>
      <c r="D2" t="s">
        <v>32</v>
      </c>
      <c r="E2" t="s">
        <v>25</v>
      </c>
      <c r="F2" t="s">
        <v>57</v>
      </c>
      <c r="G2" s="114" t="s">
        <v>682</v>
      </c>
      <c r="H2" s="114" t="s">
        <v>323</v>
      </c>
      <c r="I2" s="114" t="s">
        <v>734</v>
      </c>
      <c r="J2" s="114" t="s">
        <v>735</v>
      </c>
    </row>
    <row r="3" spans="1:16" x14ac:dyDescent="0.2">
      <c r="A3" t="s">
        <v>163</v>
      </c>
      <c r="B3">
        <f>Css</f>
        <v>1.0000000000000002E-7</v>
      </c>
      <c r="C3">
        <f>Cc1ea</f>
        <v>1.7964748913810363E-8</v>
      </c>
      <c r="D3">
        <f>Cc2ea</f>
        <v>9.62895103479661E-11</v>
      </c>
      <c r="E3">
        <f>Cout</f>
        <v>4.6999999999999999E-6</v>
      </c>
      <c r="F3">
        <f>Cin</f>
        <v>5.0000000000000002E-5</v>
      </c>
      <c r="G3">
        <f>Cres</f>
        <v>5.0000000000000008E-7</v>
      </c>
      <c r="H3">
        <f>Cdither_init</f>
        <v>9.2592592592592591E-9</v>
      </c>
      <c r="I3">
        <f>Cc3ea</f>
        <v>4.4911872284525907E-9</v>
      </c>
      <c r="J3">
        <f>Cc4ea</f>
        <v>1.9297729288778835E-11</v>
      </c>
      <c r="M3" t="s">
        <v>165</v>
      </c>
      <c r="N3" t="s">
        <v>166</v>
      </c>
      <c r="O3" s="2" t="s">
        <v>162</v>
      </c>
    </row>
    <row r="4" spans="1:16" x14ac:dyDescent="0.2">
      <c r="A4" s="7" t="s">
        <v>162</v>
      </c>
      <c r="B4" s="7">
        <f>SUM(B6:B158)/1000000000000</f>
        <v>9.9999999999999995E-8</v>
      </c>
      <c r="C4" s="7">
        <f>IF(C3="OPEN","OPEN",SUM(C6:C158)/1000000000000)</f>
        <v>1.7999999999999999E-8</v>
      </c>
      <c r="D4" s="7">
        <f>SUM(D6:D158)/1000000000000</f>
        <v>1E-10</v>
      </c>
      <c r="E4" s="7">
        <f>SUM(E6:E158)/1000000000000</f>
        <v>4.6999999999999999E-6</v>
      </c>
      <c r="F4" s="7">
        <f>SUM(F6:F158)/1000000000000</f>
        <v>4.6999999999999997E-5</v>
      </c>
      <c r="G4" s="7">
        <f>SUM(G6:G158)/1000000000000</f>
        <v>4.7E-7</v>
      </c>
      <c r="H4" s="7">
        <f t="shared" ref="H4:J4" si="0">IF(H3="OPEN","OPEN",SUM(H6:H158)/1000000000000)</f>
        <v>1E-8</v>
      </c>
      <c r="I4" s="7">
        <f t="shared" si="0"/>
        <v>4.6999999999999999E-9</v>
      </c>
      <c r="J4" s="7">
        <f t="shared" si="0"/>
        <v>1.7999999999999999E-11</v>
      </c>
      <c r="M4" s="114" t="s">
        <v>280</v>
      </c>
      <c r="N4">
        <f>Rfadj</f>
        <v>10476.190476190475</v>
      </c>
      <c r="O4" s="2">
        <f t="shared" ref="O4:O7" si="1">IF(N4&gt;(INT(0.5+100*POWER(10,IF(96*(LOG(N4)-INT(LOG(N4)))-ROUND(96*(LOG(N4)-INT(LOG(N4))),0)&lt;0,ROUND(96*(LOG(N4)-INT(LOG(N4))),0)-1,ROUND(96*(LOG(N4)-INT(LOG(N4))),0))/96))*POWER(10,INT(LOG(N4))-2)+INT(0.5+100*POWER(10,(IF(96*(LOG(N4)-INT(LOG(N4)))-ROUND(96*(LOG(N4)-INT(LOG(N4))),0)&lt;0,ROUND(96*(LOG(N4)-INT(LOG(N4))),0)-1,ROUND(96*(LOG(N4)-INT(LOG(N4))),0))+1)/96))*POWER(10,INT(LOG(N4))-2))/2,INT(0.5+100*POWER(10,(IF(96*(LOG(N4)-INT(LOG(N4)))-ROUND(96*(LOG(N4)-INT(LOG(N4))),0)&lt;0,ROUND(96*(LOG(N4)-INT(LOG(N4))),0)-1,ROUND(96*(LOG(N4)-INT(LOG(N4))),0))+1)/96))*POWER(10,INT(LOG(N4))-2),INT(0.5+100*POWER(10,IF(96*(LOG(N4)-INT(LOG(N4)))-ROUND(96*(LOG(N4)-INT(LOG(N4))),0)&lt;0,ROUND(96*(LOG(N4)-INT(LOG(N4))),0)-1,ROUND(96*(LOG(N4)-INT(LOG(N4))),0))/96))*POWER(10,INT(LOG(N4))-2))</f>
        <v>10500</v>
      </c>
      <c r="P4" s="45" t="s">
        <v>268</v>
      </c>
    </row>
    <row r="5" spans="1:16" x14ac:dyDescent="0.2">
      <c r="A5" t="s">
        <v>161</v>
      </c>
      <c r="O5" s="2"/>
      <c r="P5" s="45"/>
    </row>
    <row r="6" spans="1:16" x14ac:dyDescent="0.2">
      <c r="A6">
        <v>0.47</v>
      </c>
      <c r="B6">
        <f t="shared" ref="B6:J6" si="2">IF(IF((B$3*10^12-$A7)*(B$3*10^12-$A6)*-1&lt;0,0,1)*IF(ABS(B$3*10^12-$A7)&gt;(B$3*10^12-$A6),$A6,$A7)=B7,0,IF((B$3*10^12-$A7)*(B$3*10^12-$A6)*-1&lt;0,0,1)*IF(ABS(B$3*10^12-$A7)&gt;(B$3*10^12-$A6),$A6,$A7))</f>
        <v>0</v>
      </c>
      <c r="C6">
        <f t="shared" si="2"/>
        <v>0</v>
      </c>
      <c r="D6">
        <f t="shared" si="2"/>
        <v>0</v>
      </c>
      <c r="E6">
        <f t="shared" si="2"/>
        <v>0</v>
      </c>
      <c r="F6">
        <f t="shared" si="2"/>
        <v>0</v>
      </c>
      <c r="G6">
        <f t="shared" si="2"/>
        <v>0</v>
      </c>
      <c r="H6">
        <f t="shared" si="2"/>
        <v>0</v>
      </c>
      <c r="I6">
        <f t="shared" si="2"/>
        <v>0</v>
      </c>
      <c r="J6">
        <f t="shared" si="2"/>
        <v>0</v>
      </c>
      <c r="M6" s="114"/>
      <c r="N6" s="53"/>
      <c r="O6" s="2"/>
      <c r="P6" s="45"/>
    </row>
    <row r="7" spans="1:16" x14ac:dyDescent="0.2">
      <c r="A7">
        <v>0.56000000000000005</v>
      </c>
      <c r="B7">
        <f t="shared" ref="B7:B70" si="3">IF(IF((B$3*10^12-$A8)*(B$3*10^12-$A7)*-1&lt;0,0,1)*IF(ABS(B$3*10^12-$A8)&gt;(B$3*10^12-$A7),$A7,$A8)=B8,0,IF((B$3*10^12-$A8)*(B$3*10^12-$A7)*-1&lt;0,0,1)*IF(ABS(B$3*10^12-$A8)&gt;(B$3*10^12-$A7),$A7,$A8))</f>
        <v>0</v>
      </c>
      <c r="C7">
        <f t="shared" ref="C7:C38" si="4">IF(IF((C$3*10^12-$A8)*(C$3*10^12-$A7)*-1&lt;0,0,1)*IF(ABS(C$3*10^12-$A8)&gt;(C$3*10^12-$A7),$A7,$A8)=C8,0,IF((C$3*10^12-$A8)*(C$3*10^12-$A7)*-1&lt;0,0,1)*IF(ABS(C$3*10^12-$A8)&gt;(C$3*10^12-$A7),$A7,$A8))</f>
        <v>0</v>
      </c>
      <c r="D7">
        <f t="shared" ref="D7:D69" si="5">IF(IF((D$3*10^12-$A8)*(D$3*10^12-$A7)*-1&lt;0,0,1)*IF(ABS(D$3*10^12-$A8)&gt;(D$3*10^12-$A7),$A7,$A8)=D8,0,IF((D$3*10^12-$A8)*(D$3*10^12-$A7)*-1&lt;0,0,1)*IF(ABS(D$3*10^12-$A8)&gt;(D$3*10^12-$A7),$A7,$A8))</f>
        <v>0</v>
      </c>
      <c r="E7">
        <f t="shared" ref="E7:E69" si="6">IF(IF((E$3*10^12-$A8)*(E$3*10^12-$A7)*-1&lt;0,0,1)*IF(ABS(E$3*10^12-$A8)&gt;(E$3*10^12-$A7),$A7,$A8)=E8,0,IF((E$3*10^12-$A8)*(E$3*10^12-$A7)*-1&lt;0,0,1)*IF(ABS(E$3*10^12-$A8)&gt;(E$3*10^12-$A7),$A7,$A8))</f>
        <v>0</v>
      </c>
      <c r="F7">
        <f t="shared" ref="F7:F69" si="7">IF(IF((F$3*10^12-$A8)*(F$3*10^12-$A7)*-1&lt;0,0,1)*IF(ABS(F$3*10^12-$A8)&gt;(F$3*10^12-$A7),$A7,$A8)=F8,0,IF((F$3*10^12-$A8)*(F$3*10^12-$A7)*-1&lt;0,0,1)*IF(ABS(F$3*10^12-$A8)&gt;(F$3*10^12-$A7),$A7,$A8))</f>
        <v>0</v>
      </c>
      <c r="G7">
        <f t="shared" ref="G7:J69" si="8">IF(IF((G$3*10^12-$A8)*(G$3*10^12-$A7)*-1&lt;0,0,1)*IF(ABS(G$3*10^12-$A8)&gt;(G$3*10^12-$A7),$A7,$A8)=G8,0,IF((G$3*10^12-$A8)*(G$3*10^12-$A7)*-1&lt;0,0,1)*IF(ABS(G$3*10^12-$A8)&gt;(G$3*10^12-$A7),$A7,$A8))</f>
        <v>0</v>
      </c>
      <c r="H7">
        <f t="shared" si="8"/>
        <v>0</v>
      </c>
      <c r="I7">
        <f t="shared" si="8"/>
        <v>0</v>
      </c>
      <c r="J7">
        <f t="shared" si="8"/>
        <v>0</v>
      </c>
      <c r="M7" t="s">
        <v>179</v>
      </c>
      <c r="N7">
        <f>Rcea1</f>
        <v>1476.5485455</v>
      </c>
      <c r="O7" s="2">
        <f t="shared" si="1"/>
        <v>1470</v>
      </c>
      <c r="P7" s="45" t="s">
        <v>268</v>
      </c>
    </row>
    <row r="8" spans="1:16" x14ac:dyDescent="0.2">
      <c r="A8">
        <v>0.68</v>
      </c>
      <c r="B8">
        <f t="shared" si="3"/>
        <v>0</v>
      </c>
      <c r="C8">
        <f t="shared" si="4"/>
        <v>0</v>
      </c>
      <c r="D8">
        <f t="shared" si="5"/>
        <v>0</v>
      </c>
      <c r="E8">
        <f t="shared" si="6"/>
        <v>0</v>
      </c>
      <c r="F8">
        <f t="shared" si="7"/>
        <v>0</v>
      </c>
      <c r="G8">
        <f t="shared" si="8"/>
        <v>0</v>
      </c>
      <c r="H8">
        <f t="shared" si="8"/>
        <v>0</v>
      </c>
      <c r="I8">
        <f t="shared" si="8"/>
        <v>0</v>
      </c>
      <c r="J8">
        <f t="shared" si="8"/>
        <v>0</v>
      </c>
      <c r="M8" t="s">
        <v>179</v>
      </c>
      <c r="N8">
        <f>Rcea2</f>
        <v>5906.1941820000002</v>
      </c>
      <c r="O8" s="2">
        <f t="shared" ref="O8" si="9">IF(N8&gt;(INT(0.5+100*POWER(10,IF(96*(LOG(N8)-INT(LOG(N8)))-ROUND(96*(LOG(N8)-INT(LOG(N8))),0)&lt;0,ROUND(96*(LOG(N8)-INT(LOG(N8))),0)-1,ROUND(96*(LOG(N8)-INT(LOG(N8))),0))/96))*POWER(10,INT(LOG(N8))-2)+INT(0.5+100*POWER(10,(IF(96*(LOG(N8)-INT(LOG(N8)))-ROUND(96*(LOG(N8)-INT(LOG(N8))),0)&lt;0,ROUND(96*(LOG(N8)-INT(LOG(N8))),0)-1,ROUND(96*(LOG(N8)-INT(LOG(N8))),0))+1)/96))*POWER(10,INT(LOG(N8))-2))/2,INT(0.5+100*POWER(10,(IF(96*(LOG(N8)-INT(LOG(N8)))-ROUND(96*(LOG(N8)-INT(LOG(N8))),0)&lt;0,ROUND(96*(LOG(N8)-INT(LOG(N8))),0)-1,ROUND(96*(LOG(N8)-INT(LOG(N8))),0))+1)/96))*POWER(10,INT(LOG(N8))-2),INT(0.5+100*POWER(10,IF(96*(LOG(N8)-INT(LOG(N8)))-ROUND(96*(LOG(N8)-INT(LOG(N8))),0)&lt;0,ROUND(96*(LOG(N8)-INT(LOG(N8))),0)-1,ROUND(96*(LOG(N8)-INT(LOG(N8))),0))/96))*POWER(10,INT(LOG(N8))-2))</f>
        <v>5900</v>
      </c>
      <c r="P8" s="45" t="s">
        <v>268</v>
      </c>
    </row>
    <row r="9" spans="1:16" x14ac:dyDescent="0.2">
      <c r="A9">
        <v>0.82</v>
      </c>
      <c r="B9">
        <f t="shared" si="3"/>
        <v>0</v>
      </c>
      <c r="C9">
        <f t="shared" si="4"/>
        <v>0</v>
      </c>
      <c r="D9">
        <f t="shared" si="5"/>
        <v>0</v>
      </c>
      <c r="E9">
        <f t="shared" si="6"/>
        <v>0</v>
      </c>
      <c r="F9">
        <f t="shared" si="7"/>
        <v>0</v>
      </c>
      <c r="G9">
        <f t="shared" si="8"/>
        <v>0</v>
      </c>
      <c r="H9">
        <f t="shared" si="8"/>
        <v>0</v>
      </c>
      <c r="I9">
        <f t="shared" si="8"/>
        <v>0</v>
      </c>
      <c r="J9">
        <f t="shared" si="8"/>
        <v>0</v>
      </c>
    </row>
    <row r="10" spans="1:16" x14ac:dyDescent="0.2">
      <c r="A10">
        <v>1</v>
      </c>
      <c r="B10">
        <f t="shared" si="3"/>
        <v>0</v>
      </c>
      <c r="C10">
        <f t="shared" si="4"/>
        <v>0</v>
      </c>
      <c r="D10">
        <f t="shared" si="5"/>
        <v>0</v>
      </c>
      <c r="E10">
        <f t="shared" si="6"/>
        <v>0</v>
      </c>
      <c r="F10">
        <f t="shared" si="7"/>
        <v>0</v>
      </c>
      <c r="G10">
        <f t="shared" si="8"/>
        <v>0</v>
      </c>
      <c r="H10">
        <f t="shared" si="8"/>
        <v>0</v>
      </c>
      <c r="I10">
        <f t="shared" si="8"/>
        <v>0</v>
      </c>
      <c r="J10">
        <f t="shared" si="8"/>
        <v>0</v>
      </c>
      <c r="M10" t="s">
        <v>29</v>
      </c>
      <c r="N10">
        <f>Rfb1_</f>
        <v>10000</v>
      </c>
      <c r="O10" s="2">
        <f>IF(N10&gt;(INT(0.5+100*POWER(10,IF(96*(LOG(N10)-INT(LOG(N10)))-ROUND(96*(LOG(N10)-INT(LOG(N10))),0)&lt;0,ROUND(96*(LOG(N10)-INT(LOG(N10))),0)-1,ROUND(96*(LOG(N10)-INT(LOG(N10))),0))/96))*POWER(10,INT(LOG(N10))-2)+INT(0.5+100*POWER(10,(IF(96*(LOG(N10)-INT(LOG(N10)))-ROUND(96*(LOG(N10)-INT(LOG(N10))),0)&lt;0,ROUND(96*(LOG(N10)-INT(LOG(N10))),0)-1,ROUND(96*(LOG(N10)-INT(LOG(N10))),0))+1)/96))*POWER(10,INT(LOG(N10))-2))/2,INT(0.5+100*POWER(10,(IF(96*(LOG(N10)-INT(LOG(N10)))-ROUND(96*(LOG(N10)-INT(LOG(N10))),0)&lt;0,ROUND(96*(LOG(N10)-INT(LOG(N10))),0)-1,ROUND(96*(LOG(N10)-INT(LOG(N10))),0))+1)/96))*POWER(10,INT(LOG(N10))-2),INT(0.5+100*POWER(10,IF(96*(LOG(N10)-INT(LOG(N10)))-ROUND(96*(LOG(N10)-INT(LOG(N10))),0)&lt;0,ROUND(96*(LOG(N10)-INT(LOG(N10))),0)-1,ROUND(96*(LOG(N10)-INT(LOG(N10))),0))/96))*POWER(10,INT(LOG(N10))-2))</f>
        <v>10000</v>
      </c>
      <c r="P10" s="45" t="s">
        <v>268</v>
      </c>
    </row>
    <row r="11" spans="1:16" x14ac:dyDescent="0.2">
      <c r="A11">
        <v>1.2</v>
      </c>
      <c r="B11">
        <f t="shared" si="3"/>
        <v>0</v>
      </c>
      <c r="C11">
        <f t="shared" si="4"/>
        <v>0</v>
      </c>
      <c r="D11">
        <f t="shared" si="5"/>
        <v>0</v>
      </c>
      <c r="E11">
        <f t="shared" si="6"/>
        <v>0</v>
      </c>
      <c r="F11">
        <f t="shared" si="7"/>
        <v>0</v>
      </c>
      <c r="G11">
        <f t="shared" si="8"/>
        <v>0</v>
      </c>
      <c r="H11">
        <f t="shared" si="8"/>
        <v>0</v>
      </c>
      <c r="I11">
        <f t="shared" si="8"/>
        <v>0</v>
      </c>
      <c r="J11">
        <f t="shared" si="8"/>
        <v>0</v>
      </c>
      <c r="M11" t="s">
        <v>40</v>
      </c>
      <c r="N11" s="48">
        <f>Rfb2_</f>
        <v>1363.6363636363635</v>
      </c>
      <c r="O11" s="2">
        <f>IF(N11="OPEN","OPEN",IF(N11&gt;(INT(0.5+100*POWER(10,IF(96*(LOG(N11)-INT(LOG(N11)))-ROUND(96*(LOG(N11)-INT(LOG(N11))),0)&lt;0,ROUND(96*(LOG(N11)-INT(LOG(N11))),0)-1,ROUND(96*(LOG(N11)-INT(LOG(N11))),0))/96))*POWER(10,INT(LOG(N11))-2)+INT(0.5+100*POWER(10,(IF(96*(LOG(N11)-INT(LOG(N11)))-ROUND(96*(LOG(N11)-INT(LOG(N11))),0)&lt;0,ROUND(96*(LOG(N11)-INT(LOG(N11))),0)-1,ROUND(96*(LOG(N11)-INT(LOG(N11))),0))+1)/96))*POWER(10,INT(LOG(N11))-2))/2,INT(0.5+100*POWER(10,(IF(96*(LOG(N11)-INT(LOG(N11)))-ROUND(96*(LOG(N11)-INT(LOG(N11))),0)&lt;0,ROUND(96*(LOG(N11)-INT(LOG(N11))),0)-1,ROUND(96*(LOG(N11)-INT(LOG(N11))),0))+1)/96))*POWER(10,INT(LOG(N11))-2),INT(0.5+100*POWER(10,IF(96*(LOG(N11)-INT(LOG(N11)))-ROUND(96*(LOG(N11)-INT(LOG(N11))),0)&lt;0,ROUND(96*(LOG(N11)-INT(LOG(N11))),0)-1,ROUND(96*(LOG(N11)-INT(LOG(N11))),0))/96))*POWER(10,INT(LOG(N11))-2)))</f>
        <v>1370</v>
      </c>
      <c r="P11" s="45" t="s">
        <v>268</v>
      </c>
    </row>
    <row r="12" spans="1:16" x14ac:dyDescent="0.2">
      <c r="A12">
        <v>1.5</v>
      </c>
      <c r="B12">
        <f t="shared" si="3"/>
        <v>0</v>
      </c>
      <c r="C12">
        <f t="shared" si="4"/>
        <v>0</v>
      </c>
      <c r="D12">
        <f t="shared" si="5"/>
        <v>0</v>
      </c>
      <c r="E12">
        <f t="shared" si="6"/>
        <v>0</v>
      </c>
      <c r="F12">
        <f t="shared" si="7"/>
        <v>0</v>
      </c>
      <c r="G12">
        <f t="shared" si="8"/>
        <v>0</v>
      </c>
      <c r="H12">
        <f t="shared" si="8"/>
        <v>0</v>
      </c>
      <c r="I12">
        <f t="shared" si="8"/>
        <v>0</v>
      </c>
      <c r="J12">
        <f t="shared" si="8"/>
        <v>0</v>
      </c>
      <c r="M12" s="114" t="s">
        <v>736</v>
      </c>
      <c r="N12">
        <f>Rfb3_</f>
        <v>10000</v>
      </c>
      <c r="O12" s="2">
        <f>IF(N12&gt;(INT(0.5+100*POWER(10,IF(96*(LOG(N12)-INT(LOG(N12)))-ROUND(96*(LOG(N12)-INT(LOG(N12))),0)&lt;0,ROUND(96*(LOG(N12)-INT(LOG(N12))),0)-1,ROUND(96*(LOG(N12)-INT(LOG(N12))),0))/96))*POWER(10,INT(LOG(N12))-2)+INT(0.5+100*POWER(10,(IF(96*(LOG(N12)-INT(LOG(N12)))-ROUND(96*(LOG(N12)-INT(LOG(N12))),0)&lt;0,ROUND(96*(LOG(N12)-INT(LOG(N12))),0)-1,ROUND(96*(LOG(N12)-INT(LOG(N12))),0))+1)/96))*POWER(10,INT(LOG(N12))-2))/2,INT(0.5+100*POWER(10,(IF(96*(LOG(N12)-INT(LOG(N12)))-ROUND(96*(LOG(N12)-INT(LOG(N12))),0)&lt;0,ROUND(96*(LOG(N12)-INT(LOG(N12))),0)-1,ROUND(96*(LOG(N12)-INT(LOG(N12))),0))+1)/96))*POWER(10,INT(LOG(N12))-2),INT(0.5+100*POWER(10,IF(96*(LOG(N12)-INT(LOG(N12)))-ROUND(96*(LOG(N12)-INT(LOG(N12))),0)&lt;0,ROUND(96*(LOG(N12)-INT(LOG(N12))),0)-1,ROUND(96*(LOG(N12)-INT(LOG(N12))),0))/96))*POWER(10,INT(LOG(N12))-2))</f>
        <v>10000</v>
      </c>
      <c r="P12" s="45" t="s">
        <v>268</v>
      </c>
    </row>
    <row r="13" spans="1:16" x14ac:dyDescent="0.2">
      <c r="A13">
        <v>1.8</v>
      </c>
      <c r="B13">
        <f t="shared" si="3"/>
        <v>0</v>
      </c>
      <c r="C13">
        <f t="shared" si="4"/>
        <v>0</v>
      </c>
      <c r="D13">
        <f t="shared" si="5"/>
        <v>0</v>
      </c>
      <c r="E13">
        <f t="shared" si="6"/>
        <v>0</v>
      </c>
      <c r="F13">
        <f t="shared" si="7"/>
        <v>0</v>
      </c>
      <c r="G13">
        <f t="shared" si="8"/>
        <v>0</v>
      </c>
      <c r="H13">
        <f t="shared" si="8"/>
        <v>0</v>
      </c>
      <c r="I13">
        <f t="shared" si="8"/>
        <v>0</v>
      </c>
      <c r="J13">
        <f t="shared" si="8"/>
        <v>0</v>
      </c>
      <c r="M13" s="114" t="s">
        <v>737</v>
      </c>
      <c r="N13" s="48">
        <f>Rfb4_</f>
        <v>309.27835051546396</v>
      </c>
      <c r="O13" s="2">
        <f>IF(N13="OPEN","OPEN",IF(N13&gt;(INT(0.5+100*POWER(10,IF(96*(LOG(N13)-INT(LOG(N13)))-ROUND(96*(LOG(N13)-INT(LOG(N13))),0)&lt;0,ROUND(96*(LOG(N13)-INT(LOG(N13))),0)-1,ROUND(96*(LOG(N13)-INT(LOG(N13))),0))/96))*POWER(10,INT(LOG(N13))-2)+INT(0.5+100*POWER(10,(IF(96*(LOG(N13)-INT(LOG(N13)))-ROUND(96*(LOG(N13)-INT(LOG(N13))),0)&lt;0,ROUND(96*(LOG(N13)-INT(LOG(N13))),0)-1,ROUND(96*(LOG(N13)-INT(LOG(N13))),0))+1)/96))*POWER(10,INT(LOG(N13))-2))/2,INT(0.5+100*POWER(10,(IF(96*(LOG(N13)-INT(LOG(N13)))-ROUND(96*(LOG(N13)-INT(LOG(N13))),0)&lt;0,ROUND(96*(LOG(N13)-INT(LOG(N13))),0)-1,ROUND(96*(LOG(N13)-INT(LOG(N13))),0))+1)/96))*POWER(10,INT(LOG(N13))-2),INT(0.5+100*POWER(10,IF(96*(LOG(N13)-INT(LOG(N13)))-ROUND(96*(LOG(N13)-INT(LOG(N13))),0)&lt;0,ROUND(96*(LOG(N13)-INT(LOG(N13))),0)-1,ROUND(96*(LOG(N13)-INT(LOG(N13))),0))/96))*POWER(10,INT(LOG(N13))-2)))</f>
        <v>309</v>
      </c>
      <c r="P13" s="45" t="s">
        <v>268</v>
      </c>
    </row>
    <row r="14" spans="1:16" x14ac:dyDescent="0.2">
      <c r="A14">
        <v>2.2000000000000002</v>
      </c>
      <c r="B14">
        <f t="shared" ref="B14:J14" si="10">IF(IF((B$3*10^12-$A15)*(B$3*10^12-$A14)*-1&lt;0,0,1)*IF(ABS(B$3*10^12-$A15)&gt;(B$3*10^12-$A14),$A14,$A15)=B15,0,IF((B$3*10^12-$A15)*(B$3*10^12-$A14)*-1&lt;0,0,1)*IF(ABS(B$3*10^12-$A15)&gt;(B$3*10^12-$A14),$A14,$A15))</f>
        <v>0</v>
      </c>
      <c r="C14">
        <f t="shared" si="10"/>
        <v>0</v>
      </c>
      <c r="D14">
        <f t="shared" si="10"/>
        <v>0</v>
      </c>
      <c r="E14">
        <f t="shared" si="10"/>
        <v>0</v>
      </c>
      <c r="F14">
        <f t="shared" si="10"/>
        <v>0</v>
      </c>
      <c r="G14">
        <f t="shared" si="10"/>
        <v>0</v>
      </c>
      <c r="H14">
        <f t="shared" si="10"/>
        <v>0</v>
      </c>
      <c r="I14">
        <f t="shared" si="10"/>
        <v>0</v>
      </c>
      <c r="J14">
        <f t="shared" si="10"/>
        <v>0</v>
      </c>
    </row>
    <row r="15" spans="1:16" x14ac:dyDescent="0.2">
      <c r="A15">
        <v>2.7</v>
      </c>
      <c r="B15">
        <f t="shared" si="3"/>
        <v>0</v>
      </c>
      <c r="C15">
        <f t="shared" si="4"/>
        <v>0</v>
      </c>
      <c r="D15">
        <f t="shared" si="5"/>
        <v>0</v>
      </c>
      <c r="E15">
        <f t="shared" si="6"/>
        <v>0</v>
      </c>
      <c r="F15">
        <f t="shared" si="7"/>
        <v>0</v>
      </c>
      <c r="G15">
        <f t="shared" si="8"/>
        <v>0</v>
      </c>
      <c r="H15">
        <f t="shared" si="8"/>
        <v>0</v>
      </c>
      <c r="I15">
        <f t="shared" si="8"/>
        <v>0</v>
      </c>
      <c r="J15">
        <f t="shared" si="8"/>
        <v>0</v>
      </c>
    </row>
    <row r="16" spans="1:16" x14ac:dyDescent="0.2">
      <c r="A16">
        <v>3.3</v>
      </c>
      <c r="B16">
        <f t="shared" si="3"/>
        <v>0</v>
      </c>
      <c r="C16">
        <f t="shared" si="4"/>
        <v>0</v>
      </c>
      <c r="D16">
        <f t="shared" si="5"/>
        <v>0</v>
      </c>
      <c r="E16">
        <f t="shared" si="6"/>
        <v>0</v>
      </c>
      <c r="F16">
        <f t="shared" si="7"/>
        <v>0</v>
      </c>
      <c r="G16">
        <f t="shared" si="8"/>
        <v>0</v>
      </c>
      <c r="H16">
        <f t="shared" si="8"/>
        <v>0</v>
      </c>
      <c r="I16">
        <f t="shared" si="8"/>
        <v>0</v>
      </c>
      <c r="J16">
        <f t="shared" si="8"/>
        <v>0</v>
      </c>
      <c r="M16" s="114" t="s">
        <v>167</v>
      </c>
      <c r="N16" s="360">
        <f>Rs_ideal*1000</f>
        <v>11.377849541637282</v>
      </c>
      <c r="O16" s="2">
        <f>IF(N16=0,0,IF(N16&gt;(INT(0.5+100*POWER(10,IF(96*(LOG(N16)-INT(LOG(N16)))-ROUND(96*(LOG(N16)-INT(LOG(N16))),0)&lt;0,ROUND(96*(LOG(N16)-INT(LOG(N16))),0)-1,ROUND(96*(LOG(N16)-INT(LOG(N16))),0))/96))*POWER(10,INT(LOG(N16))-2)+INT(0.5+100*POWER(10,(IF(96*(LOG(N16)-INT(LOG(N16)))-ROUND(96*(LOG(N16)-INT(LOG(N16))),0)&lt;0,ROUND(96*(LOG(N16)-INT(LOG(N16))),0)-1,ROUND(96*(LOG(N16)-INT(LOG(N16))),0))+1)/96))*POWER(10,INT(LOG(N16))-2))/2,INT(0.5+100*POWER(10,(IF(96*(LOG(N16)-INT(LOG(N16)))-ROUND(96*(LOG(N16)-INT(LOG(N16))),0)&lt;0,ROUND(96*(LOG(N16)-INT(LOG(N16))),0)-1,ROUND(96*(LOG(N16)-INT(LOG(N16))),0))+1)/96))*POWER(10,INT(LOG(N16))-2),INT(0.5+100*POWER(10,IF(96*(LOG(N16)-INT(LOG(N16)))-ROUND(96*(LOG(N16)-INT(LOG(N16))),0)&lt;0,ROUND(96*(LOG(N16)-INT(LOG(N16))),0)-1,ROUND(96*(LOG(N16)-INT(LOG(N16))),0))/96))*POWER(10,INT(LOG(N16))-2)))</f>
        <v>11.3</v>
      </c>
      <c r="P16" s="45" t="s">
        <v>318</v>
      </c>
    </row>
    <row r="17" spans="1:16" x14ac:dyDescent="0.2">
      <c r="A17">
        <v>3.9</v>
      </c>
      <c r="B17">
        <f t="shared" si="3"/>
        <v>0</v>
      </c>
      <c r="C17">
        <f t="shared" si="4"/>
        <v>0</v>
      </c>
      <c r="D17">
        <f t="shared" si="5"/>
        <v>0</v>
      </c>
      <c r="E17">
        <f t="shared" si="6"/>
        <v>0</v>
      </c>
      <c r="F17">
        <f t="shared" si="7"/>
        <v>0</v>
      </c>
      <c r="G17">
        <f t="shared" si="8"/>
        <v>0</v>
      </c>
      <c r="H17">
        <f t="shared" si="8"/>
        <v>0</v>
      </c>
      <c r="I17">
        <f t="shared" si="8"/>
        <v>0</v>
      </c>
      <c r="J17">
        <f t="shared" si="8"/>
        <v>0</v>
      </c>
      <c r="M17" s="114" t="s">
        <v>682</v>
      </c>
      <c r="N17">
        <f>Cres</f>
        <v>5.0000000000000008E-7</v>
      </c>
      <c r="O17">
        <f>G4*1000000000000</f>
        <v>470000</v>
      </c>
      <c r="P17" s="114" t="s">
        <v>30</v>
      </c>
    </row>
    <row r="18" spans="1:16" x14ac:dyDescent="0.2">
      <c r="A18">
        <v>4.7</v>
      </c>
      <c r="B18">
        <f t="shared" si="3"/>
        <v>0</v>
      </c>
      <c r="C18">
        <f t="shared" si="4"/>
        <v>0</v>
      </c>
      <c r="D18">
        <f t="shared" si="5"/>
        <v>0</v>
      </c>
      <c r="E18">
        <f t="shared" si="6"/>
        <v>0</v>
      </c>
      <c r="F18">
        <f t="shared" si="7"/>
        <v>0</v>
      </c>
      <c r="G18">
        <f t="shared" si="8"/>
        <v>0</v>
      </c>
      <c r="H18">
        <f t="shared" si="8"/>
        <v>0</v>
      </c>
      <c r="I18">
        <f t="shared" si="8"/>
        <v>0</v>
      </c>
      <c r="J18">
        <f t="shared" si="8"/>
        <v>0</v>
      </c>
    </row>
    <row r="19" spans="1:16" x14ac:dyDescent="0.2">
      <c r="A19">
        <v>5.6</v>
      </c>
      <c r="B19">
        <f t="shared" si="3"/>
        <v>0</v>
      </c>
      <c r="C19">
        <f t="shared" si="4"/>
        <v>0</v>
      </c>
      <c r="D19">
        <f t="shared" si="5"/>
        <v>0</v>
      </c>
      <c r="E19">
        <f t="shared" si="6"/>
        <v>0</v>
      </c>
      <c r="F19">
        <f t="shared" si="7"/>
        <v>0</v>
      </c>
      <c r="G19">
        <f t="shared" si="8"/>
        <v>0</v>
      </c>
      <c r="H19">
        <f t="shared" si="8"/>
        <v>0</v>
      </c>
      <c r="I19">
        <f t="shared" si="8"/>
        <v>0</v>
      </c>
      <c r="J19">
        <f t="shared" si="8"/>
        <v>0</v>
      </c>
      <c r="M19" s="114"/>
      <c r="O19" s="2"/>
      <c r="P19" s="45"/>
    </row>
    <row r="20" spans="1:16" x14ac:dyDescent="0.2">
      <c r="A20">
        <v>6.8</v>
      </c>
      <c r="B20">
        <f t="shared" si="3"/>
        <v>0</v>
      </c>
      <c r="C20">
        <f t="shared" si="4"/>
        <v>0</v>
      </c>
      <c r="D20">
        <f t="shared" si="5"/>
        <v>0</v>
      </c>
      <c r="E20">
        <f t="shared" si="6"/>
        <v>0</v>
      </c>
      <c r="F20">
        <f t="shared" si="7"/>
        <v>0</v>
      </c>
      <c r="G20">
        <f t="shared" si="8"/>
        <v>0</v>
      </c>
      <c r="H20">
        <f t="shared" si="8"/>
        <v>0</v>
      </c>
      <c r="I20">
        <f t="shared" si="8"/>
        <v>0</v>
      </c>
      <c r="J20">
        <f t="shared" si="8"/>
        <v>0</v>
      </c>
      <c r="M20" s="114"/>
      <c r="O20" s="2"/>
      <c r="P20" s="45"/>
    </row>
    <row r="21" spans="1:16" x14ac:dyDescent="0.2">
      <c r="A21">
        <v>8.1999999999999993</v>
      </c>
      <c r="B21">
        <f t="shared" si="3"/>
        <v>0</v>
      </c>
      <c r="C21">
        <f t="shared" si="4"/>
        <v>0</v>
      </c>
      <c r="D21">
        <f t="shared" si="5"/>
        <v>0</v>
      </c>
      <c r="E21">
        <f t="shared" si="6"/>
        <v>0</v>
      </c>
      <c r="F21">
        <f t="shared" si="7"/>
        <v>0</v>
      </c>
      <c r="G21">
        <f t="shared" si="8"/>
        <v>0</v>
      </c>
      <c r="H21">
        <f t="shared" si="8"/>
        <v>0</v>
      </c>
      <c r="I21">
        <f t="shared" si="8"/>
        <v>0</v>
      </c>
      <c r="J21">
        <f t="shared" si="8"/>
        <v>0</v>
      </c>
      <c r="O21" s="2"/>
    </row>
    <row r="22" spans="1:16" x14ac:dyDescent="0.2">
      <c r="A22">
        <v>10</v>
      </c>
      <c r="B22">
        <f t="shared" si="3"/>
        <v>0</v>
      </c>
      <c r="C22">
        <f t="shared" si="4"/>
        <v>0</v>
      </c>
      <c r="D22">
        <f t="shared" si="5"/>
        <v>0</v>
      </c>
      <c r="E22">
        <f t="shared" si="6"/>
        <v>0</v>
      </c>
      <c r="F22">
        <f t="shared" si="7"/>
        <v>0</v>
      </c>
      <c r="G22">
        <f t="shared" si="8"/>
        <v>0</v>
      </c>
      <c r="H22">
        <f t="shared" si="8"/>
        <v>0</v>
      </c>
      <c r="I22">
        <f t="shared" si="8"/>
        <v>0</v>
      </c>
      <c r="J22">
        <f t="shared" si="8"/>
        <v>0</v>
      </c>
      <c r="M22" s="114" t="s">
        <v>323</v>
      </c>
      <c r="N22">
        <f>Cdither_init</f>
        <v>9.2592592592592591E-9</v>
      </c>
      <c r="O22" s="2">
        <f>H4</f>
        <v>1E-8</v>
      </c>
    </row>
    <row r="23" spans="1:16" x14ac:dyDescent="0.2">
      <c r="A23">
        <v>12</v>
      </c>
      <c r="B23">
        <f t="shared" si="3"/>
        <v>0</v>
      </c>
      <c r="C23">
        <f t="shared" si="4"/>
        <v>0</v>
      </c>
      <c r="D23">
        <f t="shared" si="5"/>
        <v>0</v>
      </c>
      <c r="E23">
        <f t="shared" si="6"/>
        <v>0</v>
      </c>
      <c r="F23">
        <f t="shared" si="7"/>
        <v>0</v>
      </c>
      <c r="G23">
        <f t="shared" si="8"/>
        <v>0</v>
      </c>
      <c r="H23">
        <f t="shared" si="8"/>
        <v>0</v>
      </c>
      <c r="I23">
        <f t="shared" si="8"/>
        <v>0</v>
      </c>
      <c r="J23">
        <f t="shared" si="8"/>
        <v>0</v>
      </c>
      <c r="O23" s="2"/>
    </row>
    <row r="24" spans="1:16" x14ac:dyDescent="0.2">
      <c r="A24">
        <v>15</v>
      </c>
      <c r="B24">
        <f t="shared" si="3"/>
        <v>0</v>
      </c>
      <c r="C24">
        <f t="shared" si="4"/>
        <v>0</v>
      </c>
      <c r="D24">
        <f t="shared" si="5"/>
        <v>0</v>
      </c>
      <c r="E24">
        <f t="shared" si="6"/>
        <v>0</v>
      </c>
      <c r="F24">
        <f t="shared" si="7"/>
        <v>0</v>
      </c>
      <c r="G24">
        <f t="shared" si="8"/>
        <v>0</v>
      </c>
      <c r="H24">
        <f t="shared" si="8"/>
        <v>0</v>
      </c>
      <c r="I24">
        <f t="shared" si="8"/>
        <v>0</v>
      </c>
      <c r="J24">
        <f t="shared" si="8"/>
        <v>0</v>
      </c>
      <c r="M24" s="114"/>
      <c r="N24" s="311"/>
      <c r="O24" s="2"/>
      <c r="P24" s="45"/>
    </row>
    <row r="25" spans="1:16" x14ac:dyDescent="0.2">
      <c r="A25">
        <v>18</v>
      </c>
      <c r="B25">
        <f t="shared" si="3"/>
        <v>0</v>
      </c>
      <c r="C25">
        <f t="shared" si="4"/>
        <v>0</v>
      </c>
      <c r="D25">
        <f t="shared" si="5"/>
        <v>0</v>
      </c>
      <c r="E25">
        <f t="shared" si="6"/>
        <v>0</v>
      </c>
      <c r="F25">
        <f t="shared" si="7"/>
        <v>0</v>
      </c>
      <c r="G25">
        <f t="shared" si="8"/>
        <v>0</v>
      </c>
      <c r="H25">
        <f t="shared" si="8"/>
        <v>0</v>
      </c>
      <c r="I25">
        <f t="shared" si="8"/>
        <v>0</v>
      </c>
      <c r="J25">
        <f t="shared" si="8"/>
        <v>18</v>
      </c>
    </row>
    <row r="26" spans="1:16" x14ac:dyDescent="0.2">
      <c r="A26">
        <v>22</v>
      </c>
      <c r="B26">
        <f t="shared" si="3"/>
        <v>0</v>
      </c>
      <c r="C26">
        <f t="shared" si="4"/>
        <v>0</v>
      </c>
      <c r="D26">
        <f t="shared" si="5"/>
        <v>0</v>
      </c>
      <c r="E26">
        <f t="shared" si="6"/>
        <v>0</v>
      </c>
      <c r="F26">
        <f t="shared" si="7"/>
        <v>0</v>
      </c>
      <c r="G26">
        <f t="shared" si="8"/>
        <v>0</v>
      </c>
      <c r="H26">
        <f t="shared" si="8"/>
        <v>0</v>
      </c>
      <c r="I26">
        <f t="shared" si="8"/>
        <v>0</v>
      </c>
      <c r="J26">
        <f t="shared" si="8"/>
        <v>0</v>
      </c>
      <c r="O26" s="2"/>
    </row>
    <row r="27" spans="1:16" x14ac:dyDescent="0.2">
      <c r="A27">
        <v>27</v>
      </c>
      <c r="B27">
        <f t="shared" si="3"/>
        <v>0</v>
      </c>
      <c r="C27">
        <f t="shared" si="4"/>
        <v>0</v>
      </c>
      <c r="D27">
        <f t="shared" si="5"/>
        <v>0</v>
      </c>
      <c r="E27">
        <f t="shared" si="6"/>
        <v>0</v>
      </c>
      <c r="F27">
        <f t="shared" si="7"/>
        <v>0</v>
      </c>
      <c r="G27">
        <f t="shared" si="8"/>
        <v>0</v>
      </c>
      <c r="H27">
        <f t="shared" si="8"/>
        <v>0</v>
      </c>
      <c r="I27">
        <f t="shared" si="8"/>
        <v>0</v>
      </c>
      <c r="J27">
        <f t="shared" si="8"/>
        <v>0</v>
      </c>
      <c r="M27" s="114"/>
      <c r="O27" s="2"/>
      <c r="P27" s="45"/>
    </row>
    <row r="28" spans="1:16" x14ac:dyDescent="0.2">
      <c r="A28">
        <v>33</v>
      </c>
      <c r="B28">
        <f t="shared" si="3"/>
        <v>0</v>
      </c>
      <c r="C28">
        <f t="shared" si="4"/>
        <v>0</v>
      </c>
      <c r="D28">
        <f t="shared" si="5"/>
        <v>0</v>
      </c>
      <c r="E28">
        <f t="shared" si="6"/>
        <v>0</v>
      </c>
      <c r="F28">
        <f t="shared" si="7"/>
        <v>0</v>
      </c>
      <c r="G28">
        <f t="shared" si="8"/>
        <v>0</v>
      </c>
      <c r="H28">
        <f t="shared" si="8"/>
        <v>0</v>
      </c>
      <c r="I28">
        <f t="shared" si="8"/>
        <v>0</v>
      </c>
      <c r="J28">
        <f t="shared" si="8"/>
        <v>0</v>
      </c>
    </row>
    <row r="29" spans="1:16" x14ac:dyDescent="0.2">
      <c r="A29">
        <v>39</v>
      </c>
      <c r="B29">
        <f t="shared" si="3"/>
        <v>0</v>
      </c>
      <c r="C29">
        <f t="shared" si="4"/>
        <v>0</v>
      </c>
      <c r="D29">
        <f t="shared" si="5"/>
        <v>0</v>
      </c>
      <c r="E29">
        <f t="shared" si="6"/>
        <v>0</v>
      </c>
      <c r="F29">
        <f t="shared" si="7"/>
        <v>0</v>
      </c>
      <c r="G29">
        <f t="shared" si="8"/>
        <v>0</v>
      </c>
      <c r="H29">
        <f t="shared" si="8"/>
        <v>0</v>
      </c>
      <c r="I29">
        <f t="shared" si="8"/>
        <v>0</v>
      </c>
      <c r="J29">
        <f t="shared" si="8"/>
        <v>0</v>
      </c>
    </row>
    <row r="30" spans="1:16" x14ac:dyDescent="0.2">
      <c r="A30">
        <v>47</v>
      </c>
      <c r="B30">
        <f t="shared" si="3"/>
        <v>0</v>
      </c>
      <c r="C30">
        <f t="shared" si="4"/>
        <v>0</v>
      </c>
      <c r="D30">
        <f t="shared" si="5"/>
        <v>0</v>
      </c>
      <c r="E30">
        <f t="shared" si="6"/>
        <v>0</v>
      </c>
      <c r="F30">
        <f t="shared" si="7"/>
        <v>0</v>
      </c>
      <c r="G30">
        <f t="shared" si="8"/>
        <v>0</v>
      </c>
      <c r="H30">
        <f t="shared" si="8"/>
        <v>0</v>
      </c>
      <c r="I30">
        <f t="shared" si="8"/>
        <v>0</v>
      </c>
      <c r="J30">
        <f t="shared" si="8"/>
        <v>0</v>
      </c>
      <c r="M30" s="3" t="s">
        <v>171</v>
      </c>
      <c r="N30" t="str">
        <f>O7/1000&amp;" kΩ"</f>
        <v>1.47 kΩ</v>
      </c>
      <c r="O30">
        <f>O7/1000</f>
        <v>1.47</v>
      </c>
      <c r="P30" s="45" t="s">
        <v>242</v>
      </c>
    </row>
    <row r="31" spans="1:16" x14ac:dyDescent="0.2">
      <c r="A31">
        <v>56</v>
      </c>
      <c r="B31">
        <f t="shared" si="3"/>
        <v>0</v>
      </c>
      <c r="C31">
        <f t="shared" si="4"/>
        <v>0</v>
      </c>
      <c r="D31">
        <f t="shared" si="5"/>
        <v>0</v>
      </c>
      <c r="E31">
        <f t="shared" si="6"/>
        <v>0</v>
      </c>
      <c r="F31">
        <f t="shared" si="7"/>
        <v>0</v>
      </c>
      <c r="G31">
        <f t="shared" si="8"/>
        <v>0</v>
      </c>
      <c r="H31">
        <f t="shared" si="8"/>
        <v>0</v>
      </c>
      <c r="I31">
        <f t="shared" si="8"/>
        <v>0</v>
      </c>
      <c r="J31">
        <f t="shared" si="8"/>
        <v>0</v>
      </c>
      <c r="M31" s="3" t="s">
        <v>169</v>
      </c>
      <c r="N31" t="str">
        <f>C4*1000000000&amp;" nF"</f>
        <v>18 nF</v>
      </c>
      <c r="O31">
        <f>C4*1000000000</f>
        <v>18</v>
      </c>
      <c r="P31" s="114" t="s">
        <v>141</v>
      </c>
    </row>
    <row r="32" spans="1:16" x14ac:dyDescent="0.2">
      <c r="A32">
        <v>68</v>
      </c>
      <c r="B32">
        <f t="shared" si="3"/>
        <v>0</v>
      </c>
      <c r="C32">
        <f t="shared" si="4"/>
        <v>0</v>
      </c>
      <c r="D32">
        <f t="shared" si="5"/>
        <v>0</v>
      </c>
      <c r="E32">
        <f t="shared" si="6"/>
        <v>0</v>
      </c>
      <c r="F32">
        <f t="shared" si="7"/>
        <v>0</v>
      </c>
      <c r="G32">
        <f t="shared" si="8"/>
        <v>0</v>
      </c>
      <c r="H32">
        <f t="shared" si="8"/>
        <v>0</v>
      </c>
      <c r="I32">
        <f t="shared" si="8"/>
        <v>0</v>
      </c>
      <c r="J32">
        <f t="shared" si="8"/>
        <v>0</v>
      </c>
      <c r="M32" s="3" t="s">
        <v>170</v>
      </c>
      <c r="N32" t="str">
        <f>D4*1000000000000&amp;" pF"</f>
        <v>100 pF</v>
      </c>
      <c r="O32">
        <f>D4*1000000000000</f>
        <v>100</v>
      </c>
      <c r="P32" s="114" t="s">
        <v>30</v>
      </c>
    </row>
    <row r="33" spans="1:16" x14ac:dyDescent="0.2">
      <c r="A33">
        <v>82</v>
      </c>
      <c r="B33">
        <f t="shared" si="3"/>
        <v>0</v>
      </c>
      <c r="C33">
        <f t="shared" si="4"/>
        <v>0</v>
      </c>
      <c r="D33">
        <f t="shared" si="5"/>
        <v>100</v>
      </c>
      <c r="E33">
        <f t="shared" si="6"/>
        <v>0</v>
      </c>
      <c r="F33">
        <f t="shared" si="7"/>
        <v>0</v>
      </c>
      <c r="G33">
        <f t="shared" si="8"/>
        <v>0</v>
      </c>
      <c r="H33">
        <f t="shared" si="8"/>
        <v>0</v>
      </c>
      <c r="I33">
        <f t="shared" si="8"/>
        <v>0</v>
      </c>
      <c r="J33">
        <f t="shared" si="8"/>
        <v>0</v>
      </c>
      <c r="M33" s="3"/>
      <c r="P33" s="45"/>
    </row>
    <row r="34" spans="1:16" x14ac:dyDescent="0.2">
      <c r="A34">
        <f>A22*10</f>
        <v>100</v>
      </c>
      <c r="B34">
        <f t="shared" si="3"/>
        <v>0</v>
      </c>
      <c r="C34">
        <f t="shared" si="4"/>
        <v>0</v>
      </c>
      <c r="D34">
        <f t="shared" si="5"/>
        <v>0</v>
      </c>
      <c r="E34">
        <f t="shared" si="6"/>
        <v>0</v>
      </c>
      <c r="F34">
        <f t="shared" si="7"/>
        <v>0</v>
      </c>
      <c r="G34">
        <f t="shared" si="8"/>
        <v>0</v>
      </c>
      <c r="H34">
        <f t="shared" si="8"/>
        <v>0</v>
      </c>
      <c r="I34">
        <f t="shared" si="8"/>
        <v>0</v>
      </c>
      <c r="J34">
        <f t="shared" si="8"/>
        <v>0</v>
      </c>
      <c r="M34" s="114" t="s">
        <v>731</v>
      </c>
      <c r="N34" t="str">
        <f>O8/1000&amp;" kΩ"</f>
        <v>5.9 kΩ</v>
      </c>
      <c r="O34">
        <f>O8/1000</f>
        <v>5.9</v>
      </c>
      <c r="P34" s="45" t="s">
        <v>242</v>
      </c>
    </row>
    <row r="35" spans="1:16" x14ac:dyDescent="0.2">
      <c r="A35">
        <f t="shared" ref="A35:A98" si="11">A23*10</f>
        <v>120</v>
      </c>
      <c r="B35">
        <f t="shared" si="3"/>
        <v>0</v>
      </c>
      <c r="C35">
        <f t="shared" si="4"/>
        <v>0</v>
      </c>
      <c r="D35">
        <f t="shared" si="5"/>
        <v>0</v>
      </c>
      <c r="E35">
        <f t="shared" si="6"/>
        <v>0</v>
      </c>
      <c r="F35">
        <f t="shared" si="7"/>
        <v>0</v>
      </c>
      <c r="G35">
        <f t="shared" si="8"/>
        <v>0</v>
      </c>
      <c r="H35">
        <f t="shared" si="8"/>
        <v>0</v>
      </c>
      <c r="I35">
        <f t="shared" si="8"/>
        <v>0</v>
      </c>
      <c r="J35">
        <f t="shared" si="8"/>
        <v>0</v>
      </c>
      <c r="M35" s="114" t="s">
        <v>732</v>
      </c>
      <c r="N35" t="str">
        <f>I4*1000000000&amp;" nF"</f>
        <v>4.7 nF</v>
      </c>
      <c r="O35">
        <f>I4*1000000000</f>
        <v>4.7</v>
      </c>
      <c r="P35" s="114" t="s">
        <v>141</v>
      </c>
    </row>
    <row r="36" spans="1:16" x14ac:dyDescent="0.2">
      <c r="A36">
        <f t="shared" si="11"/>
        <v>150</v>
      </c>
      <c r="B36">
        <f t="shared" si="3"/>
        <v>0</v>
      </c>
      <c r="C36">
        <f t="shared" si="4"/>
        <v>0</v>
      </c>
      <c r="D36">
        <f t="shared" si="5"/>
        <v>0</v>
      </c>
      <c r="E36">
        <f t="shared" si="6"/>
        <v>0</v>
      </c>
      <c r="F36">
        <f t="shared" si="7"/>
        <v>0</v>
      </c>
      <c r="G36">
        <f t="shared" si="8"/>
        <v>0</v>
      </c>
      <c r="H36">
        <f t="shared" si="8"/>
        <v>0</v>
      </c>
      <c r="I36">
        <f t="shared" si="8"/>
        <v>0</v>
      </c>
      <c r="J36">
        <f t="shared" si="8"/>
        <v>0</v>
      </c>
      <c r="M36" s="114" t="s">
        <v>733</v>
      </c>
      <c r="N36" t="str">
        <f>J4*1000000000000&amp;" pF"</f>
        <v>18 pF</v>
      </c>
      <c r="O36">
        <f>J4*1000000000000</f>
        <v>18</v>
      </c>
      <c r="P36" s="114" t="s">
        <v>30</v>
      </c>
    </row>
    <row r="37" spans="1:16" x14ac:dyDescent="0.2">
      <c r="A37">
        <f t="shared" si="11"/>
        <v>180</v>
      </c>
      <c r="B37">
        <f t="shared" si="3"/>
        <v>0</v>
      </c>
      <c r="C37">
        <f t="shared" si="4"/>
        <v>0</v>
      </c>
      <c r="D37">
        <f t="shared" si="5"/>
        <v>0</v>
      </c>
      <c r="E37">
        <f t="shared" si="6"/>
        <v>0</v>
      </c>
      <c r="F37">
        <f t="shared" si="7"/>
        <v>0</v>
      </c>
      <c r="G37">
        <f t="shared" si="8"/>
        <v>0</v>
      </c>
      <c r="H37">
        <f t="shared" si="8"/>
        <v>0</v>
      </c>
      <c r="I37">
        <f t="shared" si="8"/>
        <v>0</v>
      </c>
      <c r="J37">
        <f t="shared" si="8"/>
        <v>0</v>
      </c>
    </row>
    <row r="38" spans="1:16" x14ac:dyDescent="0.2">
      <c r="A38">
        <f t="shared" si="11"/>
        <v>220</v>
      </c>
      <c r="B38">
        <f t="shared" si="3"/>
        <v>0</v>
      </c>
      <c r="C38">
        <f t="shared" si="4"/>
        <v>0</v>
      </c>
      <c r="D38">
        <f t="shared" si="5"/>
        <v>0</v>
      </c>
      <c r="E38">
        <f t="shared" si="6"/>
        <v>0</v>
      </c>
      <c r="F38">
        <f t="shared" si="7"/>
        <v>0</v>
      </c>
      <c r="G38">
        <f t="shared" si="8"/>
        <v>0</v>
      </c>
      <c r="H38">
        <f t="shared" si="8"/>
        <v>0</v>
      </c>
      <c r="I38">
        <f t="shared" si="8"/>
        <v>0</v>
      </c>
      <c r="J38">
        <f t="shared" si="8"/>
        <v>0</v>
      </c>
    </row>
    <row r="39" spans="1:16" x14ac:dyDescent="0.2">
      <c r="A39">
        <f t="shared" si="11"/>
        <v>270</v>
      </c>
      <c r="B39">
        <f t="shared" si="3"/>
        <v>0</v>
      </c>
      <c r="C39">
        <f t="shared" ref="C39:C70" si="12">IF(IF((C$3*10^12-$A40)*(C$3*10^12-$A39)*-1&lt;0,0,1)*IF(ABS(C$3*10^12-$A40)&gt;(C$3*10^12-$A39),$A39,$A40)=C40,0,IF((C$3*10^12-$A40)*(C$3*10^12-$A39)*-1&lt;0,0,1)*IF(ABS(C$3*10^12-$A40)&gt;(C$3*10^12-$A39),$A39,$A40))</f>
        <v>0</v>
      </c>
      <c r="D39">
        <f t="shared" si="5"/>
        <v>0</v>
      </c>
      <c r="E39">
        <f t="shared" si="6"/>
        <v>0</v>
      </c>
      <c r="F39">
        <f t="shared" si="7"/>
        <v>0</v>
      </c>
      <c r="G39">
        <f t="shared" si="8"/>
        <v>0</v>
      </c>
      <c r="H39">
        <f t="shared" si="8"/>
        <v>0</v>
      </c>
      <c r="I39">
        <f t="shared" si="8"/>
        <v>0</v>
      </c>
      <c r="J39">
        <f t="shared" si="8"/>
        <v>0</v>
      </c>
    </row>
    <row r="40" spans="1:16" x14ac:dyDescent="0.2">
      <c r="A40">
        <f t="shared" si="11"/>
        <v>330</v>
      </c>
      <c r="B40">
        <f t="shared" si="3"/>
        <v>0</v>
      </c>
      <c r="C40">
        <f t="shared" si="12"/>
        <v>0</v>
      </c>
      <c r="D40">
        <f t="shared" si="5"/>
        <v>0</v>
      </c>
      <c r="E40">
        <f t="shared" si="6"/>
        <v>0</v>
      </c>
      <c r="F40">
        <f t="shared" si="7"/>
        <v>0</v>
      </c>
      <c r="G40">
        <f t="shared" si="8"/>
        <v>0</v>
      </c>
      <c r="H40">
        <f t="shared" si="8"/>
        <v>0</v>
      </c>
      <c r="I40">
        <f t="shared" si="8"/>
        <v>0</v>
      </c>
      <c r="J40">
        <f t="shared" si="8"/>
        <v>0</v>
      </c>
    </row>
    <row r="41" spans="1:16" x14ac:dyDescent="0.2">
      <c r="A41">
        <f t="shared" si="11"/>
        <v>390</v>
      </c>
      <c r="B41">
        <f t="shared" si="3"/>
        <v>0</v>
      </c>
      <c r="C41">
        <f t="shared" si="12"/>
        <v>0</v>
      </c>
      <c r="D41">
        <f t="shared" si="5"/>
        <v>0</v>
      </c>
      <c r="E41">
        <f t="shared" si="6"/>
        <v>0</v>
      </c>
      <c r="F41">
        <f t="shared" si="7"/>
        <v>0</v>
      </c>
      <c r="G41">
        <f t="shared" si="8"/>
        <v>0</v>
      </c>
      <c r="H41">
        <f t="shared" si="8"/>
        <v>0</v>
      </c>
      <c r="I41">
        <f t="shared" si="8"/>
        <v>0</v>
      </c>
      <c r="J41">
        <f t="shared" si="8"/>
        <v>0</v>
      </c>
    </row>
    <row r="42" spans="1:16" x14ac:dyDescent="0.2">
      <c r="A42">
        <f t="shared" si="11"/>
        <v>470</v>
      </c>
      <c r="B42">
        <f t="shared" si="3"/>
        <v>0</v>
      </c>
      <c r="C42">
        <f t="shared" si="12"/>
        <v>0</v>
      </c>
      <c r="D42">
        <f t="shared" si="5"/>
        <v>0</v>
      </c>
      <c r="E42">
        <f t="shared" si="6"/>
        <v>0</v>
      </c>
      <c r="F42">
        <f t="shared" si="7"/>
        <v>0</v>
      </c>
      <c r="G42">
        <f t="shared" si="8"/>
        <v>0</v>
      </c>
      <c r="H42">
        <f t="shared" si="8"/>
        <v>0</v>
      </c>
      <c r="I42">
        <f t="shared" si="8"/>
        <v>0</v>
      </c>
      <c r="J42">
        <f t="shared" si="8"/>
        <v>0</v>
      </c>
    </row>
    <row r="43" spans="1:16" x14ac:dyDescent="0.2">
      <c r="A43">
        <f t="shared" si="11"/>
        <v>560</v>
      </c>
      <c r="B43">
        <f t="shared" si="3"/>
        <v>0</v>
      </c>
      <c r="C43">
        <f t="shared" si="12"/>
        <v>0</v>
      </c>
      <c r="D43">
        <f t="shared" si="5"/>
        <v>0</v>
      </c>
      <c r="E43">
        <f t="shared" si="6"/>
        <v>0</v>
      </c>
      <c r="F43">
        <f t="shared" si="7"/>
        <v>0</v>
      </c>
      <c r="G43">
        <f t="shared" si="8"/>
        <v>0</v>
      </c>
      <c r="H43">
        <f t="shared" si="8"/>
        <v>0</v>
      </c>
      <c r="I43">
        <f t="shared" si="8"/>
        <v>0</v>
      </c>
      <c r="J43">
        <f t="shared" si="8"/>
        <v>0</v>
      </c>
    </row>
    <row r="44" spans="1:16" x14ac:dyDescent="0.2">
      <c r="A44">
        <f t="shared" si="11"/>
        <v>680</v>
      </c>
      <c r="B44">
        <f t="shared" si="3"/>
        <v>0</v>
      </c>
      <c r="C44">
        <f t="shared" si="12"/>
        <v>0</v>
      </c>
      <c r="D44">
        <f t="shared" si="5"/>
        <v>0</v>
      </c>
      <c r="E44">
        <f t="shared" si="6"/>
        <v>0</v>
      </c>
      <c r="F44">
        <f t="shared" si="7"/>
        <v>0</v>
      </c>
      <c r="G44">
        <f t="shared" si="8"/>
        <v>0</v>
      </c>
      <c r="H44">
        <f t="shared" si="8"/>
        <v>0</v>
      </c>
      <c r="I44">
        <f t="shared" si="8"/>
        <v>0</v>
      </c>
      <c r="J44">
        <f t="shared" si="8"/>
        <v>0</v>
      </c>
    </row>
    <row r="45" spans="1:16" x14ac:dyDescent="0.2">
      <c r="A45">
        <f>A33*10</f>
        <v>820</v>
      </c>
      <c r="B45">
        <f t="shared" si="3"/>
        <v>0</v>
      </c>
      <c r="C45">
        <f t="shared" si="12"/>
        <v>0</v>
      </c>
      <c r="D45">
        <f t="shared" si="5"/>
        <v>0</v>
      </c>
      <c r="E45">
        <f t="shared" si="6"/>
        <v>0</v>
      </c>
      <c r="F45">
        <f t="shared" si="7"/>
        <v>0</v>
      </c>
      <c r="G45">
        <f t="shared" si="8"/>
        <v>0</v>
      </c>
      <c r="H45">
        <f t="shared" si="8"/>
        <v>0</v>
      </c>
      <c r="I45">
        <f t="shared" si="8"/>
        <v>0</v>
      </c>
      <c r="J45">
        <f t="shared" si="8"/>
        <v>0</v>
      </c>
    </row>
    <row r="46" spans="1:16" x14ac:dyDescent="0.2">
      <c r="A46">
        <f t="shared" si="11"/>
        <v>1000</v>
      </c>
      <c r="B46">
        <f t="shared" si="3"/>
        <v>0</v>
      </c>
      <c r="C46">
        <f t="shared" si="12"/>
        <v>0</v>
      </c>
      <c r="D46">
        <f t="shared" si="5"/>
        <v>0</v>
      </c>
      <c r="E46">
        <f t="shared" si="6"/>
        <v>0</v>
      </c>
      <c r="F46">
        <f t="shared" si="7"/>
        <v>0</v>
      </c>
      <c r="G46">
        <f t="shared" si="8"/>
        <v>0</v>
      </c>
      <c r="H46">
        <f t="shared" si="8"/>
        <v>0</v>
      </c>
      <c r="I46">
        <f t="shared" si="8"/>
        <v>0</v>
      </c>
      <c r="J46">
        <f t="shared" si="8"/>
        <v>0</v>
      </c>
    </row>
    <row r="47" spans="1:16" x14ac:dyDescent="0.2">
      <c r="A47">
        <f t="shared" si="11"/>
        <v>1200</v>
      </c>
      <c r="B47">
        <f t="shared" si="3"/>
        <v>0</v>
      </c>
      <c r="C47">
        <f t="shared" si="12"/>
        <v>0</v>
      </c>
      <c r="D47">
        <f t="shared" si="5"/>
        <v>0</v>
      </c>
      <c r="E47">
        <f t="shared" si="6"/>
        <v>0</v>
      </c>
      <c r="F47">
        <f t="shared" si="7"/>
        <v>0</v>
      </c>
      <c r="G47">
        <f t="shared" si="8"/>
        <v>0</v>
      </c>
      <c r="H47">
        <f t="shared" si="8"/>
        <v>0</v>
      </c>
      <c r="I47">
        <f t="shared" si="8"/>
        <v>0</v>
      </c>
      <c r="J47">
        <f t="shared" si="8"/>
        <v>0</v>
      </c>
    </row>
    <row r="48" spans="1:16" x14ac:dyDescent="0.2">
      <c r="A48">
        <f t="shared" si="11"/>
        <v>1500</v>
      </c>
      <c r="B48">
        <f t="shared" si="3"/>
        <v>0</v>
      </c>
      <c r="C48">
        <f t="shared" si="12"/>
        <v>0</v>
      </c>
      <c r="D48">
        <f t="shared" si="5"/>
        <v>0</v>
      </c>
      <c r="E48">
        <f t="shared" si="6"/>
        <v>0</v>
      </c>
      <c r="F48">
        <f t="shared" si="7"/>
        <v>0</v>
      </c>
      <c r="G48">
        <f t="shared" si="8"/>
        <v>0</v>
      </c>
      <c r="H48">
        <f t="shared" si="8"/>
        <v>0</v>
      </c>
      <c r="I48">
        <f t="shared" si="8"/>
        <v>0</v>
      </c>
      <c r="J48">
        <f t="shared" si="8"/>
        <v>0</v>
      </c>
    </row>
    <row r="49" spans="1:10" x14ac:dyDescent="0.2">
      <c r="A49">
        <f t="shared" si="11"/>
        <v>1800</v>
      </c>
      <c r="B49">
        <f t="shared" si="3"/>
        <v>0</v>
      </c>
      <c r="C49">
        <f t="shared" si="12"/>
        <v>0</v>
      </c>
      <c r="D49">
        <f t="shared" si="5"/>
        <v>0</v>
      </c>
      <c r="E49">
        <f t="shared" si="6"/>
        <v>0</v>
      </c>
      <c r="F49">
        <f t="shared" si="7"/>
        <v>0</v>
      </c>
      <c r="G49">
        <f t="shared" si="8"/>
        <v>0</v>
      </c>
      <c r="H49">
        <f t="shared" si="8"/>
        <v>0</v>
      </c>
      <c r="I49">
        <f t="shared" si="8"/>
        <v>0</v>
      </c>
      <c r="J49">
        <f t="shared" si="8"/>
        <v>0</v>
      </c>
    </row>
    <row r="50" spans="1:10" x14ac:dyDescent="0.2">
      <c r="A50">
        <f t="shared" si="11"/>
        <v>2200</v>
      </c>
      <c r="B50">
        <f t="shared" si="3"/>
        <v>0</v>
      </c>
      <c r="C50">
        <f t="shared" si="12"/>
        <v>0</v>
      </c>
      <c r="D50">
        <f t="shared" si="5"/>
        <v>0</v>
      </c>
      <c r="E50">
        <f t="shared" si="6"/>
        <v>0</v>
      </c>
      <c r="F50">
        <f t="shared" si="7"/>
        <v>0</v>
      </c>
      <c r="G50">
        <f t="shared" si="8"/>
        <v>0</v>
      </c>
      <c r="H50">
        <f t="shared" si="8"/>
        <v>0</v>
      </c>
      <c r="I50">
        <f t="shared" si="8"/>
        <v>0</v>
      </c>
      <c r="J50">
        <f t="shared" si="8"/>
        <v>0</v>
      </c>
    </row>
    <row r="51" spans="1:10" x14ac:dyDescent="0.2">
      <c r="A51">
        <f t="shared" si="11"/>
        <v>2700</v>
      </c>
      <c r="B51">
        <f t="shared" si="3"/>
        <v>0</v>
      </c>
      <c r="C51">
        <f t="shared" si="12"/>
        <v>0</v>
      </c>
      <c r="D51">
        <f t="shared" si="5"/>
        <v>0</v>
      </c>
      <c r="E51">
        <f t="shared" si="6"/>
        <v>0</v>
      </c>
      <c r="F51">
        <f t="shared" si="7"/>
        <v>0</v>
      </c>
      <c r="G51">
        <f t="shared" si="8"/>
        <v>0</v>
      </c>
      <c r="H51">
        <f t="shared" si="8"/>
        <v>0</v>
      </c>
      <c r="I51">
        <f t="shared" si="8"/>
        <v>0</v>
      </c>
      <c r="J51">
        <f t="shared" si="8"/>
        <v>0</v>
      </c>
    </row>
    <row r="52" spans="1:10" x14ac:dyDescent="0.2">
      <c r="A52">
        <f t="shared" si="11"/>
        <v>3300</v>
      </c>
      <c r="B52">
        <f t="shared" si="3"/>
        <v>0</v>
      </c>
      <c r="C52">
        <f t="shared" si="12"/>
        <v>0</v>
      </c>
      <c r="D52">
        <f t="shared" si="5"/>
        <v>0</v>
      </c>
      <c r="E52">
        <f t="shared" si="6"/>
        <v>0</v>
      </c>
      <c r="F52">
        <f t="shared" si="7"/>
        <v>0</v>
      </c>
      <c r="G52">
        <f t="shared" si="8"/>
        <v>0</v>
      </c>
      <c r="H52">
        <f t="shared" si="8"/>
        <v>0</v>
      </c>
      <c r="I52">
        <f t="shared" si="8"/>
        <v>0</v>
      </c>
      <c r="J52">
        <f t="shared" si="8"/>
        <v>0</v>
      </c>
    </row>
    <row r="53" spans="1:10" x14ac:dyDescent="0.2">
      <c r="A53">
        <f t="shared" si="11"/>
        <v>3900</v>
      </c>
      <c r="B53">
        <f t="shared" si="3"/>
        <v>0</v>
      </c>
      <c r="C53">
        <f t="shared" si="12"/>
        <v>0</v>
      </c>
      <c r="D53">
        <f t="shared" si="5"/>
        <v>0</v>
      </c>
      <c r="E53">
        <f t="shared" si="6"/>
        <v>0</v>
      </c>
      <c r="F53">
        <f t="shared" si="7"/>
        <v>0</v>
      </c>
      <c r="G53">
        <f t="shared" si="8"/>
        <v>0</v>
      </c>
      <c r="H53">
        <f t="shared" si="8"/>
        <v>0</v>
      </c>
      <c r="I53">
        <f t="shared" si="8"/>
        <v>4700</v>
      </c>
      <c r="J53">
        <f t="shared" si="8"/>
        <v>0</v>
      </c>
    </row>
    <row r="54" spans="1:10" x14ac:dyDescent="0.2">
      <c r="A54">
        <f t="shared" si="11"/>
        <v>4700</v>
      </c>
      <c r="B54">
        <f t="shared" si="3"/>
        <v>0</v>
      </c>
      <c r="C54">
        <f t="shared" si="12"/>
        <v>0</v>
      </c>
      <c r="D54">
        <f t="shared" si="5"/>
        <v>0</v>
      </c>
      <c r="E54">
        <f t="shared" si="6"/>
        <v>0</v>
      </c>
      <c r="F54">
        <f t="shared" si="7"/>
        <v>0</v>
      </c>
      <c r="G54">
        <f t="shared" si="8"/>
        <v>0</v>
      </c>
      <c r="H54">
        <f t="shared" si="8"/>
        <v>0</v>
      </c>
      <c r="I54">
        <f t="shared" si="8"/>
        <v>0</v>
      </c>
      <c r="J54">
        <f t="shared" si="8"/>
        <v>0</v>
      </c>
    </row>
    <row r="55" spans="1:10" x14ac:dyDescent="0.2">
      <c r="A55">
        <f t="shared" si="11"/>
        <v>5600</v>
      </c>
      <c r="B55">
        <f t="shared" si="3"/>
        <v>0</v>
      </c>
      <c r="C55">
        <f t="shared" si="12"/>
        <v>0</v>
      </c>
      <c r="D55">
        <f t="shared" si="5"/>
        <v>0</v>
      </c>
      <c r="E55">
        <f t="shared" si="6"/>
        <v>0</v>
      </c>
      <c r="F55">
        <f t="shared" si="7"/>
        <v>0</v>
      </c>
      <c r="G55">
        <f t="shared" si="8"/>
        <v>0</v>
      </c>
      <c r="H55">
        <f t="shared" si="8"/>
        <v>0</v>
      </c>
      <c r="I55">
        <f t="shared" si="8"/>
        <v>0</v>
      </c>
      <c r="J55">
        <f t="shared" si="8"/>
        <v>0</v>
      </c>
    </row>
    <row r="56" spans="1:10" x14ac:dyDescent="0.2">
      <c r="A56">
        <f t="shared" si="11"/>
        <v>6800</v>
      </c>
      <c r="B56">
        <f t="shared" si="3"/>
        <v>0</v>
      </c>
      <c r="C56">
        <f t="shared" si="12"/>
        <v>0</v>
      </c>
      <c r="D56">
        <f t="shared" si="5"/>
        <v>0</v>
      </c>
      <c r="E56">
        <f t="shared" si="6"/>
        <v>0</v>
      </c>
      <c r="F56">
        <f t="shared" si="7"/>
        <v>0</v>
      </c>
      <c r="G56">
        <f t="shared" si="8"/>
        <v>0</v>
      </c>
      <c r="H56">
        <f t="shared" si="8"/>
        <v>0</v>
      </c>
      <c r="I56">
        <f t="shared" si="8"/>
        <v>0</v>
      </c>
      <c r="J56">
        <f t="shared" si="8"/>
        <v>0</v>
      </c>
    </row>
    <row r="57" spans="1:10" x14ac:dyDescent="0.2">
      <c r="A57">
        <f t="shared" si="11"/>
        <v>8200</v>
      </c>
      <c r="B57">
        <f t="shared" si="3"/>
        <v>0</v>
      </c>
      <c r="C57">
        <f t="shared" si="12"/>
        <v>0</v>
      </c>
      <c r="D57">
        <f t="shared" si="5"/>
        <v>0</v>
      </c>
      <c r="E57">
        <f t="shared" si="6"/>
        <v>0</v>
      </c>
      <c r="F57">
        <f t="shared" si="7"/>
        <v>0</v>
      </c>
      <c r="G57">
        <f t="shared" si="8"/>
        <v>0</v>
      </c>
      <c r="H57">
        <f t="shared" si="8"/>
        <v>10000</v>
      </c>
      <c r="I57">
        <f t="shared" si="8"/>
        <v>0</v>
      </c>
      <c r="J57">
        <f t="shared" si="8"/>
        <v>0</v>
      </c>
    </row>
    <row r="58" spans="1:10" x14ac:dyDescent="0.2">
      <c r="A58">
        <f t="shared" si="11"/>
        <v>10000</v>
      </c>
      <c r="B58">
        <f t="shared" si="3"/>
        <v>0</v>
      </c>
      <c r="C58">
        <f t="shared" si="12"/>
        <v>0</v>
      </c>
      <c r="D58">
        <f t="shared" si="5"/>
        <v>0</v>
      </c>
      <c r="E58">
        <f t="shared" si="6"/>
        <v>0</v>
      </c>
      <c r="F58">
        <f t="shared" si="7"/>
        <v>0</v>
      </c>
      <c r="G58">
        <f t="shared" si="8"/>
        <v>0</v>
      </c>
      <c r="H58">
        <f t="shared" si="8"/>
        <v>0</v>
      </c>
      <c r="I58">
        <f t="shared" si="8"/>
        <v>0</v>
      </c>
      <c r="J58">
        <f t="shared" si="8"/>
        <v>0</v>
      </c>
    </row>
    <row r="59" spans="1:10" x14ac:dyDescent="0.2">
      <c r="A59">
        <f t="shared" si="11"/>
        <v>12000</v>
      </c>
      <c r="B59">
        <f t="shared" si="3"/>
        <v>0</v>
      </c>
      <c r="C59">
        <f t="shared" si="12"/>
        <v>0</v>
      </c>
      <c r="D59">
        <f t="shared" si="5"/>
        <v>0</v>
      </c>
      <c r="E59">
        <f t="shared" si="6"/>
        <v>0</v>
      </c>
      <c r="F59">
        <f t="shared" si="7"/>
        <v>0</v>
      </c>
      <c r="G59">
        <f t="shared" si="8"/>
        <v>0</v>
      </c>
      <c r="H59">
        <f t="shared" si="8"/>
        <v>0</v>
      </c>
      <c r="I59">
        <f t="shared" si="8"/>
        <v>0</v>
      </c>
      <c r="J59">
        <f t="shared" si="8"/>
        <v>0</v>
      </c>
    </row>
    <row r="60" spans="1:10" x14ac:dyDescent="0.2">
      <c r="A60">
        <f t="shared" si="11"/>
        <v>15000</v>
      </c>
      <c r="B60">
        <f t="shared" si="3"/>
        <v>0</v>
      </c>
      <c r="C60">
        <f t="shared" si="12"/>
        <v>18000</v>
      </c>
      <c r="D60">
        <f t="shared" si="5"/>
        <v>0</v>
      </c>
      <c r="E60">
        <f t="shared" si="6"/>
        <v>0</v>
      </c>
      <c r="F60">
        <f t="shared" si="7"/>
        <v>0</v>
      </c>
      <c r="G60">
        <f t="shared" si="8"/>
        <v>0</v>
      </c>
      <c r="H60">
        <f t="shared" si="8"/>
        <v>0</v>
      </c>
      <c r="I60">
        <f t="shared" si="8"/>
        <v>0</v>
      </c>
      <c r="J60">
        <f t="shared" si="8"/>
        <v>0</v>
      </c>
    </row>
    <row r="61" spans="1:10" x14ac:dyDescent="0.2">
      <c r="A61">
        <f t="shared" si="11"/>
        <v>18000</v>
      </c>
      <c r="B61">
        <f t="shared" si="3"/>
        <v>0</v>
      </c>
      <c r="C61">
        <f t="shared" si="12"/>
        <v>0</v>
      </c>
      <c r="D61">
        <f t="shared" si="5"/>
        <v>0</v>
      </c>
      <c r="E61">
        <f t="shared" si="6"/>
        <v>0</v>
      </c>
      <c r="F61">
        <f t="shared" si="7"/>
        <v>0</v>
      </c>
      <c r="G61">
        <f t="shared" si="8"/>
        <v>0</v>
      </c>
      <c r="H61">
        <f t="shared" si="8"/>
        <v>0</v>
      </c>
      <c r="I61">
        <f t="shared" si="8"/>
        <v>0</v>
      </c>
      <c r="J61">
        <f t="shared" si="8"/>
        <v>0</v>
      </c>
    </row>
    <row r="62" spans="1:10" x14ac:dyDescent="0.2">
      <c r="A62">
        <f t="shared" si="11"/>
        <v>22000</v>
      </c>
      <c r="B62">
        <f t="shared" si="3"/>
        <v>0</v>
      </c>
      <c r="C62">
        <f t="shared" si="12"/>
        <v>0</v>
      </c>
      <c r="D62">
        <f t="shared" si="5"/>
        <v>0</v>
      </c>
      <c r="E62">
        <f t="shared" si="6"/>
        <v>0</v>
      </c>
      <c r="F62">
        <f t="shared" si="7"/>
        <v>0</v>
      </c>
      <c r="G62">
        <f t="shared" si="8"/>
        <v>0</v>
      </c>
      <c r="H62">
        <f t="shared" si="8"/>
        <v>0</v>
      </c>
      <c r="I62">
        <f t="shared" si="8"/>
        <v>0</v>
      </c>
      <c r="J62">
        <f t="shared" si="8"/>
        <v>0</v>
      </c>
    </row>
    <row r="63" spans="1:10" x14ac:dyDescent="0.2">
      <c r="A63">
        <f t="shared" si="11"/>
        <v>27000</v>
      </c>
      <c r="B63">
        <f t="shared" si="3"/>
        <v>0</v>
      </c>
      <c r="C63">
        <f t="shared" si="12"/>
        <v>0</v>
      </c>
      <c r="D63">
        <f t="shared" si="5"/>
        <v>0</v>
      </c>
      <c r="E63">
        <f t="shared" si="6"/>
        <v>0</v>
      </c>
      <c r="F63">
        <f t="shared" si="7"/>
        <v>0</v>
      </c>
      <c r="G63">
        <f t="shared" si="8"/>
        <v>0</v>
      </c>
      <c r="H63">
        <f t="shared" si="8"/>
        <v>0</v>
      </c>
      <c r="I63">
        <f t="shared" si="8"/>
        <v>0</v>
      </c>
      <c r="J63">
        <f t="shared" si="8"/>
        <v>0</v>
      </c>
    </row>
    <row r="64" spans="1:10" x14ac:dyDescent="0.2">
      <c r="A64">
        <f t="shared" si="11"/>
        <v>33000</v>
      </c>
      <c r="B64">
        <f t="shared" si="3"/>
        <v>0</v>
      </c>
      <c r="C64">
        <f t="shared" si="12"/>
        <v>0</v>
      </c>
      <c r="D64">
        <f t="shared" si="5"/>
        <v>0</v>
      </c>
      <c r="E64">
        <f t="shared" si="6"/>
        <v>0</v>
      </c>
      <c r="F64">
        <f t="shared" si="7"/>
        <v>0</v>
      </c>
      <c r="G64">
        <f t="shared" si="8"/>
        <v>0</v>
      </c>
      <c r="H64">
        <f t="shared" si="8"/>
        <v>0</v>
      </c>
      <c r="I64">
        <f t="shared" si="8"/>
        <v>0</v>
      </c>
      <c r="J64">
        <f t="shared" si="8"/>
        <v>0</v>
      </c>
    </row>
    <row r="65" spans="1:10" x14ac:dyDescent="0.2">
      <c r="A65">
        <f t="shared" si="11"/>
        <v>39000</v>
      </c>
      <c r="B65">
        <f t="shared" si="3"/>
        <v>0</v>
      </c>
      <c r="C65">
        <f t="shared" si="12"/>
        <v>0</v>
      </c>
      <c r="D65">
        <f t="shared" si="5"/>
        <v>0</v>
      </c>
      <c r="E65">
        <f t="shared" si="6"/>
        <v>0</v>
      </c>
      <c r="F65">
        <f t="shared" si="7"/>
        <v>0</v>
      </c>
      <c r="G65">
        <f t="shared" si="8"/>
        <v>0</v>
      </c>
      <c r="H65">
        <f t="shared" si="8"/>
        <v>0</v>
      </c>
      <c r="I65">
        <f t="shared" si="8"/>
        <v>0</v>
      </c>
      <c r="J65">
        <f t="shared" si="8"/>
        <v>0</v>
      </c>
    </row>
    <row r="66" spans="1:10" x14ac:dyDescent="0.2">
      <c r="A66">
        <f t="shared" si="11"/>
        <v>47000</v>
      </c>
      <c r="B66">
        <f t="shared" si="3"/>
        <v>0</v>
      </c>
      <c r="C66">
        <f t="shared" si="12"/>
        <v>0</v>
      </c>
      <c r="D66">
        <f t="shared" si="5"/>
        <v>0</v>
      </c>
      <c r="E66">
        <f t="shared" si="6"/>
        <v>0</v>
      </c>
      <c r="F66">
        <f t="shared" si="7"/>
        <v>0</v>
      </c>
      <c r="G66">
        <f t="shared" si="8"/>
        <v>0</v>
      </c>
      <c r="H66">
        <f t="shared" si="8"/>
        <v>0</v>
      </c>
      <c r="I66">
        <f t="shared" si="8"/>
        <v>0</v>
      </c>
      <c r="J66">
        <f t="shared" si="8"/>
        <v>0</v>
      </c>
    </row>
    <row r="67" spans="1:10" x14ac:dyDescent="0.2">
      <c r="A67">
        <f t="shared" si="11"/>
        <v>56000</v>
      </c>
      <c r="B67">
        <f t="shared" si="3"/>
        <v>0</v>
      </c>
      <c r="C67">
        <f t="shared" si="12"/>
        <v>0</v>
      </c>
      <c r="D67">
        <f t="shared" si="5"/>
        <v>0</v>
      </c>
      <c r="E67">
        <f t="shared" si="6"/>
        <v>0</v>
      </c>
      <c r="F67">
        <f t="shared" si="7"/>
        <v>0</v>
      </c>
      <c r="G67">
        <f t="shared" si="8"/>
        <v>0</v>
      </c>
      <c r="H67">
        <f t="shared" si="8"/>
        <v>0</v>
      </c>
      <c r="I67">
        <f t="shared" si="8"/>
        <v>0</v>
      </c>
      <c r="J67">
        <f t="shared" si="8"/>
        <v>0</v>
      </c>
    </row>
    <row r="68" spans="1:10" x14ac:dyDescent="0.2">
      <c r="A68">
        <f t="shared" si="11"/>
        <v>68000</v>
      </c>
      <c r="B68">
        <f t="shared" si="3"/>
        <v>0</v>
      </c>
      <c r="C68">
        <f t="shared" si="12"/>
        <v>0</v>
      </c>
      <c r="D68">
        <f t="shared" si="5"/>
        <v>0</v>
      </c>
      <c r="E68">
        <f t="shared" si="6"/>
        <v>0</v>
      </c>
      <c r="F68">
        <f t="shared" si="7"/>
        <v>0</v>
      </c>
      <c r="G68">
        <f t="shared" si="8"/>
        <v>0</v>
      </c>
      <c r="H68">
        <f t="shared" si="8"/>
        <v>0</v>
      </c>
      <c r="I68">
        <f t="shared" si="8"/>
        <v>0</v>
      </c>
      <c r="J68">
        <f t="shared" si="8"/>
        <v>0</v>
      </c>
    </row>
    <row r="69" spans="1:10" x14ac:dyDescent="0.2">
      <c r="A69">
        <f t="shared" si="11"/>
        <v>82000</v>
      </c>
      <c r="B69">
        <f t="shared" si="3"/>
        <v>0</v>
      </c>
      <c r="C69">
        <f t="shared" si="12"/>
        <v>0</v>
      </c>
      <c r="D69">
        <f t="shared" si="5"/>
        <v>0</v>
      </c>
      <c r="E69">
        <f t="shared" si="6"/>
        <v>0</v>
      </c>
      <c r="F69">
        <f t="shared" si="7"/>
        <v>0</v>
      </c>
      <c r="G69">
        <f t="shared" si="8"/>
        <v>0</v>
      </c>
      <c r="H69">
        <f t="shared" si="8"/>
        <v>0</v>
      </c>
      <c r="I69">
        <f t="shared" si="8"/>
        <v>0</v>
      </c>
      <c r="J69">
        <f t="shared" ref="J69:J132" si="13">IF(IF((J$3*10^12-$A70)*(J$3*10^12-$A69)*-1&lt;0,0,1)*IF(ABS(J$3*10^12-$A70)&gt;(J$3*10^12-$A69),$A69,$A70)=J70,0,IF((J$3*10^12-$A70)*(J$3*10^12-$A69)*-1&lt;0,0,1)*IF(ABS(J$3*10^12-$A70)&gt;(J$3*10^12-$A69),$A69,$A70))</f>
        <v>0</v>
      </c>
    </row>
    <row r="70" spans="1:10" x14ac:dyDescent="0.2">
      <c r="A70">
        <f t="shared" si="11"/>
        <v>100000</v>
      </c>
      <c r="B70">
        <f t="shared" si="3"/>
        <v>100000</v>
      </c>
      <c r="C70">
        <f t="shared" si="12"/>
        <v>0</v>
      </c>
      <c r="D70">
        <f t="shared" ref="D70:I70" si="14">IF(IF((D$3*10^12-$A71)*(D$3*10^12-$A70)*-1&lt;0,0,1)*IF(ABS(D$3*10^12-$A71)&gt;(D$3*10^12-$A70),$A70,$A71)=D71,0,IF((D$3*10^12-$A71)*(D$3*10^12-$A70)*-1&lt;0,0,1)*IF(ABS(D$3*10^12-$A71)&gt;(D$3*10^12-$A70),$A70,$A71))</f>
        <v>0</v>
      </c>
      <c r="E70">
        <f t="shared" si="14"/>
        <v>0</v>
      </c>
      <c r="F70">
        <f t="shared" si="14"/>
        <v>0</v>
      </c>
      <c r="G70">
        <f t="shared" si="14"/>
        <v>0</v>
      </c>
      <c r="H70">
        <f t="shared" si="14"/>
        <v>0</v>
      </c>
      <c r="I70">
        <f t="shared" si="14"/>
        <v>0</v>
      </c>
      <c r="J70">
        <f t="shared" si="13"/>
        <v>0</v>
      </c>
    </row>
    <row r="71" spans="1:10" x14ac:dyDescent="0.2">
      <c r="A71">
        <f t="shared" si="11"/>
        <v>120000</v>
      </c>
      <c r="B71">
        <f t="shared" ref="B71:B134" si="15">IF(IF((B$3*10^12-$A72)*(B$3*10^12-$A71)*-1&lt;0,0,1)*IF(ABS(B$3*10^12-$A72)&gt;(B$3*10^12-$A71),$A71,$A72)=B72,0,IF((B$3*10^12-$A72)*(B$3*10^12-$A71)*-1&lt;0,0,1)*IF(ABS(B$3*10^12-$A72)&gt;(B$3*10^12-$A71),$A71,$A72))</f>
        <v>0</v>
      </c>
      <c r="C71">
        <f t="shared" ref="C71:E134" si="16">IF(IF((C$3*10^12-$A72)*(C$3*10^12-$A71)*-1&lt;0,0,1)*IF(ABS(C$3*10^12-$A72)&gt;(C$3*10^12-$A71),$A71,$A72)=C72,0,IF((C$3*10^12-$A72)*(C$3*10^12-$A71)*-1&lt;0,0,1)*IF(ABS(C$3*10^12-$A72)&gt;(C$3*10^12-$A71),$A71,$A72))</f>
        <v>0</v>
      </c>
      <c r="D71">
        <f t="shared" si="16"/>
        <v>0</v>
      </c>
      <c r="E71">
        <f t="shared" si="16"/>
        <v>0</v>
      </c>
      <c r="F71">
        <f t="shared" ref="F71:F102" si="17">IF(IF((F$3*10^12-$A72)*(F$3*10^12-$A71)*-1&lt;0,0,1)*IF(ABS(F$3*10^12-$A72)&gt;(F$3*10^12-$A71),$A71,$A72)=F72,0,IF((F$3*10^12-$A72)*(F$3*10^12-$A71)*-1&lt;0,0,1)*IF(ABS(F$3*10^12-$A72)&gt;(F$3*10^12-$A71),$A71,$A72))</f>
        <v>0</v>
      </c>
      <c r="G71">
        <f t="shared" ref="G71:G102" si="18">IF(IF((G$3*10^12-$A72)*(G$3*10^12-$A71)*-1&lt;0,0,1)*IF(ABS(G$3*10^12-$A72)&gt;(G$3*10^12-$A71),$A71,$A72)=G72,0,IF((G$3*10^12-$A72)*(G$3*10^12-$A71)*-1&lt;0,0,1)*IF(ABS(G$3*10^12-$A72)&gt;(G$3*10^12-$A71),$A71,$A72))</f>
        <v>0</v>
      </c>
      <c r="H71">
        <f t="shared" ref="H71:H102" si="19">IF(IF((H$3*10^12-$A72)*(H$3*10^12-$A71)*-1&lt;0,0,1)*IF(ABS(H$3*10^12-$A72)&gt;(H$3*10^12-$A71),$A71,$A72)=H72,0,IF((H$3*10^12-$A72)*(H$3*10^12-$A71)*-1&lt;0,0,1)*IF(ABS(H$3*10^12-$A72)&gt;(H$3*10^12-$A71),$A71,$A72))</f>
        <v>0</v>
      </c>
      <c r="I71">
        <f t="shared" ref="I71:I102" si="20">IF(IF((I$3*10^12-$A72)*(I$3*10^12-$A71)*-1&lt;0,0,1)*IF(ABS(I$3*10^12-$A72)&gt;(I$3*10^12-$A71),$A71,$A72)=I72,0,IF((I$3*10^12-$A72)*(I$3*10^12-$A71)*-1&lt;0,0,1)*IF(ABS(I$3*10^12-$A72)&gt;(I$3*10^12-$A71),$A71,$A72))</f>
        <v>0</v>
      </c>
      <c r="J71">
        <f t="shared" si="13"/>
        <v>0</v>
      </c>
    </row>
    <row r="72" spans="1:10" x14ac:dyDescent="0.2">
      <c r="A72">
        <f t="shared" si="11"/>
        <v>150000</v>
      </c>
      <c r="B72">
        <f t="shared" si="15"/>
        <v>0</v>
      </c>
      <c r="C72">
        <f t="shared" si="16"/>
        <v>0</v>
      </c>
      <c r="D72">
        <f t="shared" si="16"/>
        <v>0</v>
      </c>
      <c r="E72">
        <f t="shared" si="16"/>
        <v>0</v>
      </c>
      <c r="F72">
        <f t="shared" si="17"/>
        <v>0</v>
      </c>
      <c r="G72">
        <f t="shared" si="18"/>
        <v>0</v>
      </c>
      <c r="H72">
        <f t="shared" si="19"/>
        <v>0</v>
      </c>
      <c r="I72">
        <f t="shared" si="20"/>
        <v>0</v>
      </c>
      <c r="J72">
        <f t="shared" si="13"/>
        <v>0</v>
      </c>
    </row>
    <row r="73" spans="1:10" x14ac:dyDescent="0.2">
      <c r="A73">
        <f t="shared" si="11"/>
        <v>180000</v>
      </c>
      <c r="B73">
        <f t="shared" si="15"/>
        <v>0</v>
      </c>
      <c r="C73">
        <f t="shared" si="16"/>
        <v>0</v>
      </c>
      <c r="D73">
        <f t="shared" si="16"/>
        <v>0</v>
      </c>
      <c r="E73">
        <f t="shared" si="16"/>
        <v>0</v>
      </c>
      <c r="F73">
        <f t="shared" si="17"/>
        <v>0</v>
      </c>
      <c r="G73">
        <f t="shared" si="18"/>
        <v>0</v>
      </c>
      <c r="H73">
        <f t="shared" si="19"/>
        <v>0</v>
      </c>
      <c r="I73">
        <f t="shared" si="20"/>
        <v>0</v>
      </c>
      <c r="J73">
        <f t="shared" si="13"/>
        <v>0</v>
      </c>
    </row>
    <row r="74" spans="1:10" x14ac:dyDescent="0.2">
      <c r="A74">
        <f t="shared" si="11"/>
        <v>220000</v>
      </c>
      <c r="B74">
        <f t="shared" si="15"/>
        <v>0</v>
      </c>
      <c r="C74">
        <f t="shared" si="16"/>
        <v>0</v>
      </c>
      <c r="D74">
        <f t="shared" si="16"/>
        <v>0</v>
      </c>
      <c r="E74">
        <f t="shared" si="16"/>
        <v>0</v>
      </c>
      <c r="F74">
        <f t="shared" si="17"/>
        <v>0</v>
      </c>
      <c r="G74">
        <f t="shared" si="18"/>
        <v>0</v>
      </c>
      <c r="H74">
        <f t="shared" si="19"/>
        <v>0</v>
      </c>
      <c r="I74">
        <f t="shared" si="20"/>
        <v>0</v>
      </c>
      <c r="J74">
        <f t="shared" si="13"/>
        <v>0</v>
      </c>
    </row>
    <row r="75" spans="1:10" x14ac:dyDescent="0.2">
      <c r="A75">
        <f t="shared" si="11"/>
        <v>270000</v>
      </c>
      <c r="B75">
        <f t="shared" si="15"/>
        <v>0</v>
      </c>
      <c r="C75">
        <f t="shared" si="16"/>
        <v>0</v>
      </c>
      <c r="D75">
        <f t="shared" si="16"/>
        <v>0</v>
      </c>
      <c r="E75">
        <f t="shared" si="16"/>
        <v>0</v>
      </c>
      <c r="F75">
        <f t="shared" si="17"/>
        <v>0</v>
      </c>
      <c r="G75">
        <f t="shared" si="18"/>
        <v>0</v>
      </c>
      <c r="H75">
        <f t="shared" si="19"/>
        <v>0</v>
      </c>
      <c r="I75">
        <f t="shared" si="20"/>
        <v>0</v>
      </c>
      <c r="J75">
        <f t="shared" si="13"/>
        <v>0</v>
      </c>
    </row>
    <row r="76" spans="1:10" x14ac:dyDescent="0.2">
      <c r="A76">
        <f t="shared" si="11"/>
        <v>330000</v>
      </c>
      <c r="B76">
        <f t="shared" si="15"/>
        <v>0</v>
      </c>
      <c r="C76">
        <f t="shared" si="16"/>
        <v>0</v>
      </c>
      <c r="D76">
        <f t="shared" si="16"/>
        <v>0</v>
      </c>
      <c r="E76">
        <f t="shared" si="16"/>
        <v>0</v>
      </c>
      <c r="F76">
        <f t="shared" si="17"/>
        <v>0</v>
      </c>
      <c r="G76">
        <f t="shared" si="18"/>
        <v>0</v>
      </c>
      <c r="H76">
        <f t="shared" si="19"/>
        <v>0</v>
      </c>
      <c r="I76">
        <f t="shared" si="20"/>
        <v>0</v>
      </c>
      <c r="J76">
        <f t="shared" si="13"/>
        <v>0</v>
      </c>
    </row>
    <row r="77" spans="1:10" x14ac:dyDescent="0.2">
      <c r="A77">
        <f t="shared" si="11"/>
        <v>390000</v>
      </c>
      <c r="B77">
        <f t="shared" si="15"/>
        <v>0</v>
      </c>
      <c r="C77">
        <f t="shared" si="16"/>
        <v>0</v>
      </c>
      <c r="D77">
        <f t="shared" si="16"/>
        <v>0</v>
      </c>
      <c r="E77">
        <f t="shared" si="16"/>
        <v>0</v>
      </c>
      <c r="F77">
        <f t="shared" si="17"/>
        <v>0</v>
      </c>
      <c r="G77">
        <f t="shared" si="18"/>
        <v>0</v>
      </c>
      <c r="H77">
        <f t="shared" si="19"/>
        <v>0</v>
      </c>
      <c r="I77">
        <f t="shared" si="20"/>
        <v>0</v>
      </c>
      <c r="J77">
        <f t="shared" si="13"/>
        <v>0</v>
      </c>
    </row>
    <row r="78" spans="1:10" x14ac:dyDescent="0.2">
      <c r="A78">
        <f t="shared" si="11"/>
        <v>470000</v>
      </c>
      <c r="B78">
        <f t="shared" si="15"/>
        <v>0</v>
      </c>
      <c r="C78">
        <f t="shared" si="16"/>
        <v>0</v>
      </c>
      <c r="D78">
        <f t="shared" si="16"/>
        <v>0</v>
      </c>
      <c r="E78">
        <f t="shared" si="16"/>
        <v>0</v>
      </c>
      <c r="F78">
        <f t="shared" si="17"/>
        <v>0</v>
      </c>
      <c r="G78">
        <f t="shared" si="18"/>
        <v>470000</v>
      </c>
      <c r="H78">
        <f t="shared" si="19"/>
        <v>0</v>
      </c>
      <c r="I78">
        <f t="shared" si="20"/>
        <v>0</v>
      </c>
      <c r="J78">
        <f t="shared" si="13"/>
        <v>0</v>
      </c>
    </row>
    <row r="79" spans="1:10" x14ac:dyDescent="0.2">
      <c r="A79">
        <f t="shared" si="11"/>
        <v>560000</v>
      </c>
      <c r="B79">
        <f t="shared" si="15"/>
        <v>0</v>
      </c>
      <c r="C79">
        <f t="shared" si="16"/>
        <v>0</v>
      </c>
      <c r="D79">
        <f t="shared" si="16"/>
        <v>0</v>
      </c>
      <c r="E79">
        <f t="shared" si="16"/>
        <v>0</v>
      </c>
      <c r="F79">
        <f t="shared" si="17"/>
        <v>0</v>
      </c>
      <c r="G79">
        <f t="shared" si="18"/>
        <v>0</v>
      </c>
      <c r="H79">
        <f t="shared" si="19"/>
        <v>0</v>
      </c>
      <c r="I79">
        <f t="shared" si="20"/>
        <v>0</v>
      </c>
      <c r="J79">
        <f t="shared" si="13"/>
        <v>0</v>
      </c>
    </row>
    <row r="80" spans="1:10" x14ac:dyDescent="0.2">
      <c r="A80">
        <f t="shared" si="11"/>
        <v>680000</v>
      </c>
      <c r="B80">
        <f t="shared" si="15"/>
        <v>0</v>
      </c>
      <c r="C80">
        <f t="shared" si="16"/>
        <v>0</v>
      </c>
      <c r="D80">
        <f t="shared" si="16"/>
        <v>0</v>
      </c>
      <c r="E80">
        <f t="shared" si="16"/>
        <v>0</v>
      </c>
      <c r="F80">
        <f t="shared" si="17"/>
        <v>0</v>
      </c>
      <c r="G80">
        <f t="shared" si="18"/>
        <v>0</v>
      </c>
      <c r="H80">
        <f t="shared" si="19"/>
        <v>0</v>
      </c>
      <c r="I80">
        <f t="shared" si="20"/>
        <v>0</v>
      </c>
      <c r="J80">
        <f t="shared" si="13"/>
        <v>0</v>
      </c>
    </row>
    <row r="81" spans="1:10" x14ac:dyDescent="0.2">
      <c r="A81">
        <f t="shared" si="11"/>
        <v>820000</v>
      </c>
      <c r="B81">
        <f t="shared" si="15"/>
        <v>0</v>
      </c>
      <c r="C81">
        <f t="shared" si="16"/>
        <v>0</v>
      </c>
      <c r="D81">
        <f t="shared" si="16"/>
        <v>0</v>
      </c>
      <c r="E81">
        <f t="shared" si="16"/>
        <v>0</v>
      </c>
      <c r="F81">
        <f t="shared" si="17"/>
        <v>0</v>
      </c>
      <c r="G81">
        <f t="shared" si="18"/>
        <v>0</v>
      </c>
      <c r="H81">
        <f t="shared" si="19"/>
        <v>0</v>
      </c>
      <c r="I81">
        <f t="shared" si="20"/>
        <v>0</v>
      </c>
      <c r="J81">
        <f t="shared" si="13"/>
        <v>0</v>
      </c>
    </row>
    <row r="82" spans="1:10" x14ac:dyDescent="0.2">
      <c r="A82">
        <f t="shared" si="11"/>
        <v>1000000</v>
      </c>
      <c r="B82">
        <f t="shared" si="15"/>
        <v>0</v>
      </c>
      <c r="C82">
        <f t="shared" si="16"/>
        <v>0</v>
      </c>
      <c r="D82">
        <f t="shared" si="16"/>
        <v>0</v>
      </c>
      <c r="E82">
        <f t="shared" si="16"/>
        <v>0</v>
      </c>
      <c r="F82">
        <f t="shared" si="17"/>
        <v>0</v>
      </c>
      <c r="G82">
        <f t="shared" si="18"/>
        <v>0</v>
      </c>
      <c r="H82">
        <f t="shared" si="19"/>
        <v>0</v>
      </c>
      <c r="I82">
        <f t="shared" si="20"/>
        <v>0</v>
      </c>
      <c r="J82">
        <f t="shared" si="13"/>
        <v>0</v>
      </c>
    </row>
    <row r="83" spans="1:10" x14ac:dyDescent="0.2">
      <c r="A83">
        <f t="shared" si="11"/>
        <v>1200000</v>
      </c>
      <c r="B83">
        <f t="shared" si="15"/>
        <v>0</v>
      </c>
      <c r="C83">
        <f t="shared" si="16"/>
        <v>0</v>
      </c>
      <c r="D83">
        <f t="shared" si="16"/>
        <v>0</v>
      </c>
      <c r="E83">
        <f t="shared" si="16"/>
        <v>0</v>
      </c>
      <c r="F83">
        <f t="shared" si="17"/>
        <v>0</v>
      </c>
      <c r="G83">
        <f t="shared" si="18"/>
        <v>0</v>
      </c>
      <c r="H83">
        <f t="shared" si="19"/>
        <v>0</v>
      </c>
      <c r="I83">
        <f t="shared" si="20"/>
        <v>0</v>
      </c>
      <c r="J83">
        <f t="shared" si="13"/>
        <v>0</v>
      </c>
    </row>
    <row r="84" spans="1:10" x14ac:dyDescent="0.2">
      <c r="A84">
        <f t="shared" si="11"/>
        <v>1500000</v>
      </c>
      <c r="B84">
        <f t="shared" si="15"/>
        <v>0</v>
      </c>
      <c r="C84">
        <f t="shared" si="16"/>
        <v>0</v>
      </c>
      <c r="D84">
        <f t="shared" si="16"/>
        <v>0</v>
      </c>
      <c r="E84">
        <f t="shared" si="16"/>
        <v>0</v>
      </c>
      <c r="F84">
        <f t="shared" si="17"/>
        <v>0</v>
      </c>
      <c r="G84">
        <f t="shared" si="18"/>
        <v>0</v>
      </c>
      <c r="H84">
        <f t="shared" si="19"/>
        <v>0</v>
      </c>
      <c r="I84">
        <f t="shared" si="20"/>
        <v>0</v>
      </c>
      <c r="J84">
        <f t="shared" si="13"/>
        <v>0</v>
      </c>
    </row>
    <row r="85" spans="1:10" x14ac:dyDescent="0.2">
      <c r="A85">
        <f t="shared" si="11"/>
        <v>1800000</v>
      </c>
      <c r="B85">
        <f t="shared" si="15"/>
        <v>0</v>
      </c>
      <c r="C85">
        <f t="shared" si="16"/>
        <v>0</v>
      </c>
      <c r="D85">
        <f t="shared" si="16"/>
        <v>0</v>
      </c>
      <c r="E85">
        <f t="shared" si="16"/>
        <v>0</v>
      </c>
      <c r="F85">
        <f t="shared" si="17"/>
        <v>0</v>
      </c>
      <c r="G85">
        <f t="shared" si="18"/>
        <v>0</v>
      </c>
      <c r="H85">
        <f t="shared" si="19"/>
        <v>0</v>
      </c>
      <c r="I85">
        <f t="shared" si="20"/>
        <v>0</v>
      </c>
      <c r="J85">
        <f t="shared" si="13"/>
        <v>0</v>
      </c>
    </row>
    <row r="86" spans="1:10" x14ac:dyDescent="0.2">
      <c r="A86">
        <f t="shared" si="11"/>
        <v>2200000</v>
      </c>
      <c r="B86">
        <f t="shared" si="15"/>
        <v>0</v>
      </c>
      <c r="C86">
        <f t="shared" si="16"/>
        <v>0</v>
      </c>
      <c r="D86">
        <f t="shared" si="16"/>
        <v>0</v>
      </c>
      <c r="E86">
        <f t="shared" si="16"/>
        <v>0</v>
      </c>
      <c r="F86">
        <f t="shared" si="17"/>
        <v>0</v>
      </c>
      <c r="G86">
        <f t="shared" si="18"/>
        <v>0</v>
      </c>
      <c r="H86">
        <f t="shared" si="19"/>
        <v>0</v>
      </c>
      <c r="I86">
        <f t="shared" si="20"/>
        <v>0</v>
      </c>
      <c r="J86">
        <f t="shared" si="13"/>
        <v>0</v>
      </c>
    </row>
    <row r="87" spans="1:10" x14ac:dyDescent="0.2">
      <c r="A87">
        <f t="shared" si="11"/>
        <v>2700000</v>
      </c>
      <c r="B87">
        <f t="shared" si="15"/>
        <v>0</v>
      </c>
      <c r="C87">
        <f t="shared" si="16"/>
        <v>0</v>
      </c>
      <c r="D87">
        <f t="shared" si="16"/>
        <v>0</v>
      </c>
      <c r="E87">
        <f t="shared" si="16"/>
        <v>0</v>
      </c>
      <c r="F87">
        <f t="shared" si="17"/>
        <v>0</v>
      </c>
      <c r="G87">
        <f t="shared" si="18"/>
        <v>0</v>
      </c>
      <c r="H87">
        <f t="shared" si="19"/>
        <v>0</v>
      </c>
      <c r="I87">
        <f t="shared" si="20"/>
        <v>0</v>
      </c>
      <c r="J87">
        <f t="shared" si="13"/>
        <v>0</v>
      </c>
    </row>
    <row r="88" spans="1:10" x14ac:dyDescent="0.2">
      <c r="A88">
        <f t="shared" si="11"/>
        <v>3300000</v>
      </c>
      <c r="B88">
        <f t="shared" si="15"/>
        <v>0</v>
      </c>
      <c r="C88">
        <f t="shared" si="16"/>
        <v>0</v>
      </c>
      <c r="D88">
        <f t="shared" si="16"/>
        <v>0</v>
      </c>
      <c r="E88">
        <f t="shared" si="16"/>
        <v>0</v>
      </c>
      <c r="F88">
        <f t="shared" si="17"/>
        <v>0</v>
      </c>
      <c r="G88">
        <f t="shared" si="18"/>
        <v>0</v>
      </c>
      <c r="H88">
        <f t="shared" si="19"/>
        <v>0</v>
      </c>
      <c r="I88">
        <f t="shared" si="20"/>
        <v>0</v>
      </c>
      <c r="J88">
        <f t="shared" si="13"/>
        <v>0</v>
      </c>
    </row>
    <row r="89" spans="1:10" x14ac:dyDescent="0.2">
      <c r="A89">
        <f t="shared" si="11"/>
        <v>3900000</v>
      </c>
      <c r="B89">
        <f t="shared" si="15"/>
        <v>0</v>
      </c>
      <c r="C89">
        <f t="shared" si="16"/>
        <v>0</v>
      </c>
      <c r="D89">
        <f t="shared" si="16"/>
        <v>0</v>
      </c>
      <c r="E89">
        <f t="shared" si="16"/>
        <v>0</v>
      </c>
      <c r="F89">
        <f t="shared" si="17"/>
        <v>0</v>
      </c>
      <c r="G89">
        <f t="shared" si="18"/>
        <v>0</v>
      </c>
      <c r="H89">
        <f t="shared" si="19"/>
        <v>0</v>
      </c>
      <c r="I89">
        <f t="shared" si="20"/>
        <v>0</v>
      </c>
      <c r="J89">
        <f t="shared" si="13"/>
        <v>0</v>
      </c>
    </row>
    <row r="90" spans="1:10" x14ac:dyDescent="0.2">
      <c r="A90">
        <f t="shared" si="11"/>
        <v>4700000</v>
      </c>
      <c r="B90">
        <f t="shared" si="15"/>
        <v>0</v>
      </c>
      <c r="C90">
        <f t="shared" si="16"/>
        <v>0</v>
      </c>
      <c r="D90">
        <f t="shared" si="16"/>
        <v>0</v>
      </c>
      <c r="E90">
        <f t="shared" si="16"/>
        <v>4700000</v>
      </c>
      <c r="F90">
        <f t="shared" si="17"/>
        <v>0</v>
      </c>
      <c r="G90">
        <f t="shared" si="18"/>
        <v>0</v>
      </c>
      <c r="H90">
        <f t="shared" si="19"/>
        <v>0</v>
      </c>
      <c r="I90">
        <f t="shared" si="20"/>
        <v>0</v>
      </c>
      <c r="J90">
        <f t="shared" si="13"/>
        <v>0</v>
      </c>
    </row>
    <row r="91" spans="1:10" x14ac:dyDescent="0.2">
      <c r="A91">
        <f t="shared" si="11"/>
        <v>5600000</v>
      </c>
      <c r="B91">
        <f t="shared" si="15"/>
        <v>0</v>
      </c>
      <c r="C91">
        <f t="shared" si="16"/>
        <v>0</v>
      </c>
      <c r="D91">
        <f t="shared" si="16"/>
        <v>0</v>
      </c>
      <c r="E91">
        <f t="shared" si="16"/>
        <v>0</v>
      </c>
      <c r="F91">
        <f t="shared" si="17"/>
        <v>0</v>
      </c>
      <c r="G91">
        <f t="shared" si="18"/>
        <v>0</v>
      </c>
      <c r="H91">
        <f t="shared" si="19"/>
        <v>0</v>
      </c>
      <c r="I91">
        <f t="shared" si="20"/>
        <v>0</v>
      </c>
      <c r="J91">
        <f t="shared" si="13"/>
        <v>0</v>
      </c>
    </row>
    <row r="92" spans="1:10" x14ac:dyDescent="0.2">
      <c r="A92">
        <f t="shared" si="11"/>
        <v>6800000</v>
      </c>
      <c r="B92">
        <f t="shared" si="15"/>
        <v>0</v>
      </c>
      <c r="C92">
        <f t="shared" si="16"/>
        <v>0</v>
      </c>
      <c r="D92">
        <f t="shared" si="16"/>
        <v>0</v>
      </c>
      <c r="E92">
        <f t="shared" si="16"/>
        <v>0</v>
      </c>
      <c r="F92">
        <f t="shared" si="17"/>
        <v>0</v>
      </c>
      <c r="G92">
        <f t="shared" si="18"/>
        <v>0</v>
      </c>
      <c r="H92">
        <f t="shared" si="19"/>
        <v>0</v>
      </c>
      <c r="I92">
        <f t="shared" si="20"/>
        <v>0</v>
      </c>
      <c r="J92">
        <f t="shared" si="13"/>
        <v>0</v>
      </c>
    </row>
    <row r="93" spans="1:10" x14ac:dyDescent="0.2">
      <c r="A93">
        <f t="shared" si="11"/>
        <v>8200000</v>
      </c>
      <c r="B93">
        <f t="shared" si="15"/>
        <v>0</v>
      </c>
      <c r="C93">
        <f t="shared" si="16"/>
        <v>0</v>
      </c>
      <c r="D93">
        <f t="shared" si="16"/>
        <v>0</v>
      </c>
      <c r="E93">
        <f t="shared" si="16"/>
        <v>0</v>
      </c>
      <c r="F93">
        <f t="shared" si="17"/>
        <v>0</v>
      </c>
      <c r="G93">
        <f t="shared" si="18"/>
        <v>0</v>
      </c>
      <c r="H93">
        <f t="shared" si="19"/>
        <v>0</v>
      </c>
      <c r="I93">
        <f t="shared" si="20"/>
        <v>0</v>
      </c>
      <c r="J93">
        <f t="shared" si="13"/>
        <v>0</v>
      </c>
    </row>
    <row r="94" spans="1:10" x14ac:dyDescent="0.2">
      <c r="A94">
        <f t="shared" si="11"/>
        <v>10000000</v>
      </c>
      <c r="B94">
        <f t="shared" si="15"/>
        <v>0</v>
      </c>
      <c r="C94">
        <f t="shared" si="16"/>
        <v>0</v>
      </c>
      <c r="D94">
        <f t="shared" si="16"/>
        <v>0</v>
      </c>
      <c r="E94">
        <f t="shared" si="16"/>
        <v>0</v>
      </c>
      <c r="F94">
        <f t="shared" si="17"/>
        <v>0</v>
      </c>
      <c r="G94">
        <f t="shared" si="18"/>
        <v>0</v>
      </c>
      <c r="H94">
        <f t="shared" si="19"/>
        <v>0</v>
      </c>
      <c r="I94">
        <f t="shared" si="20"/>
        <v>0</v>
      </c>
      <c r="J94">
        <f t="shared" si="13"/>
        <v>0</v>
      </c>
    </row>
    <row r="95" spans="1:10" x14ac:dyDescent="0.2">
      <c r="A95">
        <f t="shared" si="11"/>
        <v>12000000</v>
      </c>
      <c r="B95">
        <f t="shared" si="15"/>
        <v>0</v>
      </c>
      <c r="C95">
        <f t="shared" si="16"/>
        <v>0</v>
      </c>
      <c r="D95">
        <f t="shared" si="16"/>
        <v>0</v>
      </c>
      <c r="E95">
        <f t="shared" si="16"/>
        <v>0</v>
      </c>
      <c r="F95">
        <f t="shared" si="17"/>
        <v>0</v>
      </c>
      <c r="G95">
        <f t="shared" si="18"/>
        <v>0</v>
      </c>
      <c r="H95">
        <f t="shared" si="19"/>
        <v>0</v>
      </c>
      <c r="I95">
        <f t="shared" si="20"/>
        <v>0</v>
      </c>
      <c r="J95">
        <f t="shared" si="13"/>
        <v>0</v>
      </c>
    </row>
    <row r="96" spans="1:10" x14ac:dyDescent="0.2">
      <c r="A96">
        <f t="shared" si="11"/>
        <v>15000000</v>
      </c>
      <c r="B96">
        <f t="shared" si="15"/>
        <v>0</v>
      </c>
      <c r="C96">
        <f t="shared" si="16"/>
        <v>0</v>
      </c>
      <c r="D96">
        <f t="shared" si="16"/>
        <v>0</v>
      </c>
      <c r="E96">
        <f t="shared" si="16"/>
        <v>0</v>
      </c>
      <c r="F96">
        <f t="shared" si="17"/>
        <v>0</v>
      </c>
      <c r="G96">
        <f t="shared" si="18"/>
        <v>0</v>
      </c>
      <c r="H96">
        <f t="shared" si="19"/>
        <v>0</v>
      </c>
      <c r="I96">
        <f t="shared" si="20"/>
        <v>0</v>
      </c>
      <c r="J96">
        <f t="shared" si="13"/>
        <v>0</v>
      </c>
    </row>
    <row r="97" spans="1:10" x14ac:dyDescent="0.2">
      <c r="A97">
        <f t="shared" si="11"/>
        <v>18000000</v>
      </c>
      <c r="B97">
        <f t="shared" si="15"/>
        <v>0</v>
      </c>
      <c r="C97">
        <f t="shared" si="16"/>
        <v>0</v>
      </c>
      <c r="D97">
        <f t="shared" si="16"/>
        <v>0</v>
      </c>
      <c r="E97">
        <f t="shared" si="16"/>
        <v>0</v>
      </c>
      <c r="F97">
        <f t="shared" si="17"/>
        <v>0</v>
      </c>
      <c r="G97">
        <f t="shared" si="18"/>
        <v>0</v>
      </c>
      <c r="H97">
        <f t="shared" si="19"/>
        <v>0</v>
      </c>
      <c r="I97">
        <f t="shared" si="20"/>
        <v>0</v>
      </c>
      <c r="J97">
        <f t="shared" si="13"/>
        <v>0</v>
      </c>
    </row>
    <row r="98" spans="1:10" x14ac:dyDescent="0.2">
      <c r="A98">
        <f t="shared" si="11"/>
        <v>22000000</v>
      </c>
      <c r="B98">
        <f t="shared" si="15"/>
        <v>0</v>
      </c>
      <c r="C98">
        <f t="shared" si="16"/>
        <v>0</v>
      </c>
      <c r="D98">
        <f t="shared" si="16"/>
        <v>0</v>
      </c>
      <c r="E98">
        <f t="shared" si="16"/>
        <v>0</v>
      </c>
      <c r="F98">
        <f t="shared" si="17"/>
        <v>0</v>
      </c>
      <c r="G98">
        <f t="shared" si="18"/>
        <v>0</v>
      </c>
      <c r="H98">
        <f t="shared" si="19"/>
        <v>0</v>
      </c>
      <c r="I98">
        <f t="shared" si="20"/>
        <v>0</v>
      </c>
      <c r="J98">
        <f t="shared" si="13"/>
        <v>0</v>
      </c>
    </row>
    <row r="99" spans="1:10" x14ac:dyDescent="0.2">
      <c r="A99">
        <f t="shared" ref="A99:A159" si="21">A87*10</f>
        <v>27000000</v>
      </c>
      <c r="B99">
        <f t="shared" si="15"/>
        <v>0</v>
      </c>
      <c r="C99">
        <f t="shared" si="16"/>
        <v>0</v>
      </c>
      <c r="D99">
        <f t="shared" si="16"/>
        <v>0</v>
      </c>
      <c r="E99">
        <f t="shared" si="16"/>
        <v>0</v>
      </c>
      <c r="F99">
        <f t="shared" si="17"/>
        <v>0</v>
      </c>
      <c r="G99">
        <f t="shared" si="18"/>
        <v>0</v>
      </c>
      <c r="H99">
        <f t="shared" si="19"/>
        <v>0</v>
      </c>
      <c r="I99">
        <f t="shared" si="20"/>
        <v>0</v>
      </c>
      <c r="J99">
        <f t="shared" si="13"/>
        <v>0</v>
      </c>
    </row>
    <row r="100" spans="1:10" x14ac:dyDescent="0.2">
      <c r="A100">
        <f t="shared" si="21"/>
        <v>33000000</v>
      </c>
      <c r="B100">
        <f t="shared" si="15"/>
        <v>0</v>
      </c>
      <c r="C100">
        <f t="shared" si="16"/>
        <v>0</v>
      </c>
      <c r="D100">
        <f t="shared" si="16"/>
        <v>0</v>
      </c>
      <c r="E100">
        <f t="shared" si="16"/>
        <v>0</v>
      </c>
      <c r="F100">
        <f t="shared" si="17"/>
        <v>0</v>
      </c>
      <c r="G100">
        <f t="shared" si="18"/>
        <v>0</v>
      </c>
      <c r="H100">
        <f t="shared" si="19"/>
        <v>0</v>
      </c>
      <c r="I100">
        <f t="shared" si="20"/>
        <v>0</v>
      </c>
      <c r="J100">
        <f t="shared" si="13"/>
        <v>0</v>
      </c>
    </row>
    <row r="101" spans="1:10" x14ac:dyDescent="0.2">
      <c r="A101">
        <f t="shared" si="21"/>
        <v>39000000</v>
      </c>
      <c r="B101">
        <f t="shared" si="15"/>
        <v>0</v>
      </c>
      <c r="C101">
        <f t="shared" si="16"/>
        <v>0</v>
      </c>
      <c r="D101">
        <f t="shared" si="16"/>
        <v>0</v>
      </c>
      <c r="E101">
        <f t="shared" si="16"/>
        <v>0</v>
      </c>
      <c r="F101">
        <f t="shared" si="17"/>
        <v>0</v>
      </c>
      <c r="G101">
        <f t="shared" si="18"/>
        <v>0</v>
      </c>
      <c r="H101">
        <f t="shared" si="19"/>
        <v>0</v>
      </c>
      <c r="I101">
        <f t="shared" si="20"/>
        <v>0</v>
      </c>
      <c r="J101">
        <f t="shared" si="13"/>
        <v>0</v>
      </c>
    </row>
    <row r="102" spans="1:10" x14ac:dyDescent="0.2">
      <c r="A102">
        <f t="shared" si="21"/>
        <v>47000000</v>
      </c>
      <c r="B102">
        <f t="shared" si="15"/>
        <v>0</v>
      </c>
      <c r="C102">
        <f t="shared" si="16"/>
        <v>0</v>
      </c>
      <c r="D102">
        <f t="shared" si="16"/>
        <v>0</v>
      </c>
      <c r="E102">
        <f t="shared" si="16"/>
        <v>0</v>
      </c>
      <c r="F102">
        <f t="shared" si="17"/>
        <v>47000000</v>
      </c>
      <c r="G102">
        <f t="shared" si="18"/>
        <v>0</v>
      </c>
      <c r="H102">
        <f t="shared" si="19"/>
        <v>0</v>
      </c>
      <c r="I102">
        <f t="shared" si="20"/>
        <v>0</v>
      </c>
      <c r="J102">
        <f t="shared" si="13"/>
        <v>0</v>
      </c>
    </row>
    <row r="103" spans="1:10" x14ac:dyDescent="0.2">
      <c r="A103">
        <f t="shared" si="21"/>
        <v>56000000</v>
      </c>
      <c r="B103">
        <f t="shared" si="15"/>
        <v>0</v>
      </c>
      <c r="C103">
        <f t="shared" si="16"/>
        <v>0</v>
      </c>
      <c r="D103">
        <f t="shared" si="16"/>
        <v>0</v>
      </c>
      <c r="E103">
        <f t="shared" si="16"/>
        <v>0</v>
      </c>
      <c r="F103">
        <f t="shared" ref="F103:F134" si="22">IF(IF((F$3*10^12-$A104)*(F$3*10^12-$A103)*-1&lt;0,0,1)*IF(ABS(F$3*10^12-$A104)&gt;(F$3*10^12-$A103),$A103,$A104)=F104,0,IF((F$3*10^12-$A104)*(F$3*10^12-$A103)*-1&lt;0,0,1)*IF(ABS(F$3*10^12-$A104)&gt;(F$3*10^12-$A103),$A103,$A104))</f>
        <v>0</v>
      </c>
      <c r="G103">
        <f t="shared" ref="G103:G134" si="23">IF(IF((G$3*10^12-$A104)*(G$3*10^12-$A103)*-1&lt;0,0,1)*IF(ABS(G$3*10^12-$A104)&gt;(G$3*10^12-$A103),$A103,$A104)=G104,0,IF((G$3*10^12-$A104)*(G$3*10^12-$A103)*-1&lt;0,0,1)*IF(ABS(G$3*10^12-$A104)&gt;(G$3*10^12-$A103),$A103,$A104))</f>
        <v>0</v>
      </c>
      <c r="H103">
        <f t="shared" ref="H103:H134" si="24">IF(IF((H$3*10^12-$A104)*(H$3*10^12-$A103)*-1&lt;0,0,1)*IF(ABS(H$3*10^12-$A104)&gt;(H$3*10^12-$A103),$A103,$A104)=H104,0,IF((H$3*10^12-$A104)*(H$3*10^12-$A103)*-1&lt;0,0,1)*IF(ABS(H$3*10^12-$A104)&gt;(H$3*10^12-$A103),$A103,$A104))</f>
        <v>0</v>
      </c>
      <c r="I103">
        <f t="shared" ref="I103:I134" si="25">IF(IF((I$3*10^12-$A104)*(I$3*10^12-$A103)*-1&lt;0,0,1)*IF(ABS(I$3*10^12-$A104)&gt;(I$3*10^12-$A103),$A103,$A104)=I104,0,IF((I$3*10^12-$A104)*(I$3*10^12-$A103)*-1&lt;0,0,1)*IF(ABS(I$3*10^12-$A104)&gt;(I$3*10^12-$A103),$A103,$A104))</f>
        <v>0</v>
      </c>
      <c r="J103">
        <f t="shared" si="13"/>
        <v>0</v>
      </c>
    </row>
    <row r="104" spans="1:10" x14ac:dyDescent="0.2">
      <c r="A104">
        <f t="shared" si="21"/>
        <v>68000000</v>
      </c>
      <c r="B104">
        <f t="shared" si="15"/>
        <v>0</v>
      </c>
      <c r="C104">
        <f t="shared" si="16"/>
        <v>0</v>
      </c>
      <c r="D104">
        <f t="shared" si="16"/>
        <v>0</v>
      </c>
      <c r="E104">
        <f t="shared" si="16"/>
        <v>0</v>
      </c>
      <c r="F104">
        <f t="shared" si="22"/>
        <v>0</v>
      </c>
      <c r="G104">
        <f t="shared" si="23"/>
        <v>0</v>
      </c>
      <c r="H104">
        <f t="shared" si="24"/>
        <v>0</v>
      </c>
      <c r="I104">
        <f t="shared" si="25"/>
        <v>0</v>
      </c>
      <c r="J104">
        <f t="shared" si="13"/>
        <v>0</v>
      </c>
    </row>
    <row r="105" spans="1:10" x14ac:dyDescent="0.2">
      <c r="A105">
        <f t="shared" si="21"/>
        <v>82000000</v>
      </c>
      <c r="B105">
        <f t="shared" si="15"/>
        <v>0</v>
      </c>
      <c r="C105">
        <f t="shared" si="16"/>
        <v>0</v>
      </c>
      <c r="D105">
        <f t="shared" si="16"/>
        <v>0</v>
      </c>
      <c r="E105">
        <f t="shared" si="16"/>
        <v>0</v>
      </c>
      <c r="F105">
        <f t="shared" si="22"/>
        <v>0</v>
      </c>
      <c r="G105">
        <f t="shared" si="23"/>
        <v>0</v>
      </c>
      <c r="H105">
        <f t="shared" si="24"/>
        <v>0</v>
      </c>
      <c r="I105">
        <f t="shared" si="25"/>
        <v>0</v>
      </c>
      <c r="J105">
        <f t="shared" si="13"/>
        <v>0</v>
      </c>
    </row>
    <row r="106" spans="1:10" x14ac:dyDescent="0.2">
      <c r="A106">
        <f t="shared" si="21"/>
        <v>100000000</v>
      </c>
      <c r="B106">
        <f t="shared" si="15"/>
        <v>0</v>
      </c>
      <c r="C106">
        <f t="shared" si="16"/>
        <v>0</v>
      </c>
      <c r="D106">
        <f t="shared" si="16"/>
        <v>0</v>
      </c>
      <c r="E106">
        <f t="shared" si="16"/>
        <v>0</v>
      </c>
      <c r="F106">
        <f t="shared" si="22"/>
        <v>0</v>
      </c>
      <c r="G106">
        <f t="shared" si="23"/>
        <v>0</v>
      </c>
      <c r="H106">
        <f t="shared" si="24"/>
        <v>0</v>
      </c>
      <c r="I106">
        <f t="shared" si="25"/>
        <v>0</v>
      </c>
      <c r="J106">
        <f t="shared" si="13"/>
        <v>0</v>
      </c>
    </row>
    <row r="107" spans="1:10" x14ac:dyDescent="0.2">
      <c r="A107">
        <f t="shared" si="21"/>
        <v>120000000</v>
      </c>
      <c r="B107">
        <f t="shared" si="15"/>
        <v>0</v>
      </c>
      <c r="C107">
        <f t="shared" si="16"/>
        <v>0</v>
      </c>
      <c r="D107">
        <f t="shared" si="16"/>
        <v>0</v>
      </c>
      <c r="E107">
        <f t="shared" si="16"/>
        <v>0</v>
      </c>
      <c r="F107">
        <f t="shared" si="22"/>
        <v>0</v>
      </c>
      <c r="G107">
        <f t="shared" si="23"/>
        <v>0</v>
      </c>
      <c r="H107">
        <f t="shared" si="24"/>
        <v>0</v>
      </c>
      <c r="I107">
        <f t="shared" si="25"/>
        <v>0</v>
      </c>
      <c r="J107">
        <f t="shared" si="13"/>
        <v>0</v>
      </c>
    </row>
    <row r="108" spans="1:10" x14ac:dyDescent="0.2">
      <c r="A108">
        <f t="shared" si="21"/>
        <v>150000000</v>
      </c>
      <c r="B108">
        <f t="shared" si="15"/>
        <v>0</v>
      </c>
      <c r="C108">
        <f t="shared" si="16"/>
        <v>0</v>
      </c>
      <c r="D108">
        <f t="shared" si="16"/>
        <v>0</v>
      </c>
      <c r="E108">
        <f t="shared" si="16"/>
        <v>0</v>
      </c>
      <c r="F108">
        <f t="shared" si="22"/>
        <v>0</v>
      </c>
      <c r="G108">
        <f t="shared" si="23"/>
        <v>0</v>
      </c>
      <c r="H108">
        <f t="shared" si="24"/>
        <v>0</v>
      </c>
      <c r="I108">
        <f t="shared" si="25"/>
        <v>0</v>
      </c>
      <c r="J108">
        <f t="shared" si="13"/>
        <v>0</v>
      </c>
    </row>
    <row r="109" spans="1:10" x14ac:dyDescent="0.2">
      <c r="A109">
        <f t="shared" si="21"/>
        <v>180000000</v>
      </c>
      <c r="B109">
        <f t="shared" si="15"/>
        <v>0</v>
      </c>
      <c r="C109">
        <f t="shared" si="16"/>
        <v>0</v>
      </c>
      <c r="D109">
        <f t="shared" si="16"/>
        <v>0</v>
      </c>
      <c r="E109">
        <f t="shared" si="16"/>
        <v>0</v>
      </c>
      <c r="F109">
        <f t="shared" si="22"/>
        <v>0</v>
      </c>
      <c r="G109">
        <f t="shared" si="23"/>
        <v>0</v>
      </c>
      <c r="H109">
        <f t="shared" si="24"/>
        <v>0</v>
      </c>
      <c r="I109">
        <f t="shared" si="25"/>
        <v>0</v>
      </c>
      <c r="J109">
        <f t="shared" si="13"/>
        <v>0</v>
      </c>
    </row>
    <row r="110" spans="1:10" x14ac:dyDescent="0.2">
      <c r="A110">
        <f t="shared" si="21"/>
        <v>220000000</v>
      </c>
      <c r="B110">
        <f t="shared" si="15"/>
        <v>0</v>
      </c>
      <c r="C110">
        <f t="shared" si="16"/>
        <v>0</v>
      </c>
      <c r="D110">
        <f t="shared" si="16"/>
        <v>0</v>
      </c>
      <c r="E110">
        <f t="shared" si="16"/>
        <v>0</v>
      </c>
      <c r="F110">
        <f t="shared" si="22"/>
        <v>0</v>
      </c>
      <c r="G110">
        <f t="shared" si="23"/>
        <v>0</v>
      </c>
      <c r="H110">
        <f t="shared" si="24"/>
        <v>0</v>
      </c>
      <c r="I110">
        <f t="shared" si="25"/>
        <v>0</v>
      </c>
      <c r="J110">
        <f t="shared" si="13"/>
        <v>0</v>
      </c>
    </row>
    <row r="111" spans="1:10" x14ac:dyDescent="0.2">
      <c r="A111">
        <f t="shared" si="21"/>
        <v>270000000</v>
      </c>
      <c r="B111">
        <f t="shared" si="15"/>
        <v>0</v>
      </c>
      <c r="C111">
        <f t="shared" si="16"/>
        <v>0</v>
      </c>
      <c r="D111">
        <f t="shared" si="16"/>
        <v>0</v>
      </c>
      <c r="E111">
        <f t="shared" si="16"/>
        <v>0</v>
      </c>
      <c r="F111">
        <f t="shared" si="22"/>
        <v>0</v>
      </c>
      <c r="G111">
        <f t="shared" si="23"/>
        <v>0</v>
      </c>
      <c r="H111">
        <f t="shared" si="24"/>
        <v>0</v>
      </c>
      <c r="I111">
        <f t="shared" si="25"/>
        <v>0</v>
      </c>
      <c r="J111">
        <f t="shared" si="13"/>
        <v>0</v>
      </c>
    </row>
    <row r="112" spans="1:10" x14ac:dyDescent="0.2">
      <c r="A112">
        <f t="shared" si="21"/>
        <v>330000000</v>
      </c>
      <c r="B112">
        <f t="shared" si="15"/>
        <v>0</v>
      </c>
      <c r="C112">
        <f t="shared" si="16"/>
        <v>0</v>
      </c>
      <c r="D112">
        <f t="shared" si="16"/>
        <v>0</v>
      </c>
      <c r="E112">
        <f t="shared" si="16"/>
        <v>0</v>
      </c>
      <c r="F112">
        <f t="shared" si="22"/>
        <v>0</v>
      </c>
      <c r="G112">
        <f t="shared" si="23"/>
        <v>0</v>
      </c>
      <c r="H112">
        <f t="shared" si="24"/>
        <v>0</v>
      </c>
      <c r="I112">
        <f t="shared" si="25"/>
        <v>0</v>
      </c>
      <c r="J112">
        <f t="shared" si="13"/>
        <v>0</v>
      </c>
    </row>
    <row r="113" spans="1:10" x14ac:dyDescent="0.2">
      <c r="A113">
        <f t="shared" si="21"/>
        <v>390000000</v>
      </c>
      <c r="B113">
        <f t="shared" si="15"/>
        <v>0</v>
      </c>
      <c r="C113">
        <f t="shared" si="16"/>
        <v>0</v>
      </c>
      <c r="D113">
        <f t="shared" si="16"/>
        <v>0</v>
      </c>
      <c r="E113">
        <f t="shared" si="16"/>
        <v>0</v>
      </c>
      <c r="F113">
        <f t="shared" si="22"/>
        <v>0</v>
      </c>
      <c r="G113">
        <f t="shared" si="23"/>
        <v>0</v>
      </c>
      <c r="H113">
        <f t="shared" si="24"/>
        <v>0</v>
      </c>
      <c r="I113">
        <f t="shared" si="25"/>
        <v>0</v>
      </c>
      <c r="J113">
        <f t="shared" si="13"/>
        <v>0</v>
      </c>
    </row>
    <row r="114" spans="1:10" x14ac:dyDescent="0.2">
      <c r="A114">
        <f t="shared" si="21"/>
        <v>470000000</v>
      </c>
      <c r="B114">
        <f t="shared" si="15"/>
        <v>0</v>
      </c>
      <c r="C114">
        <f t="shared" si="16"/>
        <v>0</v>
      </c>
      <c r="D114">
        <f t="shared" si="16"/>
        <v>0</v>
      </c>
      <c r="E114">
        <f t="shared" si="16"/>
        <v>0</v>
      </c>
      <c r="F114">
        <f t="shared" si="22"/>
        <v>0</v>
      </c>
      <c r="G114">
        <f t="shared" si="23"/>
        <v>0</v>
      </c>
      <c r="H114">
        <f t="shared" si="24"/>
        <v>0</v>
      </c>
      <c r="I114">
        <f t="shared" si="25"/>
        <v>0</v>
      </c>
      <c r="J114">
        <f t="shared" si="13"/>
        <v>0</v>
      </c>
    </row>
    <row r="115" spans="1:10" x14ac:dyDescent="0.2">
      <c r="A115">
        <f t="shared" si="21"/>
        <v>560000000</v>
      </c>
      <c r="B115">
        <f t="shared" si="15"/>
        <v>0</v>
      </c>
      <c r="C115">
        <f t="shared" si="16"/>
        <v>0</v>
      </c>
      <c r="D115">
        <f t="shared" si="16"/>
        <v>0</v>
      </c>
      <c r="E115">
        <f t="shared" si="16"/>
        <v>0</v>
      </c>
      <c r="F115">
        <f t="shared" si="22"/>
        <v>0</v>
      </c>
      <c r="G115">
        <f t="shared" si="23"/>
        <v>0</v>
      </c>
      <c r="H115">
        <f t="shared" si="24"/>
        <v>0</v>
      </c>
      <c r="I115">
        <f t="shared" si="25"/>
        <v>0</v>
      </c>
      <c r="J115">
        <f t="shared" si="13"/>
        <v>0</v>
      </c>
    </row>
    <row r="116" spans="1:10" x14ac:dyDescent="0.2">
      <c r="A116">
        <f t="shared" si="21"/>
        <v>680000000</v>
      </c>
      <c r="B116">
        <f t="shared" si="15"/>
        <v>0</v>
      </c>
      <c r="C116">
        <f t="shared" si="16"/>
        <v>0</v>
      </c>
      <c r="D116">
        <f t="shared" si="16"/>
        <v>0</v>
      </c>
      <c r="E116">
        <f t="shared" si="16"/>
        <v>0</v>
      </c>
      <c r="F116">
        <f t="shared" si="22"/>
        <v>0</v>
      </c>
      <c r="G116">
        <f t="shared" si="23"/>
        <v>0</v>
      </c>
      <c r="H116">
        <f t="shared" si="24"/>
        <v>0</v>
      </c>
      <c r="I116">
        <f t="shared" si="25"/>
        <v>0</v>
      </c>
      <c r="J116">
        <f t="shared" si="13"/>
        <v>0</v>
      </c>
    </row>
    <row r="117" spans="1:10" x14ac:dyDescent="0.2">
      <c r="A117">
        <f t="shared" si="21"/>
        <v>820000000</v>
      </c>
      <c r="B117">
        <f t="shared" si="15"/>
        <v>0</v>
      </c>
      <c r="C117">
        <f t="shared" si="16"/>
        <v>0</v>
      </c>
      <c r="D117">
        <f t="shared" si="16"/>
        <v>0</v>
      </c>
      <c r="E117">
        <f t="shared" si="16"/>
        <v>0</v>
      </c>
      <c r="F117">
        <f t="shared" si="22"/>
        <v>0</v>
      </c>
      <c r="G117">
        <f t="shared" si="23"/>
        <v>0</v>
      </c>
      <c r="H117">
        <f t="shared" si="24"/>
        <v>0</v>
      </c>
      <c r="I117">
        <f t="shared" si="25"/>
        <v>0</v>
      </c>
      <c r="J117">
        <f t="shared" si="13"/>
        <v>0</v>
      </c>
    </row>
    <row r="118" spans="1:10" x14ac:dyDescent="0.2">
      <c r="A118">
        <f t="shared" si="21"/>
        <v>1000000000</v>
      </c>
      <c r="B118">
        <f t="shared" si="15"/>
        <v>0</v>
      </c>
      <c r="C118">
        <f t="shared" si="16"/>
        <v>0</v>
      </c>
      <c r="D118">
        <f t="shared" si="16"/>
        <v>0</v>
      </c>
      <c r="E118">
        <f t="shared" si="16"/>
        <v>0</v>
      </c>
      <c r="F118">
        <f t="shared" si="22"/>
        <v>0</v>
      </c>
      <c r="G118">
        <f t="shared" si="23"/>
        <v>0</v>
      </c>
      <c r="H118">
        <f t="shared" si="24"/>
        <v>0</v>
      </c>
      <c r="I118">
        <f t="shared" si="25"/>
        <v>0</v>
      </c>
      <c r="J118">
        <f t="shared" si="13"/>
        <v>0</v>
      </c>
    </row>
    <row r="119" spans="1:10" x14ac:dyDescent="0.2">
      <c r="A119">
        <f t="shared" si="21"/>
        <v>1200000000</v>
      </c>
      <c r="B119">
        <f t="shared" si="15"/>
        <v>0</v>
      </c>
      <c r="C119">
        <f t="shared" si="16"/>
        <v>0</v>
      </c>
      <c r="D119">
        <f t="shared" si="16"/>
        <v>0</v>
      </c>
      <c r="E119">
        <f t="shared" si="16"/>
        <v>0</v>
      </c>
      <c r="F119">
        <f t="shared" si="22"/>
        <v>0</v>
      </c>
      <c r="G119">
        <f t="shared" si="23"/>
        <v>0</v>
      </c>
      <c r="H119">
        <f t="shared" si="24"/>
        <v>0</v>
      </c>
      <c r="I119">
        <f t="shared" si="25"/>
        <v>0</v>
      </c>
      <c r="J119">
        <f t="shared" si="13"/>
        <v>0</v>
      </c>
    </row>
    <row r="120" spans="1:10" x14ac:dyDescent="0.2">
      <c r="A120">
        <f t="shared" si="21"/>
        <v>1500000000</v>
      </c>
      <c r="B120">
        <f t="shared" si="15"/>
        <v>0</v>
      </c>
      <c r="C120">
        <f t="shared" si="16"/>
        <v>0</v>
      </c>
      <c r="D120">
        <f t="shared" si="16"/>
        <v>0</v>
      </c>
      <c r="E120">
        <f t="shared" si="16"/>
        <v>0</v>
      </c>
      <c r="F120">
        <f t="shared" si="22"/>
        <v>0</v>
      </c>
      <c r="G120">
        <f t="shared" si="23"/>
        <v>0</v>
      </c>
      <c r="H120">
        <f t="shared" si="24"/>
        <v>0</v>
      </c>
      <c r="I120">
        <f t="shared" si="25"/>
        <v>0</v>
      </c>
      <c r="J120">
        <f t="shared" si="13"/>
        <v>0</v>
      </c>
    </row>
    <row r="121" spans="1:10" x14ac:dyDescent="0.2">
      <c r="A121">
        <f t="shared" si="21"/>
        <v>1800000000</v>
      </c>
      <c r="B121">
        <f t="shared" si="15"/>
        <v>0</v>
      </c>
      <c r="C121">
        <f t="shared" si="16"/>
        <v>0</v>
      </c>
      <c r="D121">
        <f t="shared" si="16"/>
        <v>0</v>
      </c>
      <c r="E121">
        <f t="shared" si="16"/>
        <v>0</v>
      </c>
      <c r="F121">
        <f t="shared" si="22"/>
        <v>0</v>
      </c>
      <c r="G121">
        <f t="shared" si="23"/>
        <v>0</v>
      </c>
      <c r="H121">
        <f t="shared" si="24"/>
        <v>0</v>
      </c>
      <c r="I121">
        <f t="shared" si="25"/>
        <v>0</v>
      </c>
      <c r="J121">
        <f t="shared" si="13"/>
        <v>0</v>
      </c>
    </row>
    <row r="122" spans="1:10" x14ac:dyDescent="0.2">
      <c r="A122">
        <f t="shared" si="21"/>
        <v>2200000000</v>
      </c>
      <c r="B122">
        <f t="shared" si="15"/>
        <v>0</v>
      </c>
      <c r="C122">
        <f t="shared" si="16"/>
        <v>0</v>
      </c>
      <c r="D122">
        <f t="shared" si="16"/>
        <v>0</v>
      </c>
      <c r="E122">
        <f t="shared" si="16"/>
        <v>0</v>
      </c>
      <c r="F122">
        <f t="shared" si="22"/>
        <v>0</v>
      </c>
      <c r="G122">
        <f t="shared" si="23"/>
        <v>0</v>
      </c>
      <c r="H122">
        <f t="shared" si="24"/>
        <v>0</v>
      </c>
      <c r="I122">
        <f t="shared" si="25"/>
        <v>0</v>
      </c>
      <c r="J122">
        <f t="shared" si="13"/>
        <v>0</v>
      </c>
    </row>
    <row r="123" spans="1:10" x14ac:dyDescent="0.2">
      <c r="A123">
        <f t="shared" si="21"/>
        <v>2700000000</v>
      </c>
      <c r="B123">
        <f t="shared" si="15"/>
        <v>0</v>
      </c>
      <c r="C123">
        <f t="shared" si="16"/>
        <v>0</v>
      </c>
      <c r="D123">
        <f t="shared" si="16"/>
        <v>0</v>
      </c>
      <c r="E123">
        <f t="shared" si="16"/>
        <v>0</v>
      </c>
      <c r="F123">
        <f t="shared" si="22"/>
        <v>0</v>
      </c>
      <c r="G123">
        <f t="shared" si="23"/>
        <v>0</v>
      </c>
      <c r="H123">
        <f t="shared" si="24"/>
        <v>0</v>
      </c>
      <c r="I123">
        <f t="shared" si="25"/>
        <v>0</v>
      </c>
      <c r="J123">
        <f t="shared" si="13"/>
        <v>0</v>
      </c>
    </row>
    <row r="124" spans="1:10" x14ac:dyDescent="0.2">
      <c r="A124">
        <f t="shared" si="21"/>
        <v>3300000000</v>
      </c>
      <c r="B124">
        <f t="shared" si="15"/>
        <v>0</v>
      </c>
      <c r="C124">
        <f t="shared" si="16"/>
        <v>0</v>
      </c>
      <c r="D124">
        <f t="shared" si="16"/>
        <v>0</v>
      </c>
      <c r="E124">
        <f t="shared" si="16"/>
        <v>0</v>
      </c>
      <c r="F124">
        <f t="shared" si="22"/>
        <v>0</v>
      </c>
      <c r="G124">
        <f t="shared" si="23"/>
        <v>0</v>
      </c>
      <c r="H124">
        <f t="shared" si="24"/>
        <v>0</v>
      </c>
      <c r="I124">
        <f t="shared" si="25"/>
        <v>0</v>
      </c>
      <c r="J124">
        <f t="shared" si="13"/>
        <v>0</v>
      </c>
    </row>
    <row r="125" spans="1:10" x14ac:dyDescent="0.2">
      <c r="A125">
        <f t="shared" si="21"/>
        <v>3900000000</v>
      </c>
      <c r="B125">
        <f t="shared" si="15"/>
        <v>0</v>
      </c>
      <c r="C125">
        <f t="shared" si="16"/>
        <v>0</v>
      </c>
      <c r="D125">
        <f t="shared" si="16"/>
        <v>0</v>
      </c>
      <c r="E125">
        <f t="shared" si="16"/>
        <v>0</v>
      </c>
      <c r="F125">
        <f t="shared" si="22"/>
        <v>0</v>
      </c>
      <c r="G125">
        <f t="shared" si="23"/>
        <v>0</v>
      </c>
      <c r="H125">
        <f t="shared" si="24"/>
        <v>0</v>
      </c>
      <c r="I125">
        <f t="shared" si="25"/>
        <v>0</v>
      </c>
      <c r="J125">
        <f t="shared" si="13"/>
        <v>0</v>
      </c>
    </row>
    <row r="126" spans="1:10" x14ac:dyDescent="0.2">
      <c r="A126">
        <f t="shared" si="21"/>
        <v>4700000000</v>
      </c>
      <c r="B126">
        <f t="shared" si="15"/>
        <v>0</v>
      </c>
      <c r="C126">
        <f t="shared" si="16"/>
        <v>0</v>
      </c>
      <c r="D126">
        <f t="shared" si="16"/>
        <v>0</v>
      </c>
      <c r="E126">
        <f t="shared" si="16"/>
        <v>0</v>
      </c>
      <c r="F126">
        <f t="shared" si="22"/>
        <v>0</v>
      </c>
      <c r="G126">
        <f t="shared" si="23"/>
        <v>0</v>
      </c>
      <c r="H126">
        <f t="shared" si="24"/>
        <v>0</v>
      </c>
      <c r="I126">
        <f t="shared" si="25"/>
        <v>0</v>
      </c>
      <c r="J126">
        <f t="shared" si="13"/>
        <v>0</v>
      </c>
    </row>
    <row r="127" spans="1:10" x14ac:dyDescent="0.2">
      <c r="A127">
        <f t="shared" si="21"/>
        <v>5600000000</v>
      </c>
      <c r="B127">
        <f t="shared" si="15"/>
        <v>0</v>
      </c>
      <c r="C127">
        <f t="shared" si="16"/>
        <v>0</v>
      </c>
      <c r="D127">
        <f t="shared" si="16"/>
        <v>0</v>
      </c>
      <c r="E127">
        <f t="shared" si="16"/>
        <v>0</v>
      </c>
      <c r="F127">
        <f t="shared" si="22"/>
        <v>0</v>
      </c>
      <c r="G127">
        <f t="shared" si="23"/>
        <v>0</v>
      </c>
      <c r="H127">
        <f t="shared" si="24"/>
        <v>0</v>
      </c>
      <c r="I127">
        <f t="shared" si="25"/>
        <v>0</v>
      </c>
      <c r="J127">
        <f t="shared" si="13"/>
        <v>0</v>
      </c>
    </row>
    <row r="128" spans="1:10" x14ac:dyDescent="0.2">
      <c r="A128">
        <f t="shared" si="21"/>
        <v>6800000000</v>
      </c>
      <c r="B128">
        <f t="shared" si="15"/>
        <v>0</v>
      </c>
      <c r="C128">
        <f t="shared" si="16"/>
        <v>0</v>
      </c>
      <c r="D128">
        <f t="shared" si="16"/>
        <v>0</v>
      </c>
      <c r="E128">
        <f t="shared" si="16"/>
        <v>0</v>
      </c>
      <c r="F128">
        <f t="shared" si="22"/>
        <v>0</v>
      </c>
      <c r="G128">
        <f t="shared" si="23"/>
        <v>0</v>
      </c>
      <c r="H128">
        <f t="shared" si="24"/>
        <v>0</v>
      </c>
      <c r="I128">
        <f t="shared" si="25"/>
        <v>0</v>
      </c>
      <c r="J128">
        <f t="shared" si="13"/>
        <v>0</v>
      </c>
    </row>
    <row r="129" spans="1:10" x14ac:dyDescent="0.2">
      <c r="A129">
        <f t="shared" si="21"/>
        <v>8200000000</v>
      </c>
      <c r="B129">
        <f t="shared" si="15"/>
        <v>0</v>
      </c>
      <c r="C129">
        <f t="shared" si="16"/>
        <v>0</v>
      </c>
      <c r="D129">
        <f t="shared" si="16"/>
        <v>0</v>
      </c>
      <c r="E129">
        <f t="shared" si="16"/>
        <v>0</v>
      </c>
      <c r="F129">
        <f t="shared" si="22"/>
        <v>0</v>
      </c>
      <c r="G129">
        <f t="shared" si="23"/>
        <v>0</v>
      </c>
      <c r="H129">
        <f t="shared" si="24"/>
        <v>0</v>
      </c>
      <c r="I129">
        <f t="shared" si="25"/>
        <v>0</v>
      </c>
      <c r="J129">
        <f t="shared" si="13"/>
        <v>0</v>
      </c>
    </row>
    <row r="130" spans="1:10" x14ac:dyDescent="0.2">
      <c r="A130">
        <f t="shared" si="21"/>
        <v>10000000000</v>
      </c>
      <c r="B130">
        <f t="shared" si="15"/>
        <v>0</v>
      </c>
      <c r="C130">
        <f t="shared" si="16"/>
        <v>0</v>
      </c>
      <c r="D130">
        <f t="shared" si="16"/>
        <v>0</v>
      </c>
      <c r="E130">
        <f t="shared" si="16"/>
        <v>0</v>
      </c>
      <c r="F130">
        <f t="shared" si="22"/>
        <v>0</v>
      </c>
      <c r="G130">
        <f t="shared" si="23"/>
        <v>0</v>
      </c>
      <c r="H130">
        <f t="shared" si="24"/>
        <v>0</v>
      </c>
      <c r="I130">
        <f t="shared" si="25"/>
        <v>0</v>
      </c>
      <c r="J130">
        <f t="shared" si="13"/>
        <v>0</v>
      </c>
    </row>
    <row r="131" spans="1:10" x14ac:dyDescent="0.2">
      <c r="A131">
        <f t="shared" si="21"/>
        <v>12000000000</v>
      </c>
      <c r="B131">
        <f t="shared" si="15"/>
        <v>0</v>
      </c>
      <c r="C131">
        <f t="shared" si="16"/>
        <v>0</v>
      </c>
      <c r="D131">
        <f t="shared" si="16"/>
        <v>0</v>
      </c>
      <c r="E131">
        <f t="shared" si="16"/>
        <v>0</v>
      </c>
      <c r="F131">
        <f t="shared" si="22"/>
        <v>0</v>
      </c>
      <c r="G131">
        <f t="shared" si="23"/>
        <v>0</v>
      </c>
      <c r="H131">
        <f t="shared" si="24"/>
        <v>0</v>
      </c>
      <c r="I131">
        <f t="shared" si="25"/>
        <v>0</v>
      </c>
      <c r="J131">
        <f t="shared" si="13"/>
        <v>0</v>
      </c>
    </row>
    <row r="132" spans="1:10" x14ac:dyDescent="0.2">
      <c r="A132">
        <f t="shared" si="21"/>
        <v>15000000000</v>
      </c>
      <c r="B132">
        <f t="shared" si="15"/>
        <v>0</v>
      </c>
      <c r="C132">
        <f t="shared" si="16"/>
        <v>0</v>
      </c>
      <c r="D132">
        <f t="shared" si="16"/>
        <v>0</v>
      </c>
      <c r="E132">
        <f t="shared" si="16"/>
        <v>0</v>
      </c>
      <c r="F132">
        <f t="shared" si="22"/>
        <v>0</v>
      </c>
      <c r="G132">
        <f t="shared" si="23"/>
        <v>0</v>
      </c>
      <c r="H132">
        <f t="shared" si="24"/>
        <v>0</v>
      </c>
      <c r="I132">
        <f t="shared" si="25"/>
        <v>0</v>
      </c>
      <c r="J132">
        <f t="shared" si="13"/>
        <v>0</v>
      </c>
    </row>
    <row r="133" spans="1:10" x14ac:dyDescent="0.2">
      <c r="A133">
        <f t="shared" si="21"/>
        <v>18000000000</v>
      </c>
      <c r="B133">
        <f t="shared" si="15"/>
        <v>0</v>
      </c>
      <c r="C133">
        <f t="shared" si="16"/>
        <v>0</v>
      </c>
      <c r="D133">
        <f t="shared" si="16"/>
        <v>0</v>
      </c>
      <c r="E133">
        <f t="shared" si="16"/>
        <v>0</v>
      </c>
      <c r="F133">
        <f t="shared" si="22"/>
        <v>0</v>
      </c>
      <c r="G133">
        <f t="shared" si="23"/>
        <v>0</v>
      </c>
      <c r="H133">
        <f t="shared" si="24"/>
        <v>0</v>
      </c>
      <c r="I133">
        <f t="shared" si="25"/>
        <v>0</v>
      </c>
      <c r="J133">
        <f>IF(IF((J$3*10^12-$A134)*(J$3*10^12-$A133)*-1&lt;0,0,1)*IF(ABS(J$3*10^12-$A134)&gt;(J$3*10^12-$A133),$A133,$A134)=J134,0,IF((J$3*10^12-$A134)*(J$3*10^12-$A133)*-1&lt;0,0,1)*IF(ABS(J$3*10^12-$A134)&gt;(J$3*10^12-$A133),$A133,$A134))</f>
        <v>0</v>
      </c>
    </row>
    <row r="134" spans="1:10" x14ac:dyDescent="0.2">
      <c r="A134">
        <f t="shared" si="21"/>
        <v>22000000000</v>
      </c>
      <c r="B134">
        <f t="shared" si="15"/>
        <v>0</v>
      </c>
      <c r="C134">
        <f t="shared" si="16"/>
        <v>0</v>
      </c>
      <c r="D134">
        <f t="shared" si="16"/>
        <v>0</v>
      </c>
      <c r="E134">
        <f t="shared" ref="E134:J159" si="26">IF(IF((E$3*10^12-$A135)*(E$3*10^12-$A134)*-1&lt;0,0,1)*IF(ABS(E$3*10^12-$A135)&gt;(E$3*10^12-$A134),$A134,$A135)=E135,0,IF((E$3*10^12-$A135)*(E$3*10^12-$A134)*-1&lt;0,0,1)*IF(ABS(E$3*10^12-$A135)&gt;(E$3*10^12-$A134),$A134,$A135))</f>
        <v>0</v>
      </c>
      <c r="F134">
        <f t="shared" si="22"/>
        <v>0</v>
      </c>
      <c r="G134">
        <f t="shared" si="23"/>
        <v>0</v>
      </c>
      <c r="H134">
        <f t="shared" si="24"/>
        <v>0</v>
      </c>
      <c r="I134">
        <f t="shared" si="25"/>
        <v>0</v>
      </c>
      <c r="J134">
        <f>IF(IF((J$3*10^12-$A135)*(J$3*10^12-$A134)*-1&lt;0,0,1)*IF(ABS(J$3*10^12-$A135)&gt;(J$3*10^12-$A134),$A134,$A135)=J135,0,IF((J$3*10^12-$A135)*(J$3*10^12-$A134)*-1&lt;0,0,1)*IF(ABS(J$3*10^12-$A135)&gt;(J$3*10^12-$A134),$A134,$A135))</f>
        <v>0</v>
      </c>
    </row>
    <row r="135" spans="1:10" x14ac:dyDescent="0.2">
      <c r="A135">
        <f t="shared" si="21"/>
        <v>27000000000</v>
      </c>
      <c r="B135">
        <f t="shared" ref="B135:B159" si="27">IF(IF((B$3*10^12-$A136)*(B$3*10^12-$A135)*-1&lt;0,0,1)*IF(ABS(B$3*10^12-$A136)&gt;(B$3*10^12-$A135),$A135,$A136)=B136,0,IF((B$3*10^12-$A136)*(B$3*10^12-$A135)*-1&lt;0,0,1)*IF(ABS(B$3*10^12-$A136)&gt;(B$3*10^12-$A135),$A135,$A136))</f>
        <v>0</v>
      </c>
      <c r="C135">
        <f t="shared" ref="C135:D159" si="28">IF(IF((C$3*10^12-$A136)*(C$3*10^12-$A135)*-1&lt;0,0,1)*IF(ABS(C$3*10^12-$A136)&gt;(C$3*10^12-$A135),$A135,$A136)=C136,0,IF((C$3*10^12-$A136)*(C$3*10^12-$A135)*-1&lt;0,0,1)*IF(ABS(C$3*10^12-$A136)&gt;(C$3*10^12-$A135),$A135,$A136))</f>
        <v>0</v>
      </c>
      <c r="D135">
        <f t="shared" si="28"/>
        <v>0</v>
      </c>
      <c r="E135">
        <f t="shared" si="26"/>
        <v>0</v>
      </c>
      <c r="F135">
        <f t="shared" si="26"/>
        <v>0</v>
      </c>
      <c r="G135">
        <f t="shared" si="26"/>
        <v>0</v>
      </c>
      <c r="H135">
        <f t="shared" si="26"/>
        <v>0</v>
      </c>
      <c r="I135">
        <f t="shared" si="26"/>
        <v>0</v>
      </c>
      <c r="J135">
        <f t="shared" si="26"/>
        <v>0</v>
      </c>
    </row>
    <row r="136" spans="1:10" x14ac:dyDescent="0.2">
      <c r="A136">
        <f t="shared" si="21"/>
        <v>33000000000</v>
      </c>
      <c r="B136">
        <f t="shared" si="27"/>
        <v>0</v>
      </c>
      <c r="C136">
        <f t="shared" si="28"/>
        <v>0</v>
      </c>
      <c r="D136">
        <f t="shared" si="28"/>
        <v>0</v>
      </c>
      <c r="E136">
        <f t="shared" si="26"/>
        <v>0</v>
      </c>
      <c r="F136">
        <f t="shared" si="26"/>
        <v>0</v>
      </c>
      <c r="G136">
        <f t="shared" si="26"/>
        <v>0</v>
      </c>
      <c r="H136">
        <f t="shared" si="26"/>
        <v>0</v>
      </c>
      <c r="I136">
        <f t="shared" si="26"/>
        <v>0</v>
      </c>
      <c r="J136">
        <f t="shared" si="26"/>
        <v>0</v>
      </c>
    </row>
    <row r="137" spans="1:10" x14ac:dyDescent="0.2">
      <c r="A137">
        <f t="shared" si="21"/>
        <v>39000000000</v>
      </c>
      <c r="B137">
        <f t="shared" si="27"/>
        <v>0</v>
      </c>
      <c r="C137">
        <f t="shared" si="28"/>
        <v>0</v>
      </c>
      <c r="D137">
        <f t="shared" si="28"/>
        <v>0</v>
      </c>
      <c r="E137">
        <f t="shared" si="26"/>
        <v>0</v>
      </c>
      <c r="F137">
        <f t="shared" si="26"/>
        <v>0</v>
      </c>
      <c r="G137">
        <f t="shared" si="26"/>
        <v>0</v>
      </c>
      <c r="H137">
        <f t="shared" si="26"/>
        <v>0</v>
      </c>
      <c r="I137">
        <f t="shared" si="26"/>
        <v>0</v>
      </c>
      <c r="J137">
        <f t="shared" si="26"/>
        <v>0</v>
      </c>
    </row>
    <row r="138" spans="1:10" x14ac:dyDescent="0.2">
      <c r="A138">
        <f t="shared" si="21"/>
        <v>47000000000</v>
      </c>
      <c r="B138">
        <f t="shared" si="27"/>
        <v>0</v>
      </c>
      <c r="C138">
        <f t="shared" si="28"/>
        <v>0</v>
      </c>
      <c r="D138">
        <f t="shared" si="28"/>
        <v>0</v>
      </c>
      <c r="E138">
        <f t="shared" si="26"/>
        <v>0</v>
      </c>
      <c r="F138">
        <f t="shared" si="26"/>
        <v>0</v>
      </c>
      <c r="G138">
        <f t="shared" si="26"/>
        <v>0</v>
      </c>
      <c r="H138">
        <f t="shared" si="26"/>
        <v>0</v>
      </c>
      <c r="I138">
        <f t="shared" si="26"/>
        <v>0</v>
      </c>
      <c r="J138">
        <f t="shared" si="26"/>
        <v>0</v>
      </c>
    </row>
    <row r="139" spans="1:10" x14ac:dyDescent="0.2">
      <c r="A139">
        <f t="shared" si="21"/>
        <v>56000000000</v>
      </c>
      <c r="B139">
        <f t="shared" si="27"/>
        <v>0</v>
      </c>
      <c r="C139">
        <f t="shared" si="28"/>
        <v>0</v>
      </c>
      <c r="D139">
        <f t="shared" si="28"/>
        <v>0</v>
      </c>
      <c r="E139">
        <f t="shared" si="26"/>
        <v>0</v>
      </c>
      <c r="F139">
        <f t="shared" si="26"/>
        <v>0</v>
      </c>
      <c r="G139">
        <f t="shared" si="26"/>
        <v>0</v>
      </c>
      <c r="H139">
        <f t="shared" si="26"/>
        <v>0</v>
      </c>
      <c r="I139">
        <f t="shared" si="26"/>
        <v>0</v>
      </c>
      <c r="J139">
        <f t="shared" si="26"/>
        <v>0</v>
      </c>
    </row>
    <row r="140" spans="1:10" x14ac:dyDescent="0.2">
      <c r="A140">
        <f t="shared" si="21"/>
        <v>68000000000</v>
      </c>
      <c r="B140">
        <f t="shared" si="27"/>
        <v>0</v>
      </c>
      <c r="C140">
        <f t="shared" si="28"/>
        <v>0</v>
      </c>
      <c r="D140">
        <f t="shared" si="28"/>
        <v>0</v>
      </c>
      <c r="E140">
        <f t="shared" si="26"/>
        <v>0</v>
      </c>
      <c r="F140">
        <f t="shared" si="26"/>
        <v>0</v>
      </c>
      <c r="G140">
        <f t="shared" si="26"/>
        <v>0</v>
      </c>
      <c r="H140">
        <f t="shared" si="26"/>
        <v>0</v>
      </c>
      <c r="I140">
        <f t="shared" si="26"/>
        <v>0</v>
      </c>
      <c r="J140">
        <f t="shared" si="26"/>
        <v>0</v>
      </c>
    </row>
    <row r="141" spans="1:10" x14ac:dyDescent="0.2">
      <c r="A141">
        <f t="shared" si="21"/>
        <v>82000000000</v>
      </c>
      <c r="B141">
        <f t="shared" si="27"/>
        <v>0</v>
      </c>
      <c r="C141">
        <f t="shared" si="28"/>
        <v>0</v>
      </c>
      <c r="D141">
        <f t="shared" si="28"/>
        <v>0</v>
      </c>
      <c r="E141">
        <f t="shared" si="26"/>
        <v>0</v>
      </c>
      <c r="F141">
        <f t="shared" si="26"/>
        <v>0</v>
      </c>
      <c r="G141">
        <f t="shared" si="26"/>
        <v>0</v>
      </c>
      <c r="H141">
        <f t="shared" si="26"/>
        <v>0</v>
      </c>
      <c r="I141">
        <f t="shared" si="26"/>
        <v>0</v>
      </c>
      <c r="J141">
        <f t="shared" si="26"/>
        <v>0</v>
      </c>
    </row>
    <row r="142" spans="1:10" x14ac:dyDescent="0.2">
      <c r="A142">
        <f t="shared" si="21"/>
        <v>100000000000</v>
      </c>
      <c r="B142">
        <f t="shared" si="27"/>
        <v>0</v>
      </c>
      <c r="C142">
        <f t="shared" si="28"/>
        <v>0</v>
      </c>
      <c r="D142">
        <f t="shared" si="28"/>
        <v>0</v>
      </c>
      <c r="E142">
        <f t="shared" si="26"/>
        <v>0</v>
      </c>
      <c r="F142">
        <f t="shared" si="26"/>
        <v>0</v>
      </c>
      <c r="G142">
        <f t="shared" si="26"/>
        <v>0</v>
      </c>
      <c r="H142">
        <f t="shared" si="26"/>
        <v>0</v>
      </c>
      <c r="I142">
        <f t="shared" si="26"/>
        <v>0</v>
      </c>
      <c r="J142">
        <f t="shared" si="26"/>
        <v>0</v>
      </c>
    </row>
    <row r="143" spans="1:10" x14ac:dyDescent="0.2">
      <c r="A143">
        <f t="shared" si="21"/>
        <v>120000000000</v>
      </c>
      <c r="B143">
        <f t="shared" si="27"/>
        <v>0</v>
      </c>
      <c r="C143">
        <f t="shared" si="28"/>
        <v>0</v>
      </c>
      <c r="D143">
        <f t="shared" si="28"/>
        <v>0</v>
      </c>
      <c r="E143">
        <f t="shared" si="26"/>
        <v>0</v>
      </c>
      <c r="F143">
        <f t="shared" si="26"/>
        <v>0</v>
      </c>
      <c r="G143">
        <f t="shared" si="26"/>
        <v>0</v>
      </c>
      <c r="H143">
        <f t="shared" si="26"/>
        <v>0</v>
      </c>
      <c r="I143">
        <f t="shared" si="26"/>
        <v>0</v>
      </c>
      <c r="J143">
        <f t="shared" si="26"/>
        <v>0</v>
      </c>
    </row>
    <row r="144" spans="1:10" x14ac:dyDescent="0.2">
      <c r="A144">
        <f t="shared" si="21"/>
        <v>150000000000</v>
      </c>
      <c r="B144">
        <f t="shared" si="27"/>
        <v>0</v>
      </c>
      <c r="C144">
        <f t="shared" si="28"/>
        <v>0</v>
      </c>
      <c r="D144">
        <f t="shared" si="28"/>
        <v>0</v>
      </c>
      <c r="E144">
        <f t="shared" si="26"/>
        <v>0</v>
      </c>
      <c r="F144">
        <f t="shared" si="26"/>
        <v>0</v>
      </c>
      <c r="G144">
        <f t="shared" si="26"/>
        <v>0</v>
      </c>
      <c r="H144">
        <f t="shared" si="26"/>
        <v>0</v>
      </c>
      <c r="I144">
        <f t="shared" si="26"/>
        <v>0</v>
      </c>
      <c r="J144">
        <f t="shared" si="26"/>
        <v>0</v>
      </c>
    </row>
    <row r="145" spans="1:10" x14ac:dyDescent="0.2">
      <c r="A145">
        <f t="shared" si="21"/>
        <v>180000000000</v>
      </c>
      <c r="B145">
        <f t="shared" si="27"/>
        <v>0</v>
      </c>
      <c r="C145">
        <f t="shared" si="28"/>
        <v>0</v>
      </c>
      <c r="D145">
        <f t="shared" si="28"/>
        <v>0</v>
      </c>
      <c r="E145">
        <f t="shared" si="26"/>
        <v>0</v>
      </c>
      <c r="F145">
        <f t="shared" si="26"/>
        <v>0</v>
      </c>
      <c r="G145">
        <f t="shared" si="26"/>
        <v>0</v>
      </c>
      <c r="H145">
        <f t="shared" si="26"/>
        <v>0</v>
      </c>
      <c r="I145">
        <f t="shared" si="26"/>
        <v>0</v>
      </c>
      <c r="J145">
        <f t="shared" si="26"/>
        <v>0</v>
      </c>
    </row>
    <row r="146" spans="1:10" x14ac:dyDescent="0.2">
      <c r="A146">
        <f t="shared" si="21"/>
        <v>220000000000</v>
      </c>
      <c r="B146">
        <f t="shared" si="27"/>
        <v>0</v>
      </c>
      <c r="C146">
        <f t="shared" si="28"/>
        <v>0</v>
      </c>
      <c r="D146">
        <f t="shared" si="28"/>
        <v>0</v>
      </c>
      <c r="E146">
        <f t="shared" si="26"/>
        <v>0</v>
      </c>
      <c r="F146">
        <f t="shared" si="26"/>
        <v>0</v>
      </c>
      <c r="G146">
        <f t="shared" si="26"/>
        <v>0</v>
      </c>
      <c r="H146">
        <f t="shared" si="26"/>
        <v>0</v>
      </c>
      <c r="I146">
        <f t="shared" si="26"/>
        <v>0</v>
      </c>
      <c r="J146">
        <f t="shared" si="26"/>
        <v>0</v>
      </c>
    </row>
    <row r="147" spans="1:10" x14ac:dyDescent="0.2">
      <c r="A147">
        <f t="shared" si="21"/>
        <v>270000000000</v>
      </c>
      <c r="B147">
        <f t="shared" si="27"/>
        <v>0</v>
      </c>
      <c r="C147">
        <f t="shared" si="28"/>
        <v>0</v>
      </c>
      <c r="D147">
        <f t="shared" si="28"/>
        <v>0</v>
      </c>
      <c r="E147">
        <f t="shared" si="26"/>
        <v>0</v>
      </c>
      <c r="F147">
        <f t="shared" si="26"/>
        <v>0</v>
      </c>
      <c r="G147">
        <f t="shared" si="26"/>
        <v>0</v>
      </c>
      <c r="H147">
        <f t="shared" si="26"/>
        <v>0</v>
      </c>
      <c r="I147">
        <f t="shared" si="26"/>
        <v>0</v>
      </c>
      <c r="J147">
        <f t="shared" si="26"/>
        <v>0</v>
      </c>
    </row>
    <row r="148" spans="1:10" x14ac:dyDescent="0.2">
      <c r="A148">
        <f t="shared" si="21"/>
        <v>330000000000</v>
      </c>
      <c r="B148">
        <f t="shared" si="27"/>
        <v>0</v>
      </c>
      <c r="C148">
        <f t="shared" si="28"/>
        <v>0</v>
      </c>
      <c r="D148">
        <f t="shared" si="28"/>
        <v>0</v>
      </c>
      <c r="E148">
        <f t="shared" si="26"/>
        <v>0</v>
      </c>
      <c r="F148">
        <f t="shared" si="26"/>
        <v>0</v>
      </c>
      <c r="G148">
        <f t="shared" si="26"/>
        <v>0</v>
      </c>
      <c r="H148">
        <f t="shared" si="26"/>
        <v>0</v>
      </c>
      <c r="I148">
        <f t="shared" si="26"/>
        <v>0</v>
      </c>
      <c r="J148">
        <f t="shared" si="26"/>
        <v>0</v>
      </c>
    </row>
    <row r="149" spans="1:10" x14ac:dyDescent="0.2">
      <c r="A149">
        <f t="shared" si="21"/>
        <v>390000000000</v>
      </c>
      <c r="B149">
        <f t="shared" si="27"/>
        <v>0</v>
      </c>
      <c r="C149">
        <f t="shared" si="28"/>
        <v>0</v>
      </c>
      <c r="D149">
        <f t="shared" si="28"/>
        <v>0</v>
      </c>
      <c r="E149">
        <f t="shared" si="26"/>
        <v>0</v>
      </c>
      <c r="F149">
        <f t="shared" si="26"/>
        <v>0</v>
      </c>
      <c r="G149">
        <f t="shared" si="26"/>
        <v>0</v>
      </c>
      <c r="H149">
        <f t="shared" si="26"/>
        <v>0</v>
      </c>
      <c r="I149">
        <f t="shared" si="26"/>
        <v>0</v>
      </c>
      <c r="J149">
        <f t="shared" si="26"/>
        <v>0</v>
      </c>
    </row>
    <row r="150" spans="1:10" x14ac:dyDescent="0.2">
      <c r="A150">
        <f t="shared" si="21"/>
        <v>470000000000</v>
      </c>
      <c r="B150">
        <f t="shared" si="27"/>
        <v>0</v>
      </c>
      <c r="C150">
        <f t="shared" si="28"/>
        <v>0</v>
      </c>
      <c r="D150">
        <f t="shared" si="28"/>
        <v>0</v>
      </c>
      <c r="E150">
        <f t="shared" si="26"/>
        <v>0</v>
      </c>
      <c r="F150">
        <f t="shared" si="26"/>
        <v>0</v>
      </c>
      <c r="G150">
        <f t="shared" si="26"/>
        <v>0</v>
      </c>
      <c r="H150">
        <f t="shared" si="26"/>
        <v>0</v>
      </c>
      <c r="I150">
        <f t="shared" si="26"/>
        <v>0</v>
      </c>
      <c r="J150">
        <f t="shared" si="26"/>
        <v>0</v>
      </c>
    </row>
    <row r="151" spans="1:10" x14ac:dyDescent="0.2">
      <c r="A151">
        <f t="shared" si="21"/>
        <v>560000000000</v>
      </c>
      <c r="B151">
        <f t="shared" si="27"/>
        <v>0</v>
      </c>
      <c r="C151">
        <f t="shared" si="28"/>
        <v>0</v>
      </c>
      <c r="D151">
        <f t="shared" si="28"/>
        <v>0</v>
      </c>
      <c r="E151">
        <f t="shared" si="26"/>
        <v>0</v>
      </c>
      <c r="F151">
        <f t="shared" si="26"/>
        <v>0</v>
      </c>
      <c r="G151">
        <f t="shared" si="26"/>
        <v>0</v>
      </c>
      <c r="H151">
        <f t="shared" si="26"/>
        <v>0</v>
      </c>
      <c r="I151">
        <f t="shared" si="26"/>
        <v>0</v>
      </c>
      <c r="J151">
        <f t="shared" si="26"/>
        <v>0</v>
      </c>
    </row>
    <row r="152" spans="1:10" x14ac:dyDescent="0.2">
      <c r="A152">
        <f t="shared" si="21"/>
        <v>680000000000</v>
      </c>
      <c r="B152">
        <f t="shared" si="27"/>
        <v>0</v>
      </c>
      <c r="C152">
        <f t="shared" si="28"/>
        <v>0</v>
      </c>
      <c r="D152">
        <f t="shared" si="28"/>
        <v>0</v>
      </c>
      <c r="E152">
        <f t="shared" si="26"/>
        <v>0</v>
      </c>
      <c r="F152">
        <f t="shared" si="26"/>
        <v>0</v>
      </c>
      <c r="G152">
        <f t="shared" si="26"/>
        <v>0</v>
      </c>
      <c r="H152">
        <f t="shared" si="26"/>
        <v>0</v>
      </c>
      <c r="I152">
        <f t="shared" si="26"/>
        <v>0</v>
      </c>
      <c r="J152">
        <f t="shared" si="26"/>
        <v>0</v>
      </c>
    </row>
    <row r="153" spans="1:10" x14ac:dyDescent="0.2">
      <c r="A153">
        <f t="shared" si="21"/>
        <v>820000000000</v>
      </c>
      <c r="B153">
        <f t="shared" si="27"/>
        <v>0</v>
      </c>
      <c r="C153">
        <f t="shared" si="28"/>
        <v>0</v>
      </c>
      <c r="D153">
        <f t="shared" si="28"/>
        <v>0</v>
      </c>
      <c r="E153">
        <f t="shared" si="26"/>
        <v>0</v>
      </c>
      <c r="F153">
        <f t="shared" si="26"/>
        <v>0</v>
      </c>
      <c r="G153">
        <f t="shared" si="26"/>
        <v>0</v>
      </c>
      <c r="H153">
        <f t="shared" si="26"/>
        <v>0</v>
      </c>
      <c r="I153">
        <f t="shared" si="26"/>
        <v>0</v>
      </c>
      <c r="J153">
        <f t="shared" si="26"/>
        <v>0</v>
      </c>
    </row>
    <row r="154" spans="1:10" x14ac:dyDescent="0.2">
      <c r="A154">
        <f t="shared" si="21"/>
        <v>1000000000000</v>
      </c>
      <c r="B154">
        <f t="shared" si="27"/>
        <v>0</v>
      </c>
      <c r="C154">
        <f t="shared" si="28"/>
        <v>0</v>
      </c>
      <c r="D154">
        <f t="shared" si="28"/>
        <v>0</v>
      </c>
      <c r="E154">
        <f t="shared" si="26"/>
        <v>0</v>
      </c>
      <c r="F154">
        <f t="shared" si="26"/>
        <v>0</v>
      </c>
      <c r="G154">
        <f t="shared" si="26"/>
        <v>0</v>
      </c>
      <c r="H154">
        <f t="shared" si="26"/>
        <v>0</v>
      </c>
      <c r="I154">
        <f t="shared" si="26"/>
        <v>0</v>
      </c>
      <c r="J154">
        <f t="shared" si="26"/>
        <v>0</v>
      </c>
    </row>
    <row r="155" spans="1:10" x14ac:dyDescent="0.2">
      <c r="A155">
        <f t="shared" si="21"/>
        <v>1200000000000</v>
      </c>
      <c r="B155">
        <f t="shared" si="27"/>
        <v>0</v>
      </c>
      <c r="C155">
        <f t="shared" si="28"/>
        <v>0</v>
      </c>
      <c r="D155">
        <f t="shared" si="28"/>
        <v>0</v>
      </c>
      <c r="E155">
        <f t="shared" si="26"/>
        <v>0</v>
      </c>
      <c r="F155">
        <f t="shared" si="26"/>
        <v>0</v>
      </c>
      <c r="G155">
        <f t="shared" si="26"/>
        <v>0</v>
      </c>
      <c r="H155">
        <f t="shared" si="26"/>
        <v>0</v>
      </c>
      <c r="I155">
        <f t="shared" si="26"/>
        <v>0</v>
      </c>
      <c r="J155">
        <f t="shared" si="26"/>
        <v>0</v>
      </c>
    </row>
    <row r="156" spans="1:10" x14ac:dyDescent="0.2">
      <c r="A156">
        <f t="shared" si="21"/>
        <v>1500000000000</v>
      </c>
      <c r="B156">
        <f t="shared" si="27"/>
        <v>0</v>
      </c>
      <c r="C156">
        <f t="shared" si="28"/>
        <v>0</v>
      </c>
      <c r="D156">
        <f t="shared" si="28"/>
        <v>0</v>
      </c>
      <c r="E156">
        <f t="shared" si="26"/>
        <v>0</v>
      </c>
      <c r="F156">
        <f t="shared" si="26"/>
        <v>0</v>
      </c>
      <c r="G156">
        <f t="shared" si="26"/>
        <v>0</v>
      </c>
      <c r="H156">
        <f t="shared" si="26"/>
        <v>0</v>
      </c>
      <c r="I156">
        <f t="shared" si="26"/>
        <v>0</v>
      </c>
      <c r="J156">
        <f t="shared" si="26"/>
        <v>0</v>
      </c>
    </row>
    <row r="157" spans="1:10" x14ac:dyDescent="0.2">
      <c r="A157">
        <f t="shared" si="21"/>
        <v>1800000000000</v>
      </c>
      <c r="B157">
        <f t="shared" si="27"/>
        <v>0</v>
      </c>
      <c r="C157">
        <f t="shared" si="28"/>
        <v>0</v>
      </c>
      <c r="D157">
        <f t="shared" si="28"/>
        <v>0</v>
      </c>
      <c r="E157">
        <f t="shared" si="26"/>
        <v>0</v>
      </c>
      <c r="F157">
        <f t="shared" si="26"/>
        <v>0</v>
      </c>
      <c r="G157">
        <f t="shared" si="26"/>
        <v>0</v>
      </c>
      <c r="H157">
        <f t="shared" si="26"/>
        <v>0</v>
      </c>
      <c r="I157">
        <f t="shared" si="26"/>
        <v>0</v>
      </c>
      <c r="J157">
        <f t="shared" si="26"/>
        <v>0</v>
      </c>
    </row>
    <row r="158" spans="1:10" x14ac:dyDescent="0.2">
      <c r="A158">
        <f t="shared" si="21"/>
        <v>2200000000000</v>
      </c>
      <c r="B158">
        <f t="shared" si="27"/>
        <v>0</v>
      </c>
      <c r="C158">
        <f t="shared" si="28"/>
        <v>0</v>
      </c>
      <c r="D158">
        <f t="shared" si="28"/>
        <v>0</v>
      </c>
      <c r="E158">
        <f t="shared" si="26"/>
        <v>0</v>
      </c>
      <c r="F158">
        <f t="shared" si="26"/>
        <v>0</v>
      </c>
      <c r="G158">
        <f t="shared" si="26"/>
        <v>0</v>
      </c>
      <c r="H158">
        <f t="shared" si="26"/>
        <v>0</v>
      </c>
      <c r="I158">
        <f t="shared" si="26"/>
        <v>0</v>
      </c>
      <c r="J158">
        <f t="shared" si="26"/>
        <v>0</v>
      </c>
    </row>
    <row r="159" spans="1:10" x14ac:dyDescent="0.2">
      <c r="A159" s="43">
        <f t="shared" si="21"/>
        <v>2700000000000</v>
      </c>
      <c r="B159">
        <f t="shared" si="27"/>
        <v>2700000000000</v>
      </c>
      <c r="C159">
        <f t="shared" si="28"/>
        <v>2700000000000</v>
      </c>
      <c r="D159">
        <f t="shared" si="28"/>
        <v>2700000000000</v>
      </c>
      <c r="E159">
        <f t="shared" si="26"/>
        <v>2700000000000</v>
      </c>
      <c r="F159">
        <f t="shared" si="26"/>
        <v>2700000000000</v>
      </c>
      <c r="G159">
        <f t="shared" si="26"/>
        <v>2700000000000</v>
      </c>
      <c r="H159">
        <f t="shared" si="26"/>
        <v>2700000000000</v>
      </c>
      <c r="I159">
        <f t="shared" si="26"/>
        <v>2700000000000</v>
      </c>
      <c r="J159">
        <f t="shared" si="26"/>
        <v>2700000000000</v>
      </c>
    </row>
  </sheetData>
  <phoneticPr fontId="5" type="noConversion"/>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E7"/>
  <sheetViews>
    <sheetView workbookViewId="0">
      <selection activeCell="B6" sqref="B6"/>
    </sheetView>
  </sheetViews>
  <sheetFormatPr defaultRowHeight="12.75" x14ac:dyDescent="0.2"/>
  <cols>
    <col min="1" max="1" width="18.5703125" customWidth="1"/>
    <col min="2" max="2" width="9.28515625" customWidth="1"/>
    <col min="4" max="4" width="11.140625" customWidth="1"/>
  </cols>
  <sheetData>
    <row r="1" spans="1:5" x14ac:dyDescent="0.2">
      <c r="C1" t="s">
        <v>183</v>
      </c>
      <c r="D1" t="s">
        <v>182</v>
      </c>
    </row>
    <row r="2" spans="1:5" x14ac:dyDescent="0.2">
      <c r="A2" t="s">
        <v>180</v>
      </c>
      <c r="B2" s="47">
        <v>85</v>
      </c>
      <c r="C2" t="s">
        <v>181</v>
      </c>
      <c r="D2">
        <f>B2*1000000</f>
        <v>85000000</v>
      </c>
      <c r="E2" t="s">
        <v>9</v>
      </c>
    </row>
    <row r="3" spans="1:5" x14ac:dyDescent="0.2">
      <c r="A3" t="s">
        <v>184</v>
      </c>
      <c r="B3" s="47">
        <v>3000</v>
      </c>
      <c r="C3" t="s">
        <v>30</v>
      </c>
      <c r="D3">
        <f>B3*0.000000000001</f>
        <v>3E-9</v>
      </c>
      <c r="E3" t="s">
        <v>24</v>
      </c>
    </row>
    <row r="4" spans="1:5" x14ac:dyDescent="0.2">
      <c r="A4" t="s">
        <v>186</v>
      </c>
      <c r="B4" s="48">
        <f>1000000000*1/((D2*2*3.14159)^2*D3)</f>
        <v>1.1686430773614742</v>
      </c>
      <c r="C4" t="s">
        <v>187</v>
      </c>
      <c r="D4">
        <f>B4/1000000000</f>
        <v>1.1686430773614743E-9</v>
      </c>
      <c r="E4" t="s">
        <v>19</v>
      </c>
    </row>
    <row r="5" spans="1:5" x14ac:dyDescent="0.2">
      <c r="A5" t="s">
        <v>185</v>
      </c>
      <c r="B5">
        <f>4*B3</f>
        <v>12000</v>
      </c>
      <c r="C5" t="s">
        <v>30</v>
      </c>
      <c r="D5">
        <f>B5*0.000000000001</f>
        <v>1.2E-8</v>
      </c>
      <c r="E5" t="s">
        <v>24</v>
      </c>
    </row>
    <row r="6" spans="1:5" x14ac:dyDescent="0.2">
      <c r="A6" t="s">
        <v>188</v>
      </c>
      <c r="B6" s="4">
        <f>SQRT(D4/D3)</f>
        <v>0.62413755891936573</v>
      </c>
      <c r="C6" s="4" t="s">
        <v>138</v>
      </c>
      <c r="D6" s="4">
        <f>B6</f>
        <v>0.62413755891936573</v>
      </c>
      <c r="E6" t="s">
        <v>138</v>
      </c>
    </row>
    <row r="7" spans="1:5" x14ac:dyDescent="0.2">
      <c r="B7" s="4"/>
      <c r="C7" s="4"/>
      <c r="D7" s="4"/>
    </row>
  </sheetData>
  <phoneticPr fontId="5"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3:E16"/>
  <sheetViews>
    <sheetView workbookViewId="0">
      <selection activeCell="G37" sqref="G37"/>
    </sheetView>
  </sheetViews>
  <sheetFormatPr defaultRowHeight="12.75" x14ac:dyDescent="0.2"/>
  <sheetData>
    <row r="3" spans="1:5" x14ac:dyDescent="0.2">
      <c r="A3" t="s">
        <v>155</v>
      </c>
      <c r="B3" t="e">
        <f>Iripple1</f>
        <v>#NAME?</v>
      </c>
    </row>
    <row r="4" spans="1:5" x14ac:dyDescent="0.2">
      <c r="A4" t="s">
        <v>6</v>
      </c>
      <c r="B4">
        <f>Fsw</f>
        <v>2100000</v>
      </c>
    </row>
    <row r="6" spans="1:5" x14ac:dyDescent="0.2">
      <c r="A6" t="s">
        <v>142</v>
      </c>
      <c r="B6" s="41">
        <v>0.5</v>
      </c>
      <c r="C6" t="s">
        <v>63</v>
      </c>
      <c r="D6">
        <f>B6/1000</f>
        <v>5.0000000000000001E-4</v>
      </c>
      <c r="E6" t="s">
        <v>20</v>
      </c>
    </row>
    <row r="7" spans="1:5" x14ac:dyDescent="0.2">
      <c r="A7" t="s">
        <v>153</v>
      </c>
      <c r="B7" s="41">
        <v>20</v>
      </c>
      <c r="C7" t="s">
        <v>23</v>
      </c>
      <c r="D7">
        <f>B7/1000000</f>
        <v>2.0000000000000002E-5</v>
      </c>
      <c r="E7" t="s">
        <v>24</v>
      </c>
    </row>
    <row r="9" spans="1:5" x14ac:dyDescent="0.2">
      <c r="A9" t="s">
        <v>143</v>
      </c>
      <c r="B9" s="41">
        <v>20</v>
      </c>
      <c r="C9" t="s">
        <v>63</v>
      </c>
      <c r="D9">
        <f>B9/1000</f>
        <v>0.02</v>
      </c>
      <c r="E9" t="s">
        <v>20</v>
      </c>
    </row>
    <row r="10" spans="1:5" x14ac:dyDescent="0.2">
      <c r="A10" t="s">
        <v>154</v>
      </c>
      <c r="B10" s="41">
        <v>68</v>
      </c>
      <c r="C10" t="s">
        <v>23</v>
      </c>
      <c r="D10">
        <f>B10/1000000</f>
        <v>6.7999999999999999E-5</v>
      </c>
      <c r="E10" t="s">
        <v>24</v>
      </c>
    </row>
    <row r="12" spans="1:5" x14ac:dyDescent="0.2">
      <c r="A12" t="s">
        <v>157</v>
      </c>
      <c r="B12">
        <f>(D7/(D7+D10))*SQRT((D9*D10*B4)^2+1)/SQRT((((D6+D9)*D7*D10/(D10+D7))*B4)^2+1)</f>
        <v>0.57258166681452327</v>
      </c>
      <c r="C12" t="s">
        <v>156</v>
      </c>
    </row>
    <row r="13" spans="1:5" x14ac:dyDescent="0.2">
      <c r="A13" t="s">
        <v>158</v>
      </c>
      <c r="B13">
        <f>1-B12</f>
        <v>0.42741833318547673</v>
      </c>
      <c r="C13" t="s">
        <v>156</v>
      </c>
    </row>
    <row r="15" spans="1:5" x14ac:dyDescent="0.2">
      <c r="A15" t="s">
        <v>157</v>
      </c>
      <c r="B15" t="e">
        <f>B12*(Iripple1/(2*SQRT(3)))</f>
        <v>#NAME?</v>
      </c>
      <c r="C15" t="s">
        <v>1</v>
      </c>
    </row>
    <row r="16" spans="1:5" x14ac:dyDescent="0.2">
      <c r="A16" t="s">
        <v>158</v>
      </c>
      <c r="B16" t="e">
        <f>B13*(Iripple1/(2*SQRT(3)))</f>
        <v>#NAME?</v>
      </c>
      <c r="C16" t="s">
        <v>1</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286</vt:i4>
      </vt:variant>
    </vt:vector>
  </HeadingPairs>
  <TitlesOfParts>
    <vt:vector size="300" baseType="lpstr">
      <vt:lpstr>Design Regulator</vt:lpstr>
      <vt:lpstr>BOM &amp; Schematic</vt:lpstr>
      <vt:lpstr>EVM</vt:lpstr>
      <vt:lpstr>Variable Management</vt:lpstr>
      <vt:lpstr>Stability Calculations</vt:lpstr>
      <vt:lpstr>Ch2 Stability Calculations</vt:lpstr>
      <vt:lpstr>Bode Plot Management</vt:lpstr>
      <vt:lpstr>Efficiency Calculations</vt:lpstr>
      <vt:lpstr>Ch2 Efficiency Calculations</vt:lpstr>
      <vt:lpstr>Efficiency Plot Management</vt:lpstr>
      <vt:lpstr>Schematic Management</vt:lpstr>
      <vt:lpstr>Standard Value Calculator</vt:lpstr>
      <vt:lpstr>Snubber</vt:lpstr>
      <vt:lpstr>Parallel Output Caps</vt:lpstr>
      <vt:lpstr>_Don1</vt:lpstr>
      <vt:lpstr>_Don2</vt:lpstr>
      <vt:lpstr>Acs</vt:lpstr>
      <vt:lpstr>Acs_Ch2</vt:lpstr>
      <vt:lpstr>'Ch2 Stability Calculations'!Adc</vt:lpstr>
      <vt:lpstr>Adc</vt:lpstr>
      <vt:lpstr>AEA</vt:lpstr>
      <vt:lpstr>Afb</vt:lpstr>
      <vt:lpstr>Afb_Ch2</vt:lpstr>
      <vt:lpstr>Am</vt:lpstr>
      <vt:lpstr>Am_buck</vt:lpstr>
      <vt:lpstr>Am_buck_Ch2</vt:lpstr>
      <vt:lpstr>Am_Ch2</vt:lpstr>
      <vt:lpstr>BODE_PLOT_Ch1</vt:lpstr>
      <vt:lpstr>BODE_PLOT_Ch2</vt:lpstr>
      <vt:lpstr>BODE_PLOT_TYPE</vt:lpstr>
      <vt:lpstr>Buck_CS_threshold</vt:lpstr>
      <vt:lpstr>Buck_CS_threshold_max</vt:lpstr>
      <vt:lpstr>Buck_CS_threshold_min</vt:lpstr>
      <vt:lpstr>Cb</vt:lpstr>
      <vt:lpstr>Cbw</vt:lpstr>
      <vt:lpstr>Cby</vt:lpstr>
      <vt:lpstr>Cc1ea</vt:lpstr>
      <vt:lpstr>Cc1ea_u</vt:lpstr>
      <vt:lpstr>Cc2ea</vt:lpstr>
      <vt:lpstr>Cc2ea_u</vt:lpstr>
      <vt:lpstr>Cc3ea</vt:lpstr>
      <vt:lpstr>Cc3ea_u</vt:lpstr>
      <vt:lpstr>Cc4ea</vt:lpstr>
      <vt:lpstr>Cc4ea_u</vt:lpstr>
      <vt:lpstr>Cdither</vt:lpstr>
      <vt:lpstr>Cdither_init</vt:lpstr>
      <vt:lpstr>Ch1_VOUT</vt:lpstr>
      <vt:lpstr>Ch2_VOUT</vt:lpstr>
      <vt:lpstr>Cin</vt:lpstr>
      <vt:lpstr>CinEsrMax</vt:lpstr>
      <vt:lpstr>Cinmin</vt:lpstr>
      <vt:lpstr>Core_Loss_Ch1</vt:lpstr>
      <vt:lpstr>Coss_Q1</vt:lpstr>
      <vt:lpstr>Coss_Q2</vt:lpstr>
      <vt:lpstr>Coss_Q3</vt:lpstr>
      <vt:lpstr>Coss_Q4</vt:lpstr>
      <vt:lpstr>Cout</vt:lpstr>
      <vt:lpstr>Cout_ESR</vt:lpstr>
      <vt:lpstr>Cout_min</vt:lpstr>
      <vt:lpstr>Cout2</vt:lpstr>
      <vt:lpstr>Cout2_ESR</vt:lpstr>
      <vt:lpstr>Cout2_min</vt:lpstr>
      <vt:lpstr>Cout2EsrMax</vt:lpstr>
      <vt:lpstr>CoutEsrMax</vt:lpstr>
      <vt:lpstr>Cres</vt:lpstr>
      <vt:lpstr>Cres_u</vt:lpstr>
      <vt:lpstr>CSAmp_gain</vt:lpstr>
      <vt:lpstr>Csb</vt:lpstr>
      <vt:lpstr>Css</vt:lpstr>
      <vt:lpstr>Css_u</vt:lpstr>
      <vt:lpstr>D1_Vinmax</vt:lpstr>
      <vt:lpstr>D1_Vinmax_2</vt:lpstr>
      <vt:lpstr>D1_Vinmin</vt:lpstr>
      <vt:lpstr>D1_Vinmin_2</vt:lpstr>
      <vt:lpstr>D1_Vinnom</vt:lpstr>
      <vt:lpstr>D1_Vinnom_2</vt:lpstr>
      <vt:lpstr>D2_Vinmax</vt:lpstr>
      <vt:lpstr>D2_Vinmax_2</vt:lpstr>
      <vt:lpstr>D2_Vinmin</vt:lpstr>
      <vt:lpstr>D2_Vinmin_2</vt:lpstr>
      <vt:lpstr>D2_Vinnom</vt:lpstr>
      <vt:lpstr>D2_Vinnom_2</vt:lpstr>
      <vt:lpstr>Deadtime</vt:lpstr>
      <vt:lpstr>DEMB</vt:lpstr>
      <vt:lpstr>DITHER</vt:lpstr>
      <vt:lpstr>Doff1</vt:lpstr>
      <vt:lpstr>Doff2</vt:lpstr>
      <vt:lpstr>Don_buckboost</vt:lpstr>
      <vt:lpstr>EFF_Ch1</vt:lpstr>
      <vt:lpstr>EFF_Ch2</vt:lpstr>
      <vt:lpstr>Efficiency</vt:lpstr>
      <vt:lpstr>Ext_VCC</vt:lpstr>
      <vt:lpstr>Fcross</vt:lpstr>
      <vt:lpstr>Fcross_Ch2</vt:lpstr>
      <vt:lpstr>Fdither</vt:lpstr>
      <vt:lpstr>Fesr</vt:lpstr>
      <vt:lpstr>Fesr_Ch2</vt:lpstr>
      <vt:lpstr>Fload_u</vt:lpstr>
      <vt:lpstr>Fload_u_Ch2</vt:lpstr>
      <vt:lpstr>Fp_dominant</vt:lpstr>
      <vt:lpstr>Fp_dominant_Ch2</vt:lpstr>
      <vt:lpstr>Fp1_u</vt:lpstr>
      <vt:lpstr>Fp1_u_Ch2</vt:lpstr>
      <vt:lpstr>Fp2_u</vt:lpstr>
      <vt:lpstr>Fp2_u_Ch2</vt:lpstr>
      <vt:lpstr>Fsw</vt:lpstr>
      <vt:lpstr>Fz1_u</vt:lpstr>
      <vt:lpstr>Fz1_u_Ch2</vt:lpstr>
      <vt:lpstr>GBW</vt:lpstr>
      <vt:lpstr>Gfs_Q1</vt:lpstr>
      <vt:lpstr>Gfs_Q2</vt:lpstr>
      <vt:lpstr>Gfs_Q3</vt:lpstr>
      <vt:lpstr>Gfs_Q4</vt:lpstr>
      <vt:lpstr>gm</vt:lpstr>
      <vt:lpstr>Icoutrms</vt:lpstr>
      <vt:lpstr>Iin_Vinmax</vt:lpstr>
      <vt:lpstr>Iin_Vinmin</vt:lpstr>
      <vt:lpstr>Iin_Vinnom</vt:lpstr>
      <vt:lpstr>Ilimit_DC</vt:lpstr>
      <vt:lpstr>Ilimit2_DC</vt:lpstr>
      <vt:lpstr>Iout</vt:lpstr>
      <vt:lpstr>Iout_OCP_Vinmax</vt:lpstr>
      <vt:lpstr>Iout_OCP_Vinmin</vt:lpstr>
      <vt:lpstr>Iout_OCP_Vinnom</vt:lpstr>
      <vt:lpstr>Iout2</vt:lpstr>
      <vt:lpstr>Iout2_OCP_Vinmax</vt:lpstr>
      <vt:lpstr>Iout2_OCP_Vinmin</vt:lpstr>
      <vt:lpstr>Iout2_OCP_Vinnom</vt:lpstr>
      <vt:lpstr>Iq</vt:lpstr>
      <vt:lpstr>Ireverse</vt:lpstr>
      <vt:lpstr>Iripple_Vinmax</vt:lpstr>
      <vt:lpstr>Iripple_Vinmin</vt:lpstr>
      <vt:lpstr>Iripple_Vinnom</vt:lpstr>
      <vt:lpstr>Iripple2_Vinmax</vt:lpstr>
      <vt:lpstr>Iripple2_Vinmin</vt:lpstr>
      <vt:lpstr>Iripple2_Vinnom</vt:lpstr>
      <vt:lpstr>Iss</vt:lpstr>
      <vt:lpstr>k</vt:lpstr>
      <vt:lpstr>k_buck</vt:lpstr>
      <vt:lpstr>k_Ch2</vt:lpstr>
      <vt:lpstr>Lf</vt:lpstr>
      <vt:lpstr>Lo_2</vt:lpstr>
      <vt:lpstr>Lopt</vt:lpstr>
      <vt:lpstr>Lopt2</vt:lpstr>
      <vt:lpstr>Ltc</vt:lpstr>
      <vt:lpstr>mc</vt:lpstr>
      <vt:lpstr>mc_buck</vt:lpstr>
      <vt:lpstr>mc_buck_Ch2</vt:lpstr>
      <vt:lpstr>mc_Ch2</vt:lpstr>
      <vt:lpstr>MODE</vt:lpstr>
      <vt:lpstr>Number_of_Phases</vt:lpstr>
      <vt:lpstr>Pi</vt:lpstr>
      <vt:lpstr>Pin</vt:lpstr>
      <vt:lpstr>PLOT_TYPE</vt:lpstr>
      <vt:lpstr>'Ch2 Stability Calculations'!pole1</vt:lpstr>
      <vt:lpstr>pole1</vt:lpstr>
      <vt:lpstr>'Ch2 Stability Calculations'!Pole2</vt:lpstr>
      <vt:lpstr>Pole2</vt:lpstr>
      <vt:lpstr>'Ch2 Stability Calculations'!pole3</vt:lpstr>
      <vt:lpstr>pole3</vt:lpstr>
      <vt:lpstr>'Ch2 Stability Calculations'!pole4</vt:lpstr>
      <vt:lpstr>pole4</vt:lpstr>
      <vt:lpstr>Pout</vt:lpstr>
      <vt:lpstr>'BOM &amp; Schematic'!Print_Area</vt:lpstr>
      <vt:lpstr>'Design Regulator'!Print_Area</vt:lpstr>
      <vt:lpstr>'Ch2 Stability Calculations'!pterm1</vt:lpstr>
      <vt:lpstr>pterm1</vt:lpstr>
      <vt:lpstr>'Ch2 Stability Calculations'!pterm2</vt:lpstr>
      <vt:lpstr>pterm2</vt:lpstr>
      <vt:lpstr>Q</vt:lpstr>
      <vt:lpstr>Q_Ch2</vt:lpstr>
      <vt:lpstr>Qg_Q1</vt:lpstr>
      <vt:lpstr>Qg_Q2</vt:lpstr>
      <vt:lpstr>Qg_Q3</vt:lpstr>
      <vt:lpstr>Qg_Q4</vt:lpstr>
      <vt:lpstr>Qgd_Q1</vt:lpstr>
      <vt:lpstr>Qgd_Q2</vt:lpstr>
      <vt:lpstr>Qgd_Q3</vt:lpstr>
      <vt:lpstr>Qgd_Q4</vt:lpstr>
      <vt:lpstr>Qgs_Q1</vt:lpstr>
      <vt:lpstr>Qgs_Q2</vt:lpstr>
      <vt:lpstr>Qgs_Q3</vt:lpstr>
      <vt:lpstr>Qgs_Q4</vt:lpstr>
      <vt:lpstr>Qoss_Q1</vt:lpstr>
      <vt:lpstr>Qoss_Q2</vt:lpstr>
      <vt:lpstr>Qoss_Q3</vt:lpstr>
      <vt:lpstr>Qoss_Q4</vt:lpstr>
      <vt:lpstr>Qrr_Q2</vt:lpstr>
      <vt:lpstr>Qrr_Q4</vt:lpstr>
      <vt:lpstr>QrrSky_Q2</vt:lpstr>
      <vt:lpstr>QrrSky_Q4</vt:lpstr>
      <vt:lpstr>'Ch2 Stability Calculations'!radconv</vt:lpstr>
      <vt:lpstr>radconv</vt:lpstr>
      <vt:lpstr>Rcea1</vt:lpstr>
      <vt:lpstr>Rcea1_u</vt:lpstr>
      <vt:lpstr>Rcea2</vt:lpstr>
      <vt:lpstr>Rcea2_u</vt:lpstr>
      <vt:lpstr>RCinEsr</vt:lpstr>
      <vt:lpstr>RCoutEsr</vt:lpstr>
      <vt:lpstr>Rdcr</vt:lpstr>
      <vt:lpstr>Rdcr2</vt:lpstr>
      <vt:lpstr>Rdson1</vt:lpstr>
      <vt:lpstr>Rdson2</vt:lpstr>
      <vt:lpstr>Rdson3</vt:lpstr>
      <vt:lpstr>Rdson4</vt:lpstr>
      <vt:lpstr>RdsonBotTc</vt:lpstr>
      <vt:lpstr>RdsonDRB</vt:lpstr>
      <vt:lpstr>RdsonDRB2</vt:lpstr>
      <vt:lpstr>RdsonDRT</vt:lpstr>
      <vt:lpstr>RdsonDRT2</vt:lpstr>
      <vt:lpstr>RdsonTopTc</vt:lpstr>
      <vt:lpstr>Rfadj</vt:lpstr>
      <vt:lpstr>Rfb1_</vt:lpstr>
      <vt:lpstr>Rfb2_</vt:lpstr>
      <vt:lpstr>Rfb2_u</vt:lpstr>
      <vt:lpstr>Rfb3_</vt:lpstr>
      <vt:lpstr>Rfb4_</vt:lpstr>
      <vt:lpstr>Rfb4_u</vt:lpstr>
      <vt:lpstr>Rfets</vt:lpstr>
      <vt:lpstr>Rgate1</vt:lpstr>
      <vt:lpstr>Rgate2</vt:lpstr>
      <vt:lpstr>Rgate3</vt:lpstr>
      <vt:lpstr>Rgate4</vt:lpstr>
      <vt:lpstr>Ri</vt:lpstr>
      <vt:lpstr>Ri_Ch2</vt:lpstr>
      <vt:lpstr>Ro</vt:lpstr>
      <vt:lpstr>Ro_Ch2</vt:lpstr>
      <vt:lpstr>RoEA</vt:lpstr>
      <vt:lpstr>Rout</vt:lpstr>
      <vt:lpstr>Rout2</vt:lpstr>
      <vt:lpstr>Rpg</vt:lpstr>
      <vt:lpstr>Rs</vt:lpstr>
      <vt:lpstr>Rs_Ch2</vt:lpstr>
      <vt:lpstr>Rs_ideal</vt:lpstr>
      <vt:lpstr>Rs2_ideal</vt:lpstr>
      <vt:lpstr>SCH_DUAL</vt:lpstr>
      <vt:lpstr>SCH_MODE</vt:lpstr>
      <vt:lpstr>SCH_MULTIPHASE</vt:lpstr>
      <vt:lpstr>SCH_SINGLE</vt:lpstr>
      <vt:lpstr>Se_ext</vt:lpstr>
      <vt:lpstr>Se_ext_Ch2</vt:lpstr>
      <vt:lpstr>SENSING_TYPE</vt:lpstr>
      <vt:lpstr>Sf</vt:lpstr>
      <vt:lpstr>Sf_Ch2</vt:lpstr>
      <vt:lpstr>SINGLE_OUTPUT</vt:lpstr>
      <vt:lpstr>Sn</vt:lpstr>
      <vt:lpstr>Sn_Ch2</vt:lpstr>
      <vt:lpstr>Ta</vt:lpstr>
      <vt:lpstr>Tf_buck</vt:lpstr>
      <vt:lpstr>Tf_Ch2</vt:lpstr>
      <vt:lpstr>ThetaCa</vt:lpstr>
      <vt:lpstr>ThetaJA_Q1</vt:lpstr>
      <vt:lpstr>ThetaJA_Q2</vt:lpstr>
      <vt:lpstr>ThetaJA_Q3</vt:lpstr>
      <vt:lpstr>ThetaJA_Q4</vt:lpstr>
      <vt:lpstr>ThetaJaCtrl</vt:lpstr>
      <vt:lpstr>TL</vt:lpstr>
      <vt:lpstr>Tr_buck</vt:lpstr>
      <vt:lpstr>Tr_Ch2</vt:lpstr>
      <vt:lpstr>Tres</vt:lpstr>
      <vt:lpstr>Trr_Q1</vt:lpstr>
      <vt:lpstr>Trr_Q2</vt:lpstr>
      <vt:lpstr>Trr_Q3</vt:lpstr>
      <vt:lpstr>Trr_Q4</vt:lpstr>
      <vt:lpstr>Ts</vt:lpstr>
      <vt:lpstr>Tss</vt:lpstr>
      <vt:lpstr>VARIANT</vt:lpstr>
      <vt:lpstr>VCC</vt:lpstr>
      <vt:lpstr>VfdSky_Q2</vt:lpstr>
      <vt:lpstr>VfdSky_Q4</vt:lpstr>
      <vt:lpstr>Vin</vt:lpstr>
      <vt:lpstr>VIN_max</vt:lpstr>
      <vt:lpstr>VIN_MAX_RATING</vt:lpstr>
      <vt:lpstr>VIN_min</vt:lpstr>
      <vt:lpstr>VIN_nom</vt:lpstr>
      <vt:lpstr>Vinripple1</vt:lpstr>
      <vt:lpstr>Vo1_ripple</vt:lpstr>
      <vt:lpstr>Vo2_ripple</vt:lpstr>
      <vt:lpstr>Vout</vt:lpstr>
      <vt:lpstr>VOUT_MAX_RATING</vt:lpstr>
      <vt:lpstr>Vout2</vt:lpstr>
      <vt:lpstr>Vref</vt:lpstr>
      <vt:lpstr>Vsd_Q1</vt:lpstr>
      <vt:lpstr>Vsd_Q2</vt:lpstr>
      <vt:lpstr>Vsd_Q3</vt:lpstr>
      <vt:lpstr>Vsd_Q4</vt:lpstr>
      <vt:lpstr>Vsp_Q1</vt:lpstr>
      <vt:lpstr>Vsp_Q2</vt:lpstr>
      <vt:lpstr>Vsp_Q3</vt:lpstr>
      <vt:lpstr>Vsp_Q4</vt:lpstr>
      <vt:lpstr>Vth_Q1</vt:lpstr>
      <vt:lpstr>Vth_Q2</vt:lpstr>
      <vt:lpstr>Vth_Q3</vt:lpstr>
      <vt:lpstr>Vth_Q4</vt:lpstr>
      <vt:lpstr>'Ch2 Stability Calculations'!z_RHP</vt:lpstr>
      <vt:lpstr>z_RHP</vt:lpstr>
      <vt:lpstr>'Ch2 Stability Calculations'!Zero1</vt:lpstr>
      <vt:lpstr>Zero1</vt:lpstr>
      <vt:lpstr>'Ch2 Stability Calculations'!Zero2</vt:lpstr>
      <vt:lpstr>Zero2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LM5143-Q1 Quickstart Tool</dc:title>
  <dc:creator>Timothy Hegarty</dc:creator>
  <cp:keywords>LM5143-Q1, PWM controller, current mode, PCB layout</cp:keywords>
  <cp:lastModifiedBy>Andreana, Aden [Student]</cp:lastModifiedBy>
  <cp:lastPrinted>2018-10-08T16:56:44Z</cp:lastPrinted>
  <dcterms:created xsi:type="dcterms:W3CDTF">1996-10-14T23:33:28Z</dcterms:created>
  <dcterms:modified xsi:type="dcterms:W3CDTF">2023-09-09T10:09:23Z</dcterms:modified>
</cp:coreProperties>
</file>